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omments7.xml" ContentType="application/vnd.openxmlformats-officedocument.spreadsheetml.comment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omments8.xml" ContentType="application/vnd.openxmlformats-officedocument.spreadsheetml.comments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omments9.xml" ContentType="application/vnd.openxmlformats-officedocument.spreadsheetml.comments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omments10.xml" ContentType="application/vnd.openxmlformats-officedocument.spreadsheetml.comments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omments11.xml" ContentType="application/vnd.openxmlformats-officedocument.spreadsheetml.comments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tables/table1.xml" ContentType="application/vnd.openxmlformats-officedocument.spreadsheetml.table+xml"/>
  <Override PartName="/xl/comments12.xml" ContentType="application/vnd.openxmlformats-officedocument.spreadsheetml.comments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  <Override PartName="/xl/threadedComments/threadedComment3.xml" ContentType="application/vnd.ms-excel.threadedcomments+xml"/>
  <Override PartName="/xl/threadedComments/threadedComment4.xml" ContentType="application/vnd.ms-excel.threadedcomments+xml"/>
  <Override PartName="/xl/threadedComments/threadedComment5.xml" ContentType="application/vnd.ms-excel.threadedcomments+xml"/>
  <Override PartName="/xl/threadedComments/threadedComment6.xml" ContentType="application/vnd.ms-excel.threadedcomments+xml"/>
  <Override PartName="/xl/threadedComments/threadedComment7.xml" ContentType="application/vnd.ms-excel.threadedcomments+xml"/>
  <Override PartName="/xl/threadedComments/threadedComment8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Blue Heaven\2024.03 - Monolyt\04. Custo\03.0 Custo - Orçamento Parametrico\Custos diretos\"/>
    </mc:Choice>
  </mc:AlternateContent>
  <xr:revisionPtr revIDLastSave="0" documentId="13_ncr:1_{331021E6-E258-4E43-B8F0-DA68D08898C8}" xr6:coauthVersionLast="47" xr6:coauthVersionMax="47" xr10:uidLastSave="{00000000-0000-0000-0000-000000000000}"/>
  <bookViews>
    <workbookView xWindow="-23148" yWindow="-48" windowWidth="23256" windowHeight="12456" tabRatio="849" firstSheet="34" activeTab="38" xr2:uid="{00000000-000D-0000-FFFF-FFFF00000000}"/>
  </bookViews>
  <sheets>
    <sheet name="DADOS_INICIAIS" sheetId="46" r:id="rId1"/>
    <sheet name="MOVIMENTAÇÃO_DE_TERRA" sheetId="47" r:id="rId2"/>
    <sheet name="TERRAPLENAGEM" sheetId="97" r:id="rId3"/>
    <sheet name="CONTENÇÕES" sheetId="49" r:id="rId4"/>
    <sheet name="INFRAESTRUTURA REV01" sheetId="21" r:id="rId5"/>
    <sheet name="SUPRAESTRUTURA" sheetId="48" r:id="rId6"/>
    <sheet name="SUPRAESTRUTURA (2)" sheetId="100" r:id="rId7"/>
    <sheet name="Alvenaria" sheetId="51" r:id="rId8"/>
    <sheet name="REVESTIMENTO PISO" sheetId="86" r:id="rId9"/>
    <sheet name="REVESTIMENTO PAREDE PISCINA" sheetId="69" r:id="rId10"/>
    <sheet name="REVESTIMENTO TETO" sheetId="89" r:id="rId11"/>
    <sheet name="Acabamentos de Piso" sheetId="54" r:id="rId12"/>
    <sheet name="Rev. Internos de Parede" sheetId="52" r:id="rId13"/>
    <sheet name="Acabamentos de Teto" sheetId="53" r:id="rId14"/>
    <sheet name="Ambientes" sheetId="92" r:id="rId15"/>
    <sheet name="Pintura Interna" sheetId="55" r:id="rId16"/>
    <sheet name="Impermeabilização" sheetId="58" r:id="rId17"/>
    <sheet name="Instalações" sheetId="60" r:id="rId18"/>
    <sheet name="Instalações Lumis" sheetId="93" state="hidden" r:id="rId19"/>
    <sheet name="Sistemas Especiais" sheetId="61" r:id="rId20"/>
    <sheet name="Simulador Solar" sheetId="98" r:id="rId21"/>
    <sheet name="Complementares" sheetId="62" r:id="rId22"/>
    <sheet name="Canteiro" sheetId="64" state="hidden" r:id="rId23"/>
    <sheet name="Bases" sheetId="65" state="hidden" r:id="rId24"/>
    <sheet name="EPCs" sheetId="66" state="hidden" r:id="rId25"/>
    <sheet name="CUSTOS_INDIRETOS" sheetId="67" state="hidden" r:id="rId26"/>
    <sheet name="Esquadrias" sheetId="57" r:id="rId27"/>
    <sheet name="ESQUADRIAS_MADEIRA" sheetId="72" r:id="rId28"/>
    <sheet name="PORTA_CORTA_FOGO" sheetId="73" r:id="rId29"/>
    <sheet name="ESQUADRIAS_DE_ALUMÍNIO" sheetId="74" r:id="rId30"/>
    <sheet name="GUARDA_CORPO" sheetId="75" r:id="rId31"/>
    <sheet name="BRISES" sheetId="76" state="hidden" r:id="rId32"/>
    <sheet name="Rev. Fachada" sheetId="56" r:id="rId33"/>
    <sheet name="FACHADA" sheetId="77" r:id="rId34"/>
    <sheet name="ORÇAMENTO_EXECUTIVO_REV03" sheetId="101" r:id="rId35"/>
    <sheet name="ORÇAMENTO_EXECUTIVO_REV02" sheetId="78" r:id="rId36"/>
    <sheet name="ORÇAMENTO_EXECUTIVO_REV01" sheetId="99" r:id="rId37"/>
    <sheet name="ANÁLISE_CUSTOS" sheetId="79" r:id="rId38"/>
    <sheet name="AREAS_PRIVATIVAS" sheetId="95" r:id="rId39"/>
    <sheet name="CÁLCULO_MÉDIAS" sheetId="80" r:id="rId40"/>
    <sheet name="ATALAIA" sheetId="88" state="hidden" r:id="rId41"/>
    <sheet name="Spotico" sheetId="91" state="hidden" r:id="rId42"/>
    <sheet name="Índices" sheetId="84" state="hidden" r:id="rId43"/>
    <sheet name="Auxiliar" sheetId="36" state="hidden" r:id="rId44"/>
  </sheets>
  <externalReferences>
    <externalReference r:id="rId45"/>
    <externalReference r:id="rId46"/>
    <externalReference r:id="rId47"/>
    <externalReference r:id="rId48"/>
    <externalReference r:id="rId49"/>
  </externalReferences>
  <definedNames>
    <definedName name="\0" localSheetId="38">#REF!</definedName>
    <definedName name="\0" localSheetId="21">#REF!</definedName>
    <definedName name="\0" localSheetId="0">#REF!</definedName>
    <definedName name="\0" localSheetId="17">#REF!</definedName>
    <definedName name="\0" localSheetId="18">#REF!</definedName>
    <definedName name="\0" localSheetId="1">#REF!</definedName>
    <definedName name="\0" localSheetId="19">#REF!</definedName>
    <definedName name="\0" localSheetId="41">#REF!</definedName>
    <definedName name="\0">#REF!</definedName>
    <definedName name="\1">#REF!</definedName>
    <definedName name="\a" localSheetId="38">#REF!</definedName>
    <definedName name="\a" localSheetId="0">#REF!</definedName>
    <definedName name="\a" localSheetId="18">#REF!</definedName>
    <definedName name="\a" localSheetId="41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i">#REF!</definedName>
    <definedName name="\J">#REF!</definedName>
    <definedName name="\k">#REF!</definedName>
    <definedName name="\l">#N/A</definedName>
    <definedName name="\m" localSheetId="38">#REF!</definedName>
    <definedName name="\m" localSheetId="0">#REF!</definedName>
    <definedName name="\m" localSheetId="18">#REF!</definedName>
    <definedName name="\m" localSheetId="41">#REF!</definedName>
    <definedName name="\m">#REF!</definedName>
    <definedName name="\o">#REF!</definedName>
    <definedName name="\p">#REF!</definedName>
    <definedName name="\r">#REF!</definedName>
    <definedName name="\T">#REF!</definedName>
    <definedName name="\xasd" hidden="1">{#N/A,#N/A,FALSE,"Plan1";#N/A,#N/A,FALSE,"Plan2"}</definedName>
    <definedName name="\z">#REF!</definedName>
    <definedName name="_" hidden="1">#REF!</definedName>
    <definedName name="__" hidden="1">#REF!</definedName>
    <definedName name="___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ACR10">#REF!</definedName>
    <definedName name="______ACR15">#REF!</definedName>
    <definedName name="______acr20">#REF!</definedName>
    <definedName name="______acr5">#REF!</definedName>
    <definedName name="______ARQ1">#REF!</definedName>
    <definedName name="______QT100">#REF!</definedName>
    <definedName name="______QT2">#REF!</definedName>
    <definedName name="______QT3">#REF!</definedName>
    <definedName name="______QT4">#REF!</definedName>
    <definedName name="______QT50">#REF!</definedName>
    <definedName name="______QT75">#REF!</definedName>
    <definedName name="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ACR10">#REF!</definedName>
    <definedName name="_____ACR15">#REF!</definedName>
    <definedName name="_____acr20">#REF!</definedName>
    <definedName name="_____acr5">#REF!</definedName>
    <definedName name="_____ARQ1">#REF!</definedName>
    <definedName name="_____key2" hidden="1">#REF!</definedName>
    <definedName name="_____QT100">#REF!</definedName>
    <definedName name="_____QT2">#REF!</definedName>
    <definedName name="_____QT3">#REF!</definedName>
    <definedName name="_____QT4">#REF!</definedName>
    <definedName name="_____QT50">#REF!</definedName>
    <definedName name="_____QT75">#REF!</definedName>
    <definedName name="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key2" hidden="1">#REF!</definedName>
    <definedName name="____la29" hidden="1">#REF!</definedName>
    <definedName name="____la3" hidden="1">#REF!</definedName>
    <definedName name="____la31" hidden="1">#REF!</definedName>
    <definedName name="____la32" hidden="1">#REF!</definedName>
    <definedName name="____la4" hidden="1">#REF!</definedName>
    <definedName name="____la5" hidden="1">#REF!</definedName>
    <definedName name="____la6" hidden="1">#REF!</definedName>
    <definedName name="____la7" hidden="1">#REF!</definedName>
    <definedName name="____la8" hidden="1">#REF!</definedName>
    <definedName name="____la9" hidden="1">#REF!</definedName>
    <definedName name="____lb1" hidden="1">#REF!</definedName>
    <definedName name="____lb10" hidden="1">#REF!</definedName>
    <definedName name="____lb11" hidden="1">#REF!</definedName>
    <definedName name="____lb12" hidden="1">#REF!</definedName>
    <definedName name="____lb13" hidden="1">#REF!</definedName>
    <definedName name="____lb14" hidden="1">#REF!</definedName>
    <definedName name="____lb15" hidden="1">#REF!</definedName>
    <definedName name="____lb16" hidden="1">#REF!</definedName>
    <definedName name="____lb17" hidden="1">#REF!</definedName>
    <definedName name="____lb18" hidden="1">#REF!</definedName>
    <definedName name="____lb19" hidden="1">#REF!</definedName>
    <definedName name="____lb2" hidden="1">#REF!</definedName>
    <definedName name="____lb20" hidden="1">#REF!</definedName>
    <definedName name="____lb21" hidden="1">#REF!</definedName>
    <definedName name="____lb22" hidden="1">#REF!</definedName>
    <definedName name="____lb23" hidden="1">#REF!</definedName>
    <definedName name="____lb24" hidden="1">#REF!</definedName>
    <definedName name="____lb25" hidden="1">#REF!</definedName>
    <definedName name="____lb27" hidden="1">#REF!</definedName>
    <definedName name="____lb28" hidden="1">#REF!</definedName>
    <definedName name="____lb29" hidden="1">#REF!</definedName>
    <definedName name="____lb3" hidden="1">#REF!</definedName>
    <definedName name="____lb30" hidden="1">#REF!</definedName>
    <definedName name="____lb31" hidden="1">#REF!</definedName>
    <definedName name="____lb32" hidden="1">#REF!</definedName>
    <definedName name="____lb4" hidden="1">#REF!</definedName>
    <definedName name="____lb5" hidden="1">#REF!</definedName>
    <definedName name="____lb6" hidden="1">#REF!</definedName>
    <definedName name="____lb7" hidden="1">#REF!</definedName>
    <definedName name="____lb8" hidden="1">#REF!</definedName>
    <definedName name="____lb9" hidden="1">#REF!</definedName>
    <definedName name="____lbc1" hidden="1">#REF!</definedName>
    <definedName name="____lbc10" hidden="1">#REF!</definedName>
    <definedName name="____lbc11" hidden="1">#REF!</definedName>
    <definedName name="____lbc12" hidden="1">#REF!</definedName>
    <definedName name="____lbc13" hidden="1">#REF!</definedName>
    <definedName name="____lbc14" hidden="1">#REF!</definedName>
    <definedName name="____lbc15" hidden="1">#REF!</definedName>
    <definedName name="____lbc16" hidden="1">#REF!</definedName>
    <definedName name="____lbc17" hidden="1">#REF!</definedName>
    <definedName name="____lbc18" hidden="1">#REF!</definedName>
    <definedName name="____lbc19" hidden="1">#REF!</definedName>
    <definedName name="____lbc2" hidden="1">#REF!</definedName>
    <definedName name="____lbc20" hidden="1">#REF!</definedName>
    <definedName name="____lbc21" hidden="1">#REF!</definedName>
    <definedName name="____lbc22" hidden="1">#REF!</definedName>
    <definedName name="____lbc23" hidden="1">#REF!</definedName>
    <definedName name="____lbc24" hidden="1">#REF!</definedName>
    <definedName name="____lbc25" hidden="1">#REF!</definedName>
    <definedName name="____lbc26" hidden="1">#REF!</definedName>
    <definedName name="____lbc27" hidden="1">#REF!</definedName>
    <definedName name="____lbc28" hidden="1">#REF!</definedName>
    <definedName name="____lbc29" hidden="1">#REF!</definedName>
    <definedName name="____lbc3" hidden="1">#REF!</definedName>
    <definedName name="____lbc31" hidden="1">#REF!</definedName>
    <definedName name="____lbc32" hidden="1">#REF!</definedName>
    <definedName name="____lbc4" hidden="1">#REF!</definedName>
    <definedName name="____lbc5" hidden="1">#REF!</definedName>
    <definedName name="____lbc6" hidden="1">#REF!</definedName>
    <definedName name="____lbc7" hidden="1">#REF!</definedName>
    <definedName name="____lbc8" hidden="1">#REF!</definedName>
    <definedName name="____lbc9" hidden="1">#REF!</definedName>
    <definedName name="____ld26" hidden="1">#REF!</definedName>
    <definedName name="____ld31" hidden="1">#REF!</definedName>
    <definedName name="____le31" hidden="1">#REF!</definedName>
    <definedName name="____lf31" hidden="1">#REF!</definedName>
    <definedName name="____PK2" hidden="1">{"'장비'!$A$3:$M$12"}</definedName>
    <definedName name="____PKG3" hidden="1">{"'장비'!$A$3:$M$12"}</definedName>
    <definedName name="____qqq222" hidden="1">{"'장비'!$A$3:$M$12"}</definedName>
    <definedName name="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x10" hidden="1">#REF!</definedName>
    <definedName name="____x11" hidden="1">#REF!</definedName>
    <definedName name="____x12" hidden="1">#REF!</definedName>
    <definedName name="____x13" hidden="1">#REF!</definedName>
    <definedName name="____x14" hidden="1">#REF!</definedName>
    <definedName name="____x15" hidden="1">#REF!</definedName>
    <definedName name="____x16" hidden="1">#REF!</definedName>
    <definedName name="____x17" hidden="1">#REF!</definedName>
    <definedName name="____x18" hidden="1">#REF!</definedName>
    <definedName name="____x19" hidden="1">#REF!</definedName>
    <definedName name="____x20" hidden="1">#REF!</definedName>
    <definedName name="____x21" hidden="1">#REF!</definedName>
    <definedName name="____x22" hidden="1">#REF!</definedName>
    <definedName name="____x23" hidden="1">#REF!</definedName>
    <definedName name="____x24" hidden="1">#REF!</definedName>
    <definedName name="____x25" hidden="1">#REF!</definedName>
    <definedName name="____x28" hidden="1">#REF!</definedName>
    <definedName name="____x29" hidden="1">#REF!</definedName>
    <definedName name="____x32" hidden="1">#REF!</definedName>
    <definedName name="____x4" hidden="1">#REF!</definedName>
    <definedName name="____x5" hidden="1">#REF!</definedName>
    <definedName name="____x6" hidden="1">#REF!</definedName>
    <definedName name="____x7" hidden="1">#REF!</definedName>
    <definedName name="____x8" hidden="1">#REF!</definedName>
    <definedName name="____x9" hidden="1">#REF!</definedName>
    <definedName name="___ACR10">#REF!</definedName>
    <definedName name="___ACR15">#REF!</definedName>
    <definedName name="___acr20">#REF!</definedName>
    <definedName name="___acr5">#REF!</definedName>
    <definedName name="___ARQ1">#REF!</definedName>
    <definedName name="__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key2" hidden="1">#REF!</definedName>
    <definedName name="___la29" hidden="1">#REF!</definedName>
    <definedName name="___la3" hidden="1">#REF!</definedName>
    <definedName name="___la31" hidden="1">#REF!</definedName>
    <definedName name="___la32" hidden="1">#REF!</definedName>
    <definedName name="___la4" hidden="1">#REF!</definedName>
    <definedName name="___la5" hidden="1">#REF!</definedName>
    <definedName name="___la6" hidden="1">#REF!</definedName>
    <definedName name="___la7" hidden="1">#REF!</definedName>
    <definedName name="___la8" hidden="1">#REF!</definedName>
    <definedName name="___la9" hidden="1">#REF!</definedName>
    <definedName name="___lb1" hidden="1">#REF!</definedName>
    <definedName name="___lb10" hidden="1">#REF!</definedName>
    <definedName name="___lb11" hidden="1">#REF!</definedName>
    <definedName name="___lb12" hidden="1">#REF!</definedName>
    <definedName name="___lb13" hidden="1">#REF!</definedName>
    <definedName name="___lb14" hidden="1">#REF!</definedName>
    <definedName name="___lb15" hidden="1">#REF!</definedName>
    <definedName name="___lb16" hidden="1">#REF!</definedName>
    <definedName name="___lb17" hidden="1">#REF!</definedName>
    <definedName name="___lb18" hidden="1">#REF!</definedName>
    <definedName name="___lb19" hidden="1">#REF!</definedName>
    <definedName name="___lb2" hidden="1">#REF!</definedName>
    <definedName name="___lb20" hidden="1">#REF!</definedName>
    <definedName name="___lb21" hidden="1">#REF!</definedName>
    <definedName name="___lb22" hidden="1">#REF!</definedName>
    <definedName name="___lb23" hidden="1">#REF!</definedName>
    <definedName name="___lb24" hidden="1">#REF!</definedName>
    <definedName name="___lb25" hidden="1">#REF!</definedName>
    <definedName name="___lb27" hidden="1">#REF!</definedName>
    <definedName name="___lb28" hidden="1">#REF!</definedName>
    <definedName name="___lb29" hidden="1">#REF!</definedName>
    <definedName name="___lb3" hidden="1">#REF!</definedName>
    <definedName name="___lb30" hidden="1">#REF!</definedName>
    <definedName name="___lb31" hidden="1">#REF!</definedName>
    <definedName name="___lb32" hidden="1">#REF!</definedName>
    <definedName name="___lb4" hidden="1">#REF!</definedName>
    <definedName name="___lb5" hidden="1">#REF!</definedName>
    <definedName name="___lb6" hidden="1">#REF!</definedName>
    <definedName name="___lb7" hidden="1">#REF!</definedName>
    <definedName name="___lb8" hidden="1">#REF!</definedName>
    <definedName name="___lb9" hidden="1">#REF!</definedName>
    <definedName name="___lbc1" hidden="1">#REF!</definedName>
    <definedName name="___lbc10" hidden="1">#REF!</definedName>
    <definedName name="___lbc11" hidden="1">#REF!</definedName>
    <definedName name="___lbc12" hidden="1">#REF!</definedName>
    <definedName name="___lbc13" hidden="1">#REF!</definedName>
    <definedName name="___lbc14" hidden="1">#REF!</definedName>
    <definedName name="___lbc15" hidden="1">#REF!</definedName>
    <definedName name="___lbc16" hidden="1">#REF!</definedName>
    <definedName name="___lbc17" hidden="1">#REF!</definedName>
    <definedName name="___lbc18" hidden="1">#REF!</definedName>
    <definedName name="___lbc19" hidden="1">#REF!</definedName>
    <definedName name="___lbc2" hidden="1">#REF!</definedName>
    <definedName name="___lbc20" hidden="1">#REF!</definedName>
    <definedName name="___lbc21" hidden="1">#REF!</definedName>
    <definedName name="___lbc22" hidden="1">#REF!</definedName>
    <definedName name="___lbc23" hidden="1">#REF!</definedName>
    <definedName name="___lbc24" hidden="1">#REF!</definedName>
    <definedName name="___lbc25" hidden="1">#REF!</definedName>
    <definedName name="___lbc26" hidden="1">#REF!</definedName>
    <definedName name="___lbc27" hidden="1">#REF!</definedName>
    <definedName name="___lbc28" hidden="1">#REF!</definedName>
    <definedName name="___lbc29" hidden="1">#REF!</definedName>
    <definedName name="___lbc3" hidden="1">#REF!</definedName>
    <definedName name="___lbc31" hidden="1">#REF!</definedName>
    <definedName name="___lbc32" hidden="1">#REF!</definedName>
    <definedName name="___lbc4" hidden="1">#REF!</definedName>
    <definedName name="___lbc5" hidden="1">#REF!</definedName>
    <definedName name="___lbc6" hidden="1">#REF!</definedName>
    <definedName name="___lbc7" hidden="1">#REF!</definedName>
    <definedName name="___lbc8" hidden="1">#REF!</definedName>
    <definedName name="___lbc9" hidden="1">#REF!</definedName>
    <definedName name="___ld26" hidden="1">#REF!</definedName>
    <definedName name="___ld31" hidden="1">#REF!</definedName>
    <definedName name="___le31" hidden="1">#REF!</definedName>
    <definedName name="___lf31" hidden="1">#REF!</definedName>
    <definedName name="___PK2" hidden="1">{"'장비'!$A$3:$M$12"}</definedName>
    <definedName name="___PKG3" hidden="1">{"'장비'!$A$3:$M$12"}</definedName>
    <definedName name="___qqq222" hidden="1">{"'장비'!$A$3:$M$12"}</definedName>
    <definedName name="___QT100">#REF!</definedName>
    <definedName name="___QT2">#REF!</definedName>
    <definedName name="___QT3">#REF!</definedName>
    <definedName name="___QT4">#REF!</definedName>
    <definedName name="___QT50">#REF!</definedName>
    <definedName name="___QT75">#REF!</definedName>
    <definedName name="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x10" hidden="1">#REF!</definedName>
    <definedName name="___x11" hidden="1">#REF!</definedName>
    <definedName name="___x12" hidden="1">#REF!</definedName>
    <definedName name="___x13" hidden="1">#REF!</definedName>
    <definedName name="___x14" hidden="1">#REF!</definedName>
    <definedName name="___x15" hidden="1">#REF!</definedName>
    <definedName name="___x16" hidden="1">#REF!</definedName>
    <definedName name="___x17" hidden="1">#REF!</definedName>
    <definedName name="___x18" hidden="1">#REF!</definedName>
    <definedName name="___x19" hidden="1">#REF!</definedName>
    <definedName name="___x20" hidden="1">#REF!</definedName>
    <definedName name="___x21" hidden="1">#REF!</definedName>
    <definedName name="___x22" hidden="1">#REF!</definedName>
    <definedName name="___x23" hidden="1">#REF!</definedName>
    <definedName name="___x24" hidden="1">#REF!</definedName>
    <definedName name="___x25" hidden="1">#REF!</definedName>
    <definedName name="___x28" hidden="1">#REF!</definedName>
    <definedName name="___x29" hidden="1">#REF!</definedName>
    <definedName name="___x32" hidden="1">#REF!</definedName>
    <definedName name="___x4" hidden="1">#REF!</definedName>
    <definedName name="___x5" hidden="1">#REF!</definedName>
    <definedName name="___x6" hidden="1">#REF!</definedName>
    <definedName name="___x7" hidden="1">#REF!</definedName>
    <definedName name="___x8" hidden="1">#REF!</definedName>
    <definedName name="___x9" hidden="1">#REF!</definedName>
    <definedName name="__123Graph_A" hidden="1">#REF!</definedName>
    <definedName name="__123Graph_AChart1" hidden="1">#REF!</definedName>
    <definedName name="__123Graph_ACurrent" hidden="1">#REF!</definedName>
    <definedName name="__123Graph_ACUSTO" hidden="1">#REF!</definedName>
    <definedName name="__123Graph_AFAT" hidden="1">#REF!</definedName>
    <definedName name="__123Graph_AGRA1" hidden="1">#REF!</definedName>
    <definedName name="__123Graph_ARES" hidden="1">#REF!</definedName>
    <definedName name="__123Graph_B" hidden="1">#REF!</definedName>
    <definedName name="__123Graph_BChart1" hidden="1">#REF!</definedName>
    <definedName name="__123Graph_BCurrent" hidden="1">#REF!</definedName>
    <definedName name="__123Graph_BCUSTO" hidden="1">#REF!</definedName>
    <definedName name="__123Graph_BFAT" hidden="1">#REF!</definedName>
    <definedName name="__123Graph_BPERFORMANCE" hidden="1">#REF!</definedName>
    <definedName name="__123Graph_BRES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LBL_A" hidden="1">#REF!</definedName>
    <definedName name="__123Graph_LBL_B" hidden="1">#REF!</definedName>
    <definedName name="__123Graph_X" hidden="1">#REF!</definedName>
    <definedName name="__123Graph_XChart1" hidden="1">#REF!</definedName>
    <definedName name="__123Graph_XCurrent" hidden="1">#REF!</definedName>
    <definedName name="__123Graph_XCUSTO" hidden="1">#REF!</definedName>
    <definedName name="__123Graph_XFAT" hidden="1">#REF!</definedName>
    <definedName name="__123Graph_XGRA1" hidden="1">#REF!</definedName>
    <definedName name="__123Graph_XRES" hidden="1">#REF!</definedName>
    <definedName name="__ACR10">#REF!</definedName>
    <definedName name="__ACR15">#REF!</definedName>
    <definedName name="__acr20">#REF!</definedName>
    <definedName name="__acr5">#REF!</definedName>
    <definedName name="__ARQ1">#REF!</definedName>
    <definedName name="__Axe3">#REF!</definedName>
    <definedName name="__Axe4">#REF!</definedName>
    <definedName name="_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htm2">#REF!</definedName>
    <definedName name="__htn2">#REF!</definedName>
    <definedName name="__iss2">#REF!</definedName>
    <definedName name="__key2" hidden="1">#REF!</definedName>
    <definedName name="__la29" hidden="1">#REF!</definedName>
    <definedName name="__la3" hidden="1">#REF!</definedName>
    <definedName name="__la31" hidden="1">#REF!</definedName>
    <definedName name="__la32" hidden="1">#REF!</definedName>
    <definedName name="__la4" hidden="1">#REF!</definedName>
    <definedName name="__la5" hidden="1">#REF!</definedName>
    <definedName name="__la6" hidden="1">#REF!</definedName>
    <definedName name="__la7" hidden="1">#REF!</definedName>
    <definedName name="__la8" hidden="1">#REF!</definedName>
    <definedName name="__la9" hidden="1">#REF!</definedName>
    <definedName name="__lb1" hidden="1">#REF!</definedName>
    <definedName name="__lb10" hidden="1">#REF!</definedName>
    <definedName name="__lb11" hidden="1">#REF!</definedName>
    <definedName name="__lb12" hidden="1">#REF!</definedName>
    <definedName name="__lb13" hidden="1">#REF!</definedName>
    <definedName name="__lb14" hidden="1">#REF!</definedName>
    <definedName name="__lb15" hidden="1">#REF!</definedName>
    <definedName name="__lb16" hidden="1">#REF!</definedName>
    <definedName name="__lb17" hidden="1">#REF!</definedName>
    <definedName name="__lb18" hidden="1">#REF!</definedName>
    <definedName name="__lb19" hidden="1">#REF!</definedName>
    <definedName name="__lb2" hidden="1">#REF!</definedName>
    <definedName name="__lb20" hidden="1">#REF!</definedName>
    <definedName name="__lb21" hidden="1">#REF!</definedName>
    <definedName name="__lb22" hidden="1">#REF!</definedName>
    <definedName name="__lb23" hidden="1">#REF!</definedName>
    <definedName name="__lb24" hidden="1">#REF!</definedName>
    <definedName name="__lb25" hidden="1">#REF!</definedName>
    <definedName name="__lb27" hidden="1">#REF!</definedName>
    <definedName name="__lb28" hidden="1">#REF!</definedName>
    <definedName name="__lb29" hidden="1">#REF!</definedName>
    <definedName name="__lb3" hidden="1">#REF!</definedName>
    <definedName name="__lb30" hidden="1">#REF!</definedName>
    <definedName name="__lb31" hidden="1">#REF!</definedName>
    <definedName name="__lb32" hidden="1">#REF!</definedName>
    <definedName name="__lb4" hidden="1">#REF!</definedName>
    <definedName name="__lb5" hidden="1">#REF!</definedName>
    <definedName name="__lb6" hidden="1">#REF!</definedName>
    <definedName name="__lb7" hidden="1">#REF!</definedName>
    <definedName name="__lb8" hidden="1">#REF!</definedName>
    <definedName name="__lb9" hidden="1">#REF!</definedName>
    <definedName name="__lbc1" hidden="1">#REF!</definedName>
    <definedName name="__lbc10" hidden="1">#REF!</definedName>
    <definedName name="__lbc11" hidden="1">#REF!</definedName>
    <definedName name="__lbc12" hidden="1">#REF!</definedName>
    <definedName name="__lbc13" hidden="1">#REF!</definedName>
    <definedName name="__lbc14" hidden="1">#REF!</definedName>
    <definedName name="__lbc15" hidden="1">#REF!</definedName>
    <definedName name="__lbc16" hidden="1">#REF!</definedName>
    <definedName name="__lbc17" hidden="1">#REF!</definedName>
    <definedName name="__lbc18" hidden="1">#REF!</definedName>
    <definedName name="__lbc19" hidden="1">#REF!</definedName>
    <definedName name="__lbc2" hidden="1">#REF!</definedName>
    <definedName name="__lbc20" hidden="1">#REF!</definedName>
    <definedName name="__lbc21" hidden="1">#REF!</definedName>
    <definedName name="__lbc22" hidden="1">#REF!</definedName>
    <definedName name="__lbc23" hidden="1">#REF!</definedName>
    <definedName name="__lbc24" hidden="1">#REF!</definedName>
    <definedName name="__lbc25" hidden="1">#REF!</definedName>
    <definedName name="__lbc26" hidden="1">#REF!</definedName>
    <definedName name="__lbc27" hidden="1">#REF!</definedName>
    <definedName name="__lbc28" hidden="1">#REF!</definedName>
    <definedName name="__lbc29" hidden="1">#REF!</definedName>
    <definedName name="__lbc3" hidden="1">#REF!</definedName>
    <definedName name="__lbc31" hidden="1">#REF!</definedName>
    <definedName name="__lbc32" hidden="1">#REF!</definedName>
    <definedName name="__lbc4" hidden="1">#REF!</definedName>
    <definedName name="__lbc5" hidden="1">#REF!</definedName>
    <definedName name="__lbc6" hidden="1">#REF!</definedName>
    <definedName name="__lbc7" hidden="1">#REF!</definedName>
    <definedName name="__lbc8" hidden="1">#REF!</definedName>
    <definedName name="__lbc9" hidden="1">#REF!</definedName>
    <definedName name="__ld26" hidden="1">#REF!</definedName>
    <definedName name="__ld31" hidden="1">#REF!</definedName>
    <definedName name="__le31" hidden="1">#REF!</definedName>
    <definedName name="__lf31" hidden="1">#REF!</definedName>
    <definedName name="__PK2" hidden="1">{"'장비'!$A$3:$M$12"}</definedName>
    <definedName name="__PKG3" hidden="1">{"'장비'!$A$3:$M$12"}</definedName>
    <definedName name="__qqq222" hidden="1">{"'장비'!$A$3:$M$12"}</definedName>
    <definedName name="__QT100">#REF!</definedName>
    <definedName name="__QT2">#REF!</definedName>
    <definedName name="__QT3">#REF!</definedName>
    <definedName name="__QT4">#REF!</definedName>
    <definedName name="__QT50">#REF!</definedName>
    <definedName name="__QT75">#REF!</definedName>
    <definedName name="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x10" hidden="1">#REF!</definedName>
    <definedName name="__x11" hidden="1">#REF!</definedName>
    <definedName name="__x12" hidden="1">#REF!</definedName>
    <definedName name="__x13" hidden="1">#REF!</definedName>
    <definedName name="__x14" hidden="1">#REF!</definedName>
    <definedName name="__x15" hidden="1">#REF!</definedName>
    <definedName name="__x16" hidden="1">#REF!</definedName>
    <definedName name="__x17" hidden="1">#REF!</definedName>
    <definedName name="__x18" hidden="1">#REF!</definedName>
    <definedName name="__x19" hidden="1">#REF!</definedName>
    <definedName name="__x20" hidden="1">#REF!</definedName>
    <definedName name="__x21" hidden="1">#REF!</definedName>
    <definedName name="__x22" hidden="1">#REF!</definedName>
    <definedName name="__x23" hidden="1">#REF!</definedName>
    <definedName name="__x24" hidden="1">#REF!</definedName>
    <definedName name="__x25" hidden="1">#REF!</definedName>
    <definedName name="__x28" hidden="1">#REF!</definedName>
    <definedName name="__x29" hidden="1">#REF!</definedName>
    <definedName name="__x32" hidden="1">#REF!</definedName>
    <definedName name="__x4" hidden="1">#REF!</definedName>
    <definedName name="__x5" hidden="1">#REF!</definedName>
    <definedName name="__x6" hidden="1">#REF!</definedName>
    <definedName name="__x7" hidden="1">#REF!</definedName>
    <definedName name="__x8" hidden="1">#REF!</definedName>
    <definedName name="__x9" hidden="1">#REF!</definedName>
    <definedName name="_0.CURVA_OBRA">#REF!</definedName>
    <definedName name="_00.VAR._GASTO">#REF!</definedName>
    <definedName name="_000.CURVA_FINA">#REF!</definedName>
    <definedName name="_1">#REF!</definedName>
    <definedName name="_1__123Graph_ACHART_1" hidden="1">#REF!</definedName>
    <definedName name="_10__123Graph_CCHART_1" hidden="1">#REF!</definedName>
    <definedName name="_11.SERV.TECNIC">#REF!</definedName>
    <definedName name="_11__123Graph_DCHART_1" hidden="1">#REF!</definedName>
    <definedName name="_12.GAST_GERAIS">#REF!</definedName>
    <definedName name="_12__123Graph_XChart_1A" hidden="1">#REF!</definedName>
    <definedName name="_13.P._PERMAN.">#REF!</definedName>
    <definedName name="_15.IMPL._CANT">#REF!</definedName>
    <definedName name="_16.EQUIPAM.">#REF!</definedName>
    <definedName name="_17.OPER._CANT.">#REF!</definedName>
    <definedName name="_19.TRANC_LIMP.">#REF!</definedName>
    <definedName name="_1Dist_Val" hidden="1">#REF!</definedName>
    <definedName name="_2">#REF!</definedName>
    <definedName name="_2__123Graph_BCHART_1" hidden="1">#REF!</definedName>
    <definedName name="_25.PREP.TERREN">#REF!</definedName>
    <definedName name="_27.FUND._ESCOR">#REF!</definedName>
    <definedName name="_2F" hidden="1">#REF!</definedName>
    <definedName name="_3__123Graph_XCHART_1" hidden="1">#REF!</definedName>
    <definedName name="_31_32_33.C_A">#REF!</definedName>
    <definedName name="_41.ALVENARIA">#REF!</definedName>
    <definedName name="_47.IMP._ISOLA.">#REF!</definedName>
    <definedName name="_5__123Graph_ACHART_1" hidden="1">#REF!</definedName>
    <definedName name="_51.REV.ARGAMAS">#REF!</definedName>
    <definedName name="_52.REV.CERAM.I">#REF!</definedName>
    <definedName name="_53.REV.CERAM.E">#REF!</definedName>
    <definedName name="_54.TACOS_E_ASS">#REF!</definedName>
    <definedName name="_55.MARM._E_GRA">#REF!</definedName>
    <definedName name="_56.MARMORITE">#REF!</definedName>
    <definedName name="_59.OUTRS_REVES">#REF!</definedName>
    <definedName name="_6__123Graph_AChart_1A" hidden="1">#REF!</definedName>
    <definedName name="_61.ESQUAD._MAD">#REF!</definedName>
    <definedName name="_63.ESQUAD._ALU">#REF!</definedName>
    <definedName name="_65.ESQUAD._FER">#REF!</definedName>
    <definedName name="_67.VIDROS">#REF!</definedName>
    <definedName name="_7__123Graph_ACHART_2" hidden="1">#REF!</definedName>
    <definedName name="_71_73.I.ELET_H">#REF!</definedName>
    <definedName name="_77.OUTRAS_INST.">#REF!</definedName>
    <definedName name="_78.ELEVADORES">#REF!</definedName>
    <definedName name="_8__123Graph_BChart_1A" hidden="1">#REF!</definedName>
    <definedName name="_81.APAR._SANIT">#REF!</definedName>
    <definedName name="_83_85.PINT_LIM">#REF!</definedName>
    <definedName name="_9__123Graph_BCHART_2" hidden="1">#REF!</definedName>
    <definedName name="_ACR10">#REF!</definedName>
    <definedName name="_ACR15">#REF!</definedName>
    <definedName name="_acr20">#REF!</definedName>
    <definedName name="_acr5">#REF!</definedName>
    <definedName name="_AMO_UniqueIdentifier" hidden="1">"'54256040-62ff-475a-9348-dbdfce08df30'"</definedName>
    <definedName name="_ARQ1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7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xe3">#REF!</definedName>
    <definedName name="_Axe4">#REF!</definedName>
    <definedName name="_Builtin13" hidden="1">#REF!</definedName>
    <definedName name="_CAB1">#REF!</definedName>
    <definedName name="_CAB2">#REF!</definedName>
    <definedName name="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Dist_Bin" hidden="1">#REF!</definedName>
    <definedName name="_Dist_Values" hidden="1">#REF!</definedName>
    <definedName name="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Fill" hidden="1">#REF!</definedName>
    <definedName name="_fill1" hidden="1">#REF!</definedName>
    <definedName name="_FiltrarBancoDados2" hidden="1">#REF!</definedName>
    <definedName name="_xlnm._FilterDatabase" localSheetId="14" hidden="1">Ambientes!$A$10:$U$1011</definedName>
    <definedName name="_xlnm._FilterDatabase" localSheetId="43" hidden="1">Auxiliar!$A$1:$D$68</definedName>
    <definedName name="_xlnm._FilterDatabase" localSheetId="0" hidden="1">DADOS_INICIAIS!#REF!</definedName>
    <definedName name="_xlnm._FilterDatabase" localSheetId="9" hidden="1">'REVESTIMENTO PAREDE PISCINA'!$A$10:$N$1000</definedName>
    <definedName name="_xlnm._FilterDatabase" localSheetId="8" hidden="1">'REVESTIMENTO PISO'!$A$10:$W$1014</definedName>
    <definedName name="_xlnm._FilterDatabase" localSheetId="10" hidden="1">'REVESTIMENTO TETO'!$A$10:$T$1011</definedName>
    <definedName name="_xlnm._FilterDatabase" hidden="1">#REF!</definedName>
    <definedName name="_htm2">#REF!</definedName>
    <definedName name="_htn2">#REF!</definedName>
    <definedName name="_IA0542" hidden="1">{#N/A,#N/A,FALSE,"Plan1";#N/A,#N/A,FALSE,"Plan2"}</definedName>
    <definedName name="_iss2">#REF!</definedName>
    <definedName name="_IV65617">#REF!</definedName>
    <definedName name="_IV65999">#REF!</definedName>
    <definedName name="_IV66000">#REF!</definedName>
    <definedName name="_IV67021">#REF!</definedName>
    <definedName name="_IV67022">#REF!</definedName>
    <definedName name="_Key1" hidden="1">#REF!</definedName>
    <definedName name="_Key2" hidden="1">#REF!</definedName>
    <definedName name="_KEY3" hidden="1">#REF!</definedName>
    <definedName name="_key4" hidden="1">#REF!</definedName>
    <definedName name="_l">#REF!</definedName>
    <definedName name="_la29" hidden="1">#REF!</definedName>
    <definedName name="_la3" hidden="1">#REF!</definedName>
    <definedName name="_la31" hidden="1">#REF!</definedName>
    <definedName name="_la32" hidden="1">#REF!</definedName>
    <definedName name="_la4" hidden="1">#REF!</definedName>
    <definedName name="_la5" hidden="1">#REF!</definedName>
    <definedName name="_la6" hidden="1">#REF!</definedName>
    <definedName name="_la7" hidden="1">#REF!</definedName>
    <definedName name="_la8" hidden="1">#REF!</definedName>
    <definedName name="_la9" hidden="1">#REF!</definedName>
    <definedName name="_lb1" hidden="1">#REF!</definedName>
    <definedName name="_lb10" hidden="1">#REF!</definedName>
    <definedName name="_lb11" hidden="1">#REF!</definedName>
    <definedName name="_lb12" hidden="1">#REF!</definedName>
    <definedName name="_lb13" hidden="1">#REF!</definedName>
    <definedName name="_lb14" hidden="1">#REF!</definedName>
    <definedName name="_lb15" hidden="1">#REF!</definedName>
    <definedName name="_lb16" hidden="1">#REF!</definedName>
    <definedName name="_lb17" hidden="1">#REF!</definedName>
    <definedName name="_lb18" hidden="1">#REF!</definedName>
    <definedName name="_lb19" hidden="1">#REF!</definedName>
    <definedName name="_lb2" hidden="1">#REF!</definedName>
    <definedName name="_lb20" hidden="1">#REF!</definedName>
    <definedName name="_lb21" hidden="1">#REF!</definedName>
    <definedName name="_lb22" hidden="1">#REF!</definedName>
    <definedName name="_lb23" hidden="1">#REF!</definedName>
    <definedName name="_lb24" hidden="1">#REF!</definedName>
    <definedName name="_lb25" hidden="1">#REF!</definedName>
    <definedName name="_lb27" hidden="1">#REF!</definedName>
    <definedName name="_lb28" hidden="1">#REF!</definedName>
    <definedName name="_lb29" hidden="1">#REF!</definedName>
    <definedName name="_lb3" hidden="1">#REF!</definedName>
    <definedName name="_lb30" hidden="1">#REF!</definedName>
    <definedName name="_lb31" hidden="1">#REF!</definedName>
    <definedName name="_lb32" hidden="1">#REF!</definedName>
    <definedName name="_lb4" hidden="1">#REF!</definedName>
    <definedName name="_lb5" hidden="1">#REF!</definedName>
    <definedName name="_lb6" hidden="1">#REF!</definedName>
    <definedName name="_lb7" hidden="1">#REF!</definedName>
    <definedName name="_lb8" hidden="1">#REF!</definedName>
    <definedName name="_lb9" hidden="1">#REF!</definedName>
    <definedName name="_lbc1" hidden="1">#REF!</definedName>
    <definedName name="_lbc10" hidden="1">#REF!</definedName>
    <definedName name="_lbc11" hidden="1">#REF!</definedName>
    <definedName name="_lbc12" hidden="1">#REF!</definedName>
    <definedName name="_lbc13" hidden="1">#REF!</definedName>
    <definedName name="_lbc14" hidden="1">#REF!</definedName>
    <definedName name="_lbc15" hidden="1">#REF!</definedName>
    <definedName name="_lbc16" hidden="1">#REF!</definedName>
    <definedName name="_lbc17" hidden="1">#REF!</definedName>
    <definedName name="_lbc18" hidden="1">#REF!</definedName>
    <definedName name="_lbc19" hidden="1">#REF!</definedName>
    <definedName name="_lbc2" hidden="1">#REF!</definedName>
    <definedName name="_lbc20" hidden="1">#REF!</definedName>
    <definedName name="_lbc21" hidden="1">#REF!</definedName>
    <definedName name="_lbc22" hidden="1">#REF!</definedName>
    <definedName name="_lbc23" hidden="1">#REF!</definedName>
    <definedName name="_lbc24" hidden="1">#REF!</definedName>
    <definedName name="_lbc25" hidden="1">#REF!</definedName>
    <definedName name="_lbc26" hidden="1">#REF!</definedName>
    <definedName name="_lbc27" hidden="1">#REF!</definedName>
    <definedName name="_lbc28" hidden="1">#REF!</definedName>
    <definedName name="_lbc29" hidden="1">#REF!</definedName>
    <definedName name="_lbc3" hidden="1">#REF!</definedName>
    <definedName name="_lbc31" hidden="1">#REF!</definedName>
    <definedName name="_lbc32" hidden="1">#REF!</definedName>
    <definedName name="_lbc4" hidden="1">#REF!</definedName>
    <definedName name="_lbc5" hidden="1">#REF!</definedName>
    <definedName name="_lbc6" hidden="1">#REF!</definedName>
    <definedName name="_lbc7" hidden="1">#REF!</definedName>
    <definedName name="_lbc8" hidden="1">#REF!</definedName>
    <definedName name="_lbc9" hidden="1">#REF!</definedName>
    <definedName name="_ld26" hidden="1">#REF!</definedName>
    <definedName name="_ld31" hidden="1">#REF!</definedName>
    <definedName name="_le31" hidden="1">#REF!</definedName>
    <definedName name="_lf31" hidden="1">#REF!</definedName>
    <definedName name="_MatInverse_In" hidden="1">#REF!</definedName>
    <definedName name="_MatMult_A" hidden="1">#REF!</definedName>
    <definedName name="_MatMult_AxB" hidden="1">#REF!</definedName>
    <definedName name="_MatMult_B" hidden="1">#REF!</definedName>
    <definedName name="_new11" hidden="1">{#N/A,#N/A,FALSE,"Global by BU";#N/A,#N/A,FALSE,"U.S. by BU";#N/A,#N/A,FALSE,"Canada by BU";#N/A,#N/A,FALSE,"Europe by BU";#N/A,#N/A,FALSE,"Asia by BU";#N/A,#N/A,FALSE,"Cala by BU"}</definedName>
    <definedName name="_Order1" hidden="1">0</definedName>
    <definedName name="_Order2" hidden="1">255</definedName>
    <definedName name="_Parse_Out" hidden="1">#REF!</definedName>
    <definedName name="_PAV01">#REF!</definedName>
    <definedName name="_PAV02">#REF!</definedName>
    <definedName name="_PAV03">#REF!</definedName>
    <definedName name="_PAV04">#REF!</definedName>
    <definedName name="_PAV05">#REF!</definedName>
    <definedName name="_PAV06">#REF!</definedName>
    <definedName name="_PAV07">#REF!</definedName>
    <definedName name="_PAV08">#REF!</definedName>
    <definedName name="_PAV09">#REF!</definedName>
    <definedName name="_PAV10">#REF!</definedName>
    <definedName name="_PAV11">#REF!</definedName>
    <definedName name="_PK2" hidden="1">{"'장비'!$A$3:$M$12"}</definedName>
    <definedName name="_PKG3" hidden="1">{"'장비'!$A$3:$M$12"}</definedName>
    <definedName name="_qqq222" hidden="1">{"'장비'!$A$3:$M$12"}</definedName>
    <definedName name="_QT100">#REF!</definedName>
    <definedName name="_QT2">#REF!</definedName>
    <definedName name="_QT3">#REF!</definedName>
    <definedName name="_QT4">#REF!</definedName>
    <definedName name="_QT50">#REF!</definedName>
    <definedName name="_QT75">#REF!</definedName>
    <definedName name="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fe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ort" hidden="1">#REF!</definedName>
    <definedName name="_T">#REF!</definedName>
    <definedName name="_Table1_In1" hidden="1">#REF!</definedName>
    <definedName name="_Table1_Out" hidden="1">#REF!</definedName>
    <definedName name="_wer3" hidden="1">{#N/A,#N/A,FALSE,"Plan1";#N/A,#N/A,FALSE,"Plan2"}</definedName>
    <definedName name="_wrn.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x10" hidden="1">#REF!</definedName>
    <definedName name="_x11" hidden="1">#REF!</definedName>
    <definedName name="_x12" hidden="1">#REF!</definedName>
    <definedName name="_x13" hidden="1">#REF!</definedName>
    <definedName name="_x14" hidden="1">#REF!</definedName>
    <definedName name="_x15" hidden="1">#REF!</definedName>
    <definedName name="_x16" hidden="1">#REF!</definedName>
    <definedName name="_x17" hidden="1">#REF!</definedName>
    <definedName name="_x18" hidden="1">#REF!</definedName>
    <definedName name="_x19" hidden="1">#REF!</definedName>
    <definedName name="_x20" hidden="1">#REF!</definedName>
    <definedName name="_x21" hidden="1">#REF!</definedName>
    <definedName name="_x22" hidden="1">#REF!</definedName>
    <definedName name="_x23" hidden="1">#REF!</definedName>
    <definedName name="_x24" hidden="1">#REF!</definedName>
    <definedName name="_x25" hidden="1">#REF!</definedName>
    <definedName name="_x28" hidden="1">#REF!</definedName>
    <definedName name="_x29" hidden="1">#REF!</definedName>
    <definedName name="_x32" hidden="1">#REF!</definedName>
    <definedName name="_x4" hidden="1">#REF!</definedName>
    <definedName name="_x5" hidden="1">#REF!</definedName>
    <definedName name="_x6" hidden="1">#REF!</definedName>
    <definedName name="_x7" hidden="1">#REF!</definedName>
    <definedName name="_x8" hidden="1">#REF!</definedName>
    <definedName name="_x9" hidden="1">#REF!</definedName>
    <definedName name="_xlcn.WorksheetConnection_2018_03ResumoRGOObrasRJ.xlsbTabela1" hidden="1">#REF!</definedName>
    <definedName name="_xlcn.WorksheetConnection_ProjetocontrolefisicoefinanceiroRJ.xlsxTabela31" hidden="1">#REF!</definedName>
    <definedName name="´cAE°eE¹" hidden="1">#REF!</definedName>
    <definedName name="￠￥cAE¡ÆeEⓒo" hidden="1">#REF!</definedName>
    <definedName name="a">#REF!</definedName>
    <definedName name="a\sgt" hidden="1">{#N/A,#N/A,FALSE,"Plan1";#N/A,#N/A,FALSE,"Plan2"}</definedName>
    <definedName name="aa" localSheetId="38">#REF!</definedName>
    <definedName name="aa" localSheetId="22">#REF!</definedName>
    <definedName name="aa" localSheetId="0">#REF!</definedName>
    <definedName name="aa" localSheetId="24">#REF!</definedName>
    <definedName name="aa">#REF!</definedName>
    <definedName name="aaa">#REF!</definedName>
    <definedName name="AAAA" localSheetId="3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" localSheetId="22">#REF!</definedName>
    <definedName name="aaaa" localSheetId="21">#REF!</definedName>
    <definedName name="aaaa" localSheetId="0">#REF!</definedName>
    <definedName name="aaaa" localSheetId="24">#REF!</definedName>
    <definedName name="aaaa" localSheetId="17">#REF!</definedName>
    <definedName name="aaaa" localSheetId="18">'[1]M.O.'!#REF!</definedName>
    <definedName name="aaaa" localSheetId="1">#REF!</definedName>
    <definedName name="aaaa" localSheetId="19">#REF!</definedName>
    <definedName name="aaaa" localSheetId="41">'[1]M.O.'!#REF!</definedName>
    <definedName name="aaaa">#REF!</definedName>
    <definedName name="aaaaaaaaa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dc">#REF!</definedName>
    <definedName name="aaacccc" hidden="1">{#N/A,#N/A,FALSE,"Plan1";#N/A,#N/A,FALSE,"Plan2"}</definedName>
    <definedName name="aaas">#REF!</definedName>
    <definedName name="AB">#REF!</definedName>
    <definedName name="Abat_ISS">#REF!</definedName>
    <definedName name="ab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D" hidden="1">#REF!</definedName>
    <definedName name="abebqt">#REF!</definedName>
    <definedName name="abr17RJ">#REF!</definedName>
    <definedName name="ABRIL">#REF!</definedName>
    <definedName name="ABRIL2001">#REF!</definedName>
    <definedName name="ac" hidden="1">#REF!</definedName>
    <definedName name="Acabam.">#REF!</definedName>
    <definedName name="ACADUC">#REF!</definedName>
    <definedName name="ACBEB">#REF!</definedName>
    <definedName name="ACBOMB">#REF!</definedName>
    <definedName name="AccessDatabase" hidden="1">"C:\posec\DATABASE\vlv_list\vlvlist1.mdb"</definedName>
    <definedName name="ACCHAF">#REF!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db" hidden="1">#REF!</definedName>
    <definedName name="ACDER">#REF!</definedName>
    <definedName name="ACDIV">#REF!</definedName>
    <definedName name="ACDS" hidden="1">#REF!</definedName>
    <definedName name="ACEQP">#REF!</definedName>
    <definedName name="ACHAFQT">#REF!</definedName>
    <definedName name="achar18" hidden="1">#REF!</definedName>
    <definedName name="achar19" hidden="1">#REF!</definedName>
    <definedName name="achart1" hidden="1">#REF!</definedName>
    <definedName name="achart10" hidden="1">#REF!</definedName>
    <definedName name="achart11" hidden="1">#REF!</definedName>
    <definedName name="achart12" hidden="1">#REF!</definedName>
    <definedName name="achart13" hidden="1">#REF!</definedName>
    <definedName name="achart14" hidden="1">#REF!</definedName>
    <definedName name="achart15" hidden="1">#REF!</definedName>
    <definedName name="achart16" hidden="1">#REF!</definedName>
    <definedName name="achart17" hidden="1">#REF!</definedName>
    <definedName name="achart2" hidden="1">#REF!</definedName>
    <definedName name="achart20" hidden="1">#REF!</definedName>
    <definedName name="achart21" hidden="1">#REF!</definedName>
    <definedName name="achart22" hidden="1">#REF!</definedName>
    <definedName name="achart23" hidden="1">#REF!</definedName>
    <definedName name="achart24" hidden="1">#REF!</definedName>
    <definedName name="achart25" hidden="1">#REF!</definedName>
    <definedName name="achart26" hidden="1">#REF!</definedName>
    <definedName name="achart27" hidden="1">#REF!</definedName>
    <definedName name="achart28" hidden="1">#REF!</definedName>
    <definedName name="achart29" hidden="1">#REF!</definedName>
    <definedName name="achart3" hidden="1">#REF!</definedName>
    <definedName name="achart30" hidden="1">#REF!</definedName>
    <definedName name="achart31" hidden="1">#REF!</definedName>
    <definedName name="achart32" hidden="1">#REF!</definedName>
    <definedName name="achart4" hidden="1">#REF!</definedName>
    <definedName name="achart5" hidden="1">#REF!</definedName>
    <definedName name="achart6" hidden="1">#REF!</definedName>
    <definedName name="achart7" hidden="1">#REF!</definedName>
    <definedName name="achart8" hidden="1">#REF!</definedName>
    <definedName name="achart9" hidden="1">#REF!</definedName>
    <definedName name="ACMUR">#REF!</definedName>
    <definedName name="açoeeer" hidden="1">{#N/A,#N/A,FALSE,"Plan1";#N/A,#N/A,FALSE,"Plan2"}</definedName>
    <definedName name="ACOMP">#REF!</definedName>
    <definedName name="ACONT2">#REF!</definedName>
    <definedName name="ACPIPA">#REF!</definedName>
    <definedName name="ACTRANSP">#REF!</definedName>
    <definedName name="ACwvu.Características." hidden="1">#REF!</definedName>
    <definedName name="ACwvu.Ciclos." hidden="1">#REF!</definedName>
    <definedName name="ACwvu.Custos." hidden="1">#REF!</definedName>
    <definedName name="ACwvu.PLANILHA2." hidden="1">#REF!</definedName>
    <definedName name="ACwvu.Recursos." hidden="1">#REF!</definedName>
    <definedName name="ad" hidden="1">{#N/A,#N/A,FALSE,"Plan1";#N/A,#N/A,FALSE,"Plan2"}</definedName>
    <definedName name="adads" hidden="1">{#N/A,#N/A,FALSE,"Plan1";#N/A,#N/A,FALSE,"Plan2"}</definedName>
    <definedName name="adads2" hidden="1">{#N/A,#N/A,FALSE,"Plan1";#N/A,#N/A,FALSE,"Plan2"}</definedName>
    <definedName name="adced" hidden="1">{#N/A,#N/A,FALSE,"Plan1";#N/A,#N/A,FALSE,"Plan2"}</definedName>
    <definedName name="adced2" hidden="1">{#N/A,#N/A,FALSE,"Plan1";#N/A,#N/A,FALSE,"Plan2"}</definedName>
    <definedName name="ader" hidden="1">{#N/A,#N/A,FALSE,"Plan1";#N/A,#N/A,FALSE,"Plan2"}</definedName>
    <definedName name="ader2" hidden="1">{#N/A,#N/A,FALSE,"Plan1";#N/A,#N/A,FALSE,"Plan2"}</definedName>
    <definedName name="adesr" hidden="1">{#N/A,#N/A,FALSE,"Plan1";#N/A,#N/A,FALSE,"Plan2"}</definedName>
    <definedName name="adew" hidden="1">"3ORZTPXRHBU97C8AJ5UM8CAVA"</definedName>
    <definedName name="adewr" hidden="1">{#N/A,#N/A,FALSE,"Plan1";#N/A,#N/A,FALSE,"Plan2"}</definedName>
    <definedName name="adf" hidden="1">{#N/A,#N/A,FALSE,"Plan1";#N/A,#N/A,FALSE,"Plan2"}</definedName>
    <definedName name="ADITIVO_BRUTO">#REF!</definedName>
    <definedName name="ADITIVO_LIQUIDO">#REF!</definedName>
    <definedName name="ADM.EXTERNA">#REF!</definedName>
    <definedName name="adsfr" hidden="1">{#N/A,#N/A,FALSE,"Plan1";#N/A,#N/A,FALSE,"Plan2"}</definedName>
    <definedName name="adssrgtg" hidden="1">{#N/A,#N/A,FALSE,"Plan1";#N/A,#N/A,FALSE,"Plan2"}</definedName>
    <definedName name="adtsetrr6t" hidden="1">{#N/A,#N/A,FALSE,"Plan1";#N/A,#N/A,FALSE,"Plan2"}</definedName>
    <definedName name="ADUCQT">#REF!</definedName>
    <definedName name="adwr" hidden="1">{#N/A,#N/A,FALSE,"Plan1";#N/A,#N/A,FALSE,"Plan2"}</definedName>
    <definedName name="aeiresft" hidden="1">{#N/A,#N/A,FALSE,"Plan1";#N/A,#N/A,FALSE,"Plan2"}</definedName>
    <definedName name="aEL3QE" hidden="1">{#N/A,#N/A,FALSE,"Plan1";#N/A,#N/A,FALSE,"Plan2"}</definedName>
    <definedName name="afeasfre" hidden="1">{#N/A,#N/A,FALSE,"Plan1";#N/A,#N/A,FALSE,"Plan2"}</definedName>
    <definedName name="agdsf" hidden="1">#REF!</definedName>
    <definedName name="ago17RJ">#REF!</definedName>
    <definedName name="AGOSTO">#REF!</definedName>
    <definedName name="agu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H" hidden="1">{#N/A,#N/A,FALSE,"CCTV"}</definedName>
    <definedName name="AITEM">#REF!</definedName>
    <definedName name="Ajudante_Geral">#REF!</definedName>
    <definedName name="ajudante_mes">#REF!</definedName>
    <definedName name="AL">#REF!</definedName>
    <definedName name="ALTADUC">#REF!</definedName>
    <definedName name="ALTBOMB">#REF!</definedName>
    <definedName name="ALTCAP">#REF!</definedName>
    <definedName name="ALTDER">#REF!</definedName>
    <definedName name="ALTEQUIP">#REF!</definedName>
    <definedName name="ALTIEQP">#REF!</definedName>
    <definedName name="ALTMUR">#REF!</definedName>
    <definedName name="ALTRES10">#REF!</definedName>
    <definedName name="ALTRES15">#REF!</definedName>
    <definedName name="ALTRES20">#REF!</definedName>
    <definedName name="ALTTRANS">#REF!</definedName>
    <definedName name="ALUMÍNIO_2">#REF!</definedName>
    <definedName name="angelo" localSheetId="38">#REF!</definedName>
    <definedName name="angelo" localSheetId="21">#REF!</definedName>
    <definedName name="angelo" localSheetId="0">#REF!</definedName>
    <definedName name="angelo" localSheetId="24">#REF!</definedName>
    <definedName name="angelo" localSheetId="17">#REF!</definedName>
    <definedName name="angelo" localSheetId="18">[2]Geral!#REF!</definedName>
    <definedName name="angelo" localSheetId="1">#REF!</definedName>
    <definedName name="angelo" localSheetId="19">#REF!</definedName>
    <definedName name="angelo" localSheetId="41">[2]Geral!#REF!</definedName>
    <definedName name="angelo">#REF!</definedName>
    <definedName name="anscount" hidden="1">3</definedName>
    <definedName name="AQE" hidden="1">{"'장비'!$A$3:$M$12"}</definedName>
    <definedName name="AQTEMP1">#REF!</definedName>
    <definedName name="AQTEMP2">#REF!</definedName>
    <definedName name="ArComprimido" hidden="1">{"'Estimativa de Lançamento-JAN'!$A$1:$AI$85"}</definedName>
    <definedName name="area" localSheetId="38" hidden="1">{#N/A,#N/A,FALSE,"Plan1";#N/A,#N/A,FALSE,"Plan2"}</definedName>
    <definedName name="area">#REF!</definedName>
    <definedName name="área">#REF!</definedName>
    <definedName name="_xlnm.Print_Area" localSheetId="11">'Acabamentos de Piso'!$A$1:$H$30</definedName>
    <definedName name="_xlnm.Print_Area" localSheetId="13">'Acabamentos de Teto'!$A$1:$H$19</definedName>
    <definedName name="_xlnm.Print_Area" localSheetId="7">Alvenaria!$A$1:$H$24</definedName>
    <definedName name="_xlnm.Print_Area" localSheetId="38">#REF!</definedName>
    <definedName name="_xlnm.Print_Area" localSheetId="21">Complementares!$A$1:$G$16</definedName>
    <definedName name="_xlnm.Print_Area" localSheetId="3">CONTENÇÕES!$A$1:$I$32</definedName>
    <definedName name="_xlnm.Print_Area" localSheetId="0">DADOS_INICIAIS!$A$1:$H$27</definedName>
    <definedName name="_xlnm.Print_Area" localSheetId="26">Esquadrias!$A$1:$H$27</definedName>
    <definedName name="_xlnm.Print_Area" localSheetId="16">Impermeabilização!$A$1:$H$26</definedName>
    <definedName name="_xlnm.Print_Area" localSheetId="4">'INFRAESTRUTURA REV01'!$A$1:$I$30</definedName>
    <definedName name="_xlnm.Print_Area" localSheetId="17">Instalações!$A$1:$E$33</definedName>
    <definedName name="_xlnm.Print_Area" localSheetId="18">'Instalações Lumis'!$A$1:$F$51</definedName>
    <definedName name="_xlnm.Print_Area" localSheetId="1">MOVIMENTAÇÃO_DE_TERRA!$A$1:$G$27</definedName>
    <definedName name="_xlnm.Print_Area" localSheetId="15">'Pintura Interna'!$A$1:$H$19</definedName>
    <definedName name="_xlnm.Print_Area" localSheetId="32">'Rev. Fachada'!$A$1:$H$24</definedName>
    <definedName name="_xlnm.Print_Area" localSheetId="12">'Rev. Internos de Parede'!$A$1:$H$21</definedName>
    <definedName name="_xlnm.Print_Area" localSheetId="19">'Sistemas Especiais'!$A$1:$E$37</definedName>
    <definedName name="_xlnm.Print_Area" localSheetId="41">#REF!</definedName>
    <definedName name="_xlnm.Print_Area" localSheetId="5">SUPRAESTRUTURA!$A$1:$I$24</definedName>
    <definedName name="_xlnm.Print_Area" localSheetId="6">'SUPRAESTRUTURA (2)'!$A$1:$I$23</definedName>
    <definedName name="_xlnm.Print_Area">#REF!</definedName>
    <definedName name="Área_impressão_IM">#REF!</definedName>
    <definedName name="area1">#REF!</definedName>
    <definedName name="Areaimpresso">#REF!</definedName>
    <definedName name="ARM">#REF!</definedName>
    <definedName name="ARMABLOCOS">#REF!</definedName>
    <definedName name="ARMAÇÃO">#REF!</definedName>
    <definedName name="ARQ">#REF!</definedName>
    <definedName name="ARQERR">#REF!</definedName>
    <definedName name="ARQPLAN">#REF!</definedName>
    <definedName name="ARQT">#REF!</definedName>
    <definedName name="ARQTEMP">#REF!</definedName>
    <definedName name="ARQTXT">#REF!</definedName>
    <definedName name="ARTEMP">#REF!</definedName>
    <definedName name="AS">#REF!</definedName>
    <definedName name="AS2DocOpenMode" hidden="1">"AS2DocumentBrowse"</definedName>
    <definedName name="asawe3" hidden="1">{#N/A,#N/A,FALSE,"Plan1";#N/A,#N/A,FALSE,"Plan2"}</definedName>
    <definedName name="ASD" hidden="1">17</definedName>
    <definedName name="ASDA" hidden="1">{#N/A,#N/A,FALSE,"Plan1";#N/A,#N/A,FALSE,"Plan2"}</definedName>
    <definedName name="asdade" hidden="1">{#N/A,#N/A,FALSE,"Plan1";#N/A,#N/A,FALSE,"Plan2"}</definedName>
    <definedName name="asdas" hidden="1">{#N/A,#N/A,FALSE,"Plan1";#N/A,#N/A,FALSE,"Plan2"}</definedName>
    <definedName name="asdawed" hidden="1">{#N/A,#N/A,FALSE,"Plan1";#N/A,#N/A,FALSE,"Plan2"}</definedName>
    <definedName name="ASDER" hidden="1">{#N/A,#N/A,FALSE,"Plan1";#N/A,#N/A,FALSE,"Plan2"}</definedName>
    <definedName name="asderr" hidden="1">{#N/A,#N/A,FALSE,"Plan1";#N/A,#N/A,FALSE,"Plan2"}</definedName>
    <definedName name="asdesre" hidden="1">{#N/A,#N/A,FALSE,"Plan1";#N/A,#N/A,FALSE,"Plan2"}</definedName>
    <definedName name="asdewr" hidden="1">{#N/A,#N/A,FALSE,"Plan1";#N/A,#N/A,FALSE,"Plan2"}</definedName>
    <definedName name="ASDFASDFA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rr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s" hidden="1">{#N/A,#N/A,FALSE,"Plan1";#N/A,#N/A,FALSE,"Plan2"}</definedName>
    <definedName name="asdg" hidden="1">{#N/A,#N/A,FALSE,"Plan1";#N/A,#N/A,FALSE,"Plan2"}</definedName>
    <definedName name="asdjksej" hidden="1">#REF!</definedName>
    <definedName name="asdk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las" hidden="1">{#N/A,#N/A,FALSE,"Plan1";#N/A,#N/A,FALSE,"Plan2"}</definedName>
    <definedName name="asdqwe" hidden="1">{#N/A,#N/A,FALSE,"Plan1";#N/A,#N/A,FALSE,"Plan2"}</definedName>
    <definedName name="asdsa" hidden="1">{#N/A,#N/A,FALSE,"Plan1";#N/A,#N/A,FALSE,"Plan2"}</definedName>
    <definedName name="asdser" hidden="1">{#N/A,#N/A,FALSE,"Plan1";#N/A,#N/A,FALSE,"Plan2"}</definedName>
    <definedName name="asdwef" hidden="1">{#N/A,#N/A,FALSE,"Plan1";#N/A,#N/A,FALSE,"Plan2"}</definedName>
    <definedName name="aseiuw" hidden="1">#REF!</definedName>
    <definedName name="ASET" hidden="1">{#N/A,#N/A,FALSE,"Plan1";#N/A,#N/A,FALSE,"Plan2"}</definedName>
    <definedName name="asfDSF" hidden="1">{#N/A,#N/A,FALSE,"Plan1";#N/A,#N/A,FALSE,"Plan2"}</definedName>
    <definedName name="ASFERTE" hidden="1">{#N/A,#N/A,FALSE,"Plan1";#N/A,#N/A,FALSE,"Plan2"}</definedName>
    <definedName name="asfl" hidden="1">{#N/A,#N/A,FALSE,"Plan1";#N/A,#N/A,FALSE,"Plan2"}</definedName>
    <definedName name="asfsz" hidden="1">{#N/A,#N/A,FALSE,"Plan1";#N/A,#N/A,FALSE,"Plan2"}</definedName>
    <definedName name="askserf" hidden="1">{#N/A,#N/A,FALSE,"Plan1";#N/A,#N/A,FALSE,"Plan2"}</definedName>
    <definedName name="ASSFSDF" hidden="1">{#N/A,#N/A,FALSE,"Plan1";#N/A,#N/A,FALSE,"Plan2"}</definedName>
    <definedName name="asw" hidden="1">{#N/A,#N/A,FALSE,"Plan1";#N/A,#N/A,FALSE,"Plan2"}</definedName>
    <definedName name="Até_Chaves">#REF!</definedName>
    <definedName name="ATIVOS" hidden="1">{#N/A,#N/A,FALSE,"F-01"}</definedName>
    <definedName name="Ato">#REF!</definedName>
    <definedName name="ATUAL">#REF!</definedName>
    <definedName name="aux" localSheetId="38">#REF!</definedName>
    <definedName name="aux" localSheetId="21">#REF!</definedName>
    <definedName name="aux" localSheetId="0">#REF!</definedName>
    <definedName name="aux" localSheetId="24">#REF!</definedName>
    <definedName name="aux" localSheetId="17">#REF!</definedName>
    <definedName name="aux" localSheetId="18">#REF!</definedName>
    <definedName name="aux" localSheetId="1">#REF!</definedName>
    <definedName name="aux" localSheetId="19">#REF!</definedName>
    <definedName name="aux" localSheetId="41">#REF!</definedName>
    <definedName name="aux">#REF!</definedName>
    <definedName name="AUXILIO">#REF!</definedName>
    <definedName name="avulsos">#REF!</definedName>
    <definedName name="awdjw" hidden="1">{#N/A,#N/A,FALSE,"Plan1";#N/A,#N/A,FALSE,"Plan2"}</definedName>
    <definedName name="aweqw4" hidden="1">{#N/A,#N/A,FALSE,"Plan1";#N/A,#N/A,FALSE,"Plan2"}</definedName>
    <definedName name="awssdwaer" hidden="1">{#N/A,#N/A,FALSE,"Plan1";#N/A,#N/A,FALSE,"Plan2"}</definedName>
    <definedName name="AZ" hidden="1">#REF!</definedName>
    <definedName name="B">#REF!</definedName>
    <definedName name="BA">#REF!</definedName>
    <definedName name="balão1">"AutoForma 17"</definedName>
    <definedName name="BANCO">#REF!</definedName>
    <definedName name="Banco_dados_IM">#REF!</definedName>
    <definedName name="_xlnm.Database">#REF!</definedName>
    <definedName name="BANCO1">#REF!</definedName>
    <definedName name="BANCO2">#REF!</definedName>
    <definedName name="BANCO3">#REF!</definedName>
    <definedName name="BANCO4">#REF!</definedName>
    <definedName name="BASE">OFFSET(#REF!,0,0,COUNTA(#REF!)+1,5)</definedName>
    <definedName name="BASE_DE_DADOS_FLUXO_DE_CAIXA">OFFSET(#REF!,0,0,COUNTA(#REF!),COUNTA(#REF!))</definedName>
    <definedName name="BASE_FL_CX_3S">OFFSET(#REF!,0,0,COUNTA(#REF!),COUNTA(#REF!))</definedName>
    <definedName name="BASE_FLUXO_CAIXA_2017">OFFSET(#REF!,0,0,COUNTA(#REF!),COUNTA(#REF!))</definedName>
    <definedName name="bb">#REF!</definedName>
    <definedName name="bbb">#REF!</definedName>
    <definedName name="bbbbbbbbbbbbbbb" hidden="1">{"'Edit'!$A$1:$V$2277"}</definedName>
    <definedName name="bchar10" hidden="1">#REF!</definedName>
    <definedName name="bchart1" hidden="1">#REF!</definedName>
    <definedName name="bchart11" hidden="1">#REF!</definedName>
    <definedName name="bchart12" hidden="1">#REF!</definedName>
    <definedName name="bchart13" hidden="1">#REF!</definedName>
    <definedName name="bchart14" hidden="1">#REF!</definedName>
    <definedName name="bchart15" hidden="1">#REF!</definedName>
    <definedName name="bchart16" hidden="1">#REF!</definedName>
    <definedName name="bchart17" hidden="1">#REF!</definedName>
    <definedName name="bchart18" hidden="1">#REF!</definedName>
    <definedName name="bchart19" hidden="1">#REF!</definedName>
    <definedName name="bchart2" hidden="1">#REF!</definedName>
    <definedName name="bchart20" hidden="1">#REF!</definedName>
    <definedName name="bchart21" hidden="1">#REF!</definedName>
    <definedName name="bchart22" hidden="1">#REF!</definedName>
    <definedName name="bchart23" hidden="1">#REF!</definedName>
    <definedName name="bchart24" hidden="1">#REF!</definedName>
    <definedName name="bchart25" hidden="1">#REF!</definedName>
    <definedName name="bchart26" hidden="1">#REF!</definedName>
    <definedName name="bchart27" hidden="1">#REF!</definedName>
    <definedName name="bchart28" hidden="1">#REF!</definedName>
    <definedName name="bchart29" hidden="1">#REF!</definedName>
    <definedName name="bchart3" hidden="1">#REF!</definedName>
    <definedName name="bchart30" hidden="1">#REF!</definedName>
    <definedName name="bchart31" hidden="1">#REF!</definedName>
    <definedName name="bchart32" hidden="1">#REF!</definedName>
    <definedName name="bchart4" hidden="1">#REF!</definedName>
    <definedName name="bchart5" hidden="1">#REF!</definedName>
    <definedName name="bchart6" hidden="1">#REF!</definedName>
    <definedName name="bchart7" hidden="1">#REF!</definedName>
    <definedName name="bchart8" hidden="1">#REF!</definedName>
    <definedName name="bchart9" hidden="1">#REF!</definedName>
    <definedName name="BD">#REF!</definedName>
    <definedName name="BDA" localSheetId="0">#REF!</definedName>
    <definedName name="BDA" localSheetId="24">#REF!</definedName>
    <definedName name="BDA" localSheetId="18">#REF!</definedName>
    <definedName name="BDA" localSheetId="41">#REF!</definedName>
    <definedName name="BDA">#REF!</definedName>
    <definedName name="bdfjghf" hidden="1">{#N/A,#N/A,FALSE,"Plan1";#N/A,#N/A,FALSE,"Plan2"}</definedName>
    <definedName name="BDI" localSheetId="38">1.43344312465585</definedName>
    <definedName name="BDI" localSheetId="24">#REF!</definedName>
    <definedName name="BDI">#REF!</definedName>
    <definedName name="bdzbfbdr" hidden="1">{#N/A,#N/A,FALSE,"Plan1";#N/A,#N/A,FALSE,"Plan2"}</definedName>
    <definedName name="be">#REF!</definedName>
    <definedName name="bebqt">#REF!</definedName>
    <definedName name="bela_cdi">#REF!</definedName>
    <definedName name="bela_hist">#REF!</definedName>
    <definedName name="bela_uss">#REF!</definedName>
    <definedName name="bg" hidden="1">#REF!</definedName>
    <definedName name="BGG" hidden="1">{#N/A,#N/A,FALSE,"Plan1";#N/A,#N/A,FALSE,"Plan2"}</definedName>
    <definedName name="bhjgfhfh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SDKHFE" hidden="1">{#N/A,#N/A,FALSE,"Plan1";#N/A,#N/A,FALSE,"Plan2"}</definedName>
    <definedName name="bloco">#REF!</definedName>
    <definedName name="BLPH1" hidden="1">#REF!</definedName>
    <definedName name="BLPH100" hidden="1">#REF!</definedName>
    <definedName name="BLPH101" hidden="1">#REF!</definedName>
    <definedName name="BLPH102" hidden="1">#REF!</definedName>
    <definedName name="BLPH103" hidden="1">#REF!</definedName>
    <definedName name="BLPH104" hidden="1">#REF!</definedName>
    <definedName name="BLPH107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bmdgghrtfde" hidden="1">{#N/A,#N/A,FALSE,"Plan1";#N/A,#N/A,FALSE,"Plan2"}</definedName>
    <definedName name="bnkjhjhdfxgt" hidden="1">{#N/A,#N/A,FALSE,"Plan1";#N/A,#N/A,FALSE,"Plan2"}</definedName>
    <definedName name="BORBA2">#REF!</definedName>
    <definedName name="BORDA1">#N/A</definedName>
    <definedName name="BuiltIn_Print_Area">#REF!</definedName>
    <definedName name="BuiltIn_Print_Area___0">#REF!</definedName>
    <definedName name="BuiltIn_Print_Titles">#REF!</definedName>
    <definedName name="BuiltIn_Print_Titles___0">#REF!</definedName>
    <definedName name="BV" hidden="1">#REF!</definedName>
    <definedName name="bxnzfmkzxbhdf" hidden="1">{#N/A,#N/A,FALSE,"Plan1";#N/A,#N/A,FALSE,"Plan2"}</definedName>
    <definedName name="ca" localSheetId="38">#REF!</definedName>
    <definedName name="ca" localSheetId="24">#REF!</definedName>
    <definedName name="ca">#REF!</definedName>
    <definedName name="CAB">#N/A</definedName>
    <definedName name="CAFS">"Carlos Antonio Fernandes da Silva"</definedName>
    <definedName name="CAGR">#REF!</definedName>
    <definedName name="caixa">#REF!</definedName>
    <definedName name="caix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mbio">#REF!</definedName>
    <definedName name="CAMP">#REF!</definedName>
    <definedName name="CAMPOS">#REF!</definedName>
    <definedName name="çaos\ewapo" hidden="1">{#N/A,#N/A,FALSE,"Plan1";#N/A,#N/A,FALSE,"Plan2"}</definedName>
    <definedName name="Capa" localSheetId="38">#REF!</definedName>
    <definedName name="Capa" localSheetId="24">#REF!</definedName>
    <definedName name="Capa">#REF!</definedName>
    <definedName name="CAPA2">#REF!</definedName>
    <definedName name="CAPA55">#REF!</definedName>
    <definedName name="CAPA55A">#REF!</definedName>
    <definedName name="CAPELA">#REF!</definedName>
    <definedName name="CARLA" hidden="1">#REF!</definedName>
    <definedName name="CARLOS1">#REF!</definedName>
    <definedName name="CARTÃO4">#REF!</definedName>
    <definedName name="CAT6_IP" hidden="1">{#N/A,#N/A,FALSE,"F-01"}</definedName>
    <definedName name="categori45">#REF!</definedName>
    <definedName name="CATEGORIA1">#REF!</definedName>
    <definedName name="CATEGORIA10">#REF!</definedName>
    <definedName name="CATEGORIA11">#REF!</definedName>
    <definedName name="CATEGORIA12">#REF!</definedName>
    <definedName name="CATEGORIA13">#REF!</definedName>
    <definedName name="CATEGORIA14">#REF!</definedName>
    <definedName name="CATEGORIA15">#REF!</definedName>
    <definedName name="CATEGORIA16">#REF!</definedName>
    <definedName name="CATEGORIA17">#REF!</definedName>
    <definedName name="CATEGORIA18">#REF!</definedName>
    <definedName name="CATEGORIA19">#REF!</definedName>
    <definedName name="CATEGORIA2">#REF!</definedName>
    <definedName name="CATEGORIA20">#REF!</definedName>
    <definedName name="CATEGORIA21">#REF!</definedName>
    <definedName name="CATEGORIA22">#REF!</definedName>
    <definedName name="CATEGORIA3">#REF!</definedName>
    <definedName name="CATEGORIA4">#REF!</definedName>
    <definedName name="CATEGORIA5">#REF!</definedName>
    <definedName name="CATEGORIA6">#REF!</definedName>
    <definedName name="CATEGORIA7">#REF!</definedName>
    <definedName name="CATEGORIA8">#REF!</definedName>
    <definedName name="CATEGORIA9">#REF!</definedName>
    <definedName name="CATORZE">#REF!</definedName>
    <definedName name="CAUX2">OFFSET(#REF!,0,0,COUNTA(#REF!)+1,1)</definedName>
    <definedName name="CAUX3">OFFSET(#REF!,0,0,COUNTA(#REF!)+1,1)</definedName>
    <definedName name="CCC">#REF!</definedName>
    <definedName name="ççç" hidden="1">{#N/A,#N/A,FALSE,"Plan1";#N/A,#N/A,FALSE,"Plan2"}</definedName>
    <definedName name="cccc" hidden="1">{#N/A,#N/A,FALSE,"Plan1";#N/A,#N/A,FALSE,"Plan2"}</definedName>
    <definedName name="ççççççç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cccccccc" hidden="1">{"HW",#N/A,FALSE,"1998"}</definedName>
    <definedName name="cchart1" hidden="1">#REF!</definedName>
    <definedName name="cchart10" hidden="1">#REF!</definedName>
    <definedName name="cchart11" hidden="1">#REF!</definedName>
    <definedName name="cchart12" hidden="1">#REF!</definedName>
    <definedName name="cchart13" hidden="1">#REF!</definedName>
    <definedName name="cchart14" hidden="1">#REF!</definedName>
    <definedName name="cchart15" hidden="1">#REF!</definedName>
    <definedName name="cchart16" hidden="1">#REF!</definedName>
    <definedName name="cchart17" hidden="1">#REF!</definedName>
    <definedName name="cchart18" hidden="1">#REF!</definedName>
    <definedName name="cchart19" hidden="1">#REF!</definedName>
    <definedName name="cchart2" hidden="1">#REF!</definedName>
    <definedName name="cchart20" hidden="1">#REF!</definedName>
    <definedName name="cchart21" hidden="1">#REF!</definedName>
    <definedName name="cchart22" hidden="1">#REF!</definedName>
    <definedName name="cchart23" hidden="1">#REF!</definedName>
    <definedName name="cchart24" hidden="1">#REF!</definedName>
    <definedName name="cchart25" hidden="1">#REF!</definedName>
    <definedName name="cchart26" hidden="1">#REF!</definedName>
    <definedName name="cchart27" hidden="1">#REF!</definedName>
    <definedName name="cchart28" hidden="1">#REF!</definedName>
    <definedName name="cchart29" hidden="1">#REF!</definedName>
    <definedName name="cchart3" hidden="1">#REF!</definedName>
    <definedName name="cchart31" hidden="1">#REF!</definedName>
    <definedName name="cchart32" hidden="1">#REF!</definedName>
    <definedName name="cchart4" hidden="1">#REF!</definedName>
    <definedName name="cchart5" hidden="1">#REF!</definedName>
    <definedName name="cchart6" hidden="1">#REF!</definedName>
    <definedName name="cchart7" hidden="1">#REF!</definedName>
    <definedName name="cchart8" hidden="1">#REF!</definedName>
    <definedName name="cchart9" hidden="1">#REF!</definedName>
    <definedName name="çcklfj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D">#REF!</definedName>
    <definedName name="çdfmerf" hidden="1">{#N/A,#N/A,FALSE,"Plan1";#N/A,#N/A,FALSE,"Plan2"}</definedName>
    <definedName name="CDSGHE" hidden="1">{#N/A,#N/A,FALSE,"Plan1";#N/A,#N/A,FALSE,"Plan2"}</definedName>
    <definedName name="cdvthd">#REF!</definedName>
    <definedName name="Cel_Constr">#REF!</definedName>
    <definedName name="CestaExcel">#REF!</definedName>
    <definedName name="CevaG">#REF!</definedName>
    <definedName name="CevaGS">#REF!</definedName>
    <definedName name="çfhjglkjhkljy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lçf" hidden="1">{#N/A,#N/A,FALSE,"Plan1";#N/A,#N/A,FALSE,"Plan2"}</definedName>
    <definedName name="CHAFQT">#REF!</definedName>
    <definedName name="Chaves">#REF!</definedName>
    <definedName name="chfch" hidden="1">{#N/A,#N/A,FALSE,"Plan1";#N/A,#N/A,FALSE,"Plan2"}</definedName>
    <definedName name="CI">#REF!</definedName>
    <definedName name="cidades">#REF!</definedName>
    <definedName name="CIFIXA">#REF!</definedName>
    <definedName name="CINCO">#REF!</definedName>
    <definedName name="CITOTAL">#REF!</definedName>
    <definedName name="CIVAR">#REF!</definedName>
    <definedName name="ÇJKRÇLFS" hidden="1">{"Econ Consolidado",#N/A,FALSE,"Econ Consol";"Fluxo de Caixa",#N/A,FALSE,"Fluxo Caixa";"Investimentos",#N/A,FALSE,"Investimentos"}</definedName>
    <definedName name="ÇJsrejtçe" hidden="1">{#N/A,#N/A,FALSE,"Plan1";#N/A,#N/A,FALSE,"Plan2"}</definedName>
    <definedName name="çkaçekow" hidden="1">{#N/A,#N/A,FALSE,"Plan1";#N/A,#N/A,FALSE,"Plan2"}</definedName>
    <definedName name="ÇKSDOEKR" hidden="1">{#N/A,#N/A,FALSE,"Plan1";#N/A,#N/A,FALSE,"Plan2"}</definedName>
    <definedName name="çl" hidden="1">{#N/A,#N/A,FALSE,"Plan1";#N/A,#N/A,FALSE,"Plan2"}</definedName>
    <definedName name="çlassde" hidden="1">{#N/A,#N/A,FALSE,"Plan1";#N/A,#N/A,FALSE,"Plan2"}</definedName>
    <definedName name="Classificação">#REF!</definedName>
    <definedName name="çlçlç" hidden="1">{#N/A,#N/A,FALSE,"Plan1";#N/A,#N/A,FALSE,"Plan2"}</definedName>
    <definedName name="çld" hidden="1">{#N/A,#N/A,FALSE,"Plan1";#N/A,#N/A,FALSE,"Plan2"}</definedName>
    <definedName name="çlererr" hidden="1">{#N/A,#N/A,FALSE,"Plan1";#N/A,#N/A,FALSE,"Plan2"}</definedName>
    <definedName name="çlertert" hidden="1">{#N/A,#N/A,FALSE,"Plan1";#N/A,#N/A,FALSE,"Plan2"}</definedName>
    <definedName name="çlkdflçkrlr" hidden="1">#REF!</definedName>
    <definedName name="çll" hidden="1">{#N/A,#N/A,FALSE,"Plan1";#N/A,#N/A,FALSE,"Plan2"}</definedName>
    <definedName name="C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BRANÇA">#REF!</definedName>
    <definedName name="Cod_Esquadrias">#REF!</definedName>
    <definedName name="CÓDG">OFFSET(#REF!,0,0,COUNTA(#REF!),1)</definedName>
    <definedName name="codigo2">#REF!</definedName>
    <definedName name="codigo3">#REF!</definedName>
    <definedName name="CÓDT">OFFSET(#REF!,0,0,COUNTA(#REF!)+1,1)</definedName>
    <definedName name="COFINS">#REF!</definedName>
    <definedName name="cofins2">#REF!</definedName>
    <definedName name="COGS">#REF!</definedName>
    <definedName name="COLSUB">#REF!</definedName>
    <definedName name="COMISSOES">#REF!</definedName>
    <definedName name="COMPOSICAO">#REF!</definedName>
    <definedName name="composição">#REF!</definedName>
    <definedName name="COMPR">#REF!</definedName>
    <definedName name="COMPRIMENTO">#REF!</definedName>
    <definedName name="COMPROMETIDO">#REF!</definedName>
    <definedName name="CONFIRMAR" hidden="1">{#N/A,#N/A,TRUE,"Quinzena 01 à 15-04-98 "}</definedName>
    <definedName name="cont" hidden="1">{#N/A,#N/A,FALSE,"Plan1";#N/A,#N/A,FALSE,"Plan2"}</definedName>
    <definedName name="CONT1">#REF!</definedName>
    <definedName name="CONT2">#REF!</definedName>
    <definedName name="CONT3">#REF!</definedName>
    <definedName name="CONTAIT">#REF!</definedName>
    <definedName name="CONTREC">#REF!</definedName>
    <definedName name="CONTRES">#REF!</definedName>
    <definedName name="CONTROLE">#REF!</definedName>
    <definedName name="CONVERSÃO">#REF!</definedName>
    <definedName name="cpmf">#REF!</definedName>
    <definedName name="Credor_Rel_Sienge">#REF!</definedName>
    <definedName name="_xlnm.Criteria">#REF!</definedName>
    <definedName name="CRONG">#REF!</definedName>
    <definedName name="cronograma" localSheetId="24">#REF!</definedName>
    <definedName name="cronograma">#REF!</definedName>
    <definedName name="CRONOGRAMA_FÍSICO_FINANCEIRO">#REF!</definedName>
    <definedName name="CS">#REF!</definedName>
    <definedName name="cs_diferida">#REF!</definedName>
    <definedName name="ÇSAÇDFW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dkfçdrkt" hidden="1">#REF!</definedName>
    <definedName name="CS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LÇDLFKD" hidden="1">{#N/A,#N/A,FALSE,"Plan1";#N/A,#N/A,FALSE,"Plan2"}</definedName>
    <definedName name="CT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UST_DIR_IND">#REF!</definedName>
    <definedName name="CUSTINDIRETO">#REF!</definedName>
    <definedName name="CUSTO_DIR_IND">#REF!</definedName>
    <definedName name="Custo_Direto_de_Obras_Civis_e_Instalações_...........................................">#REF!</definedName>
    <definedName name="Custo_Direto_em_geral">#REF!</definedName>
    <definedName name="custo_financing">#REF!</definedName>
    <definedName name="CUSTO_OUTROS">#REF!</definedName>
    <definedName name="Custo_Outros1">#REF!</definedName>
    <definedName name="CUSTODIRETO">#REF!</definedName>
    <definedName name="CUSTODIRETO_R">#REF!</definedName>
    <definedName name="CUSTODIRETO_U">#REF!</definedName>
    <definedName name="CUSTODIRETO1">#REF!</definedName>
    <definedName name="CUSTOFIN">#REF!</definedName>
    <definedName name="D" localSheetId="24">#REF!</definedName>
    <definedName name="D">#REF!</definedName>
    <definedName name="da">#REF!</definedName>
    <definedName name="dalm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sfrt" hidden="1">{#N/A,#N/A,FALSE,"Plan1";#N/A,#N/A,FALSE,"Plan2"}</definedName>
    <definedName name="DATA">#REF!</definedName>
    <definedName name="Data_base">#REF!</definedName>
    <definedName name="data_base_VL">#REF!</definedName>
    <definedName name="DATA_COTAÇÃO">#REF!</definedName>
    <definedName name="DATA_ENTREGA">#REF!</definedName>
    <definedName name="DATA_FECHA">#REF!</definedName>
    <definedName name="Data_Inicio">#REF!</definedName>
    <definedName name="Data_Lançado_Sienge">#REF!</definedName>
    <definedName name="Data_Pagamento_Sienge">#REF!</definedName>
    <definedName name="Data_Previsão_Medição_Fin_Medição">#REF!</definedName>
    <definedName name="Data_Tendência_Recebimento_Fin_Medições">#REF!</definedName>
    <definedName name="DATA1">#REF!</definedName>
    <definedName name="DATA3">#REF!</definedName>
    <definedName name="DATA4">#REF!</definedName>
    <definedName name="DATA6">#REF!</definedName>
    <definedName name="DataChaves_MAP">#REF!</definedName>
    <definedName name="DatasOut13AteDez20">#REF!</definedName>
    <definedName name="DÇDL" hidden="1">{#N/A,#N/A,FALSE,"Plan1";#N/A,#N/A,FALSE,"Plan2"}</definedName>
    <definedName name="dchart26" hidden="1">#REF!</definedName>
    <definedName name="dchart31" hidden="1">#REF!</definedName>
    <definedName name="dcnsfgdjkgb" hidden="1">{#N/A,#N/A,FALSE,"Plan1";#N/A,#N/A,FALSE,"Plan2"}</definedName>
    <definedName name="DÇWK" hidden="1">{#N/A,#N/A,FALSE,"Plan1";#N/A,#N/A,FALSE,"Plan2"}</definedName>
    <definedName name="D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D">#REF!</definedName>
    <definedName name="ddddd" hidden="1">{#N/A,#N/A,FALSE,"Plan1";#N/A,#N/A,FALSE,"Plan2"}</definedName>
    <definedName name="ddddddddddd">#REF!</definedName>
    <definedName name="dddddddddddddddddddddddddd">#REF!</definedName>
    <definedName name="dddddddddddddppppppppp">#REF!</definedName>
    <definedName name="dde" hidden="1">{#N/A,#N/A,FALSE,"Plan1";#N/A,#N/A,FALSE,"Plan2"}</definedName>
    <definedName name="ddfs" hidden="1">#REF!</definedName>
    <definedName name="ddgfdvgd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SFG" hidden="1">{#N/A,#N/A,FALSE,"Plan1";#N/A,#N/A,FALSE,"Plan2"}</definedName>
    <definedName name="dede" hidden="1">{#N/A,#N/A,FALSE,"Plan1";#N/A,#N/A,FALSE,"Plan2"}</definedName>
    <definedName name="defasagem">OFFSET(INDEX(#REF!,MATCH(#REF!,#REF!,0)),1,0,COUNTA(#REF!)-1)</definedName>
    <definedName name="depara">#REF!</definedName>
    <definedName name="DERIVQT">#REF!</definedName>
    <definedName name="des" hidden="1">{#N/A,#N/A,FALSE,"Plan1";#N/A,#N/A,FALSE,"Plan2"}</definedName>
    <definedName name="desc" hidden="1">{#N/A,#N/A,FALSE,"Plan1";#N/A,#N/A,FALSE,"Plan2"}</definedName>
    <definedName name="DESCONTO">#REF!</definedName>
    <definedName name="DESCRIÇÃO_OBRA">#REF!</definedName>
    <definedName name="DespFatur">#REF!</definedName>
    <definedName name="DEZ">#REF!</definedName>
    <definedName name="dez17RJ">#REF!</definedName>
    <definedName name="DEZEMBRO">#REF!</definedName>
    <definedName name="DEZENOVE">#REF!</definedName>
    <definedName name="DEZESSEIS">#REF!</definedName>
    <definedName name="DEZESSETE">#REF!</definedName>
    <definedName name="DEZOITO">#REF!</definedName>
    <definedName name="d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" hidden="1">{#N/A,#N/A,FALSE,"명세표"}</definedName>
    <definedName name="dfdfty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jgfdfgdf" hidden="1">{#N/A,#N/A,FALSE,"Plan1";#N/A,#N/A,FALSE,"Plan2"}</definedName>
    <definedName name="dfdrtrr" hidden="1">{#N/A,#N/A,FALSE,"Plan1";#N/A,#N/A,FALSE,"Plan2"}</definedName>
    <definedName name="DFDSG" hidden="1">{#N/A,#N/A,FALSE,"Plan1";#N/A,#N/A,FALSE,"Plan2"}</definedName>
    <definedName name="dfer" hidden="1">{#N/A,#N/A,FALSE,"Plan1";#N/A,#N/A,FALSE,"Plan2"}</definedName>
    <definedName name="dffbty" hidden="1">{#N/A,#N/A,FALSE,"Plan1";#N/A,#N/A,FALSE,"Plan2"}</definedName>
    <definedName name="dffg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hg" hidden="1">{#N/A,#N/A,FALSE,"Plan1";#N/A,#N/A,FALSE,"Plan2"}</definedName>
    <definedName name="dfg" hidden="1">{#N/A,#N/A,FALSE,"Plan1";#N/A,#N/A,FALSE,"Plan2"}</definedName>
    <definedName name="dfgdf" hidden="1">{#N/A,#N/A,FALSE,"Plan1";#N/A,#N/A,FALSE,"Plan2"}</definedName>
    <definedName name="dfgdytygr" hidden="1">{#N/A,#N/A,FALSE,"Plan1";#N/A,#N/A,FALSE,"Plan2"}</definedName>
    <definedName name="dfgftrrdt5" hidden="1">{#N/A,#N/A,FALSE,"Plan1";#N/A,#N/A,FALSE,"Plan2"}</definedName>
    <definedName name="dfgh">#REF!</definedName>
    <definedName name="dfghjfhsg" hidden="1">{#N/A,#N/A,FALSE,"Plan1";#N/A,#N/A,FALSE,"Plan2"}</definedName>
    <definedName name="dfgj" hidden="1">{#N/A,#N/A,FALSE,"Plan1";#N/A,#N/A,FALSE,"Plan2"}</definedName>
    <definedName name="dfgjfttyd" hidden="1">{#N/A,#N/A,FALSE,"Plan1";#N/A,#N/A,FALSE,"Plan2"}</definedName>
    <definedName name="dfgjjtdrtg" hidden="1">{#N/A,#N/A,FALSE,"Plan1";#N/A,#N/A,FALSE,"Plan2"}</definedName>
    <definedName name="dfgt" hidden="1">{#N/A,#N/A,FALSE,"Plan1";#N/A,#N/A,FALSE,"Plan2"}</definedName>
    <definedName name="dfgtrkjhk" hidden="1">{#N/A,#N/A,FALSE,"Plan1";#N/A,#N/A,FALSE,"Plan2"}</definedName>
    <definedName name="dfgty" hidden="1">{#N/A,#N/A,FALSE,"Plan1";#N/A,#N/A,FALSE,"Plan2"}</definedName>
    <definedName name="dfhdgfdgf" hidden="1">{#N/A,#N/A,FALSE,"Plan1";#N/A,#N/A,FALSE,"Plan2"}</definedName>
    <definedName name="DFHDJGJFHJGF" hidden="1">{#N/A,#N/A,FALSE,"Plan1";#N/A,#N/A,FALSE,"Plan2"}</definedName>
    <definedName name="dfhdyg" hidden="1">{#N/A,#N/A,FALSE,"Plan1";#N/A,#N/A,FALSE,"Plan2"}</definedName>
    <definedName name="DFHGDHUR" hidden="1">{#N/A,#N/A,FALSE,"Plan1";#N/A,#N/A,FALSE,"Plan2"}</definedName>
    <definedName name="dfhgjfgdhfjdrf" hidden="1">{#N/A,#N/A,FALSE,"Plan1";#N/A,#N/A,FALSE,"Plan2"}</definedName>
    <definedName name="dfhgkhfut" hidden="1">{#N/A,#N/A,FALSE,"Plan1";#N/A,#N/A,FALSE,"Plan2"}</definedName>
    <definedName name="dfhgkjdhkjghjd" hidden="1">#REF!</definedName>
    <definedName name="dfhguitrhfg" hidden="1">{#N/A,#N/A,FALSE,"Plan1";#N/A,#N/A,FALSE,"Plan2"}</definedName>
    <definedName name="DFHKHDGKJHDKS" hidden="1">{#N/A,#N/A,FALSE,"Plan1";#N/A,#N/A,FALSE,"Plan2"}</definedName>
    <definedName name="dfijvnqienvvnjv">#REF!</definedName>
    <definedName name="dfjgjfhykj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kgtdftr" hidden="1">{#N/A,#N/A,FALSE,"Plan1";#N/A,#N/A,FALSE,"Plan2"}</definedName>
    <definedName name="dfkhgf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nfhkdrj" hidden="1">{#N/A,#N/A,FALSE,"Plan1";#N/A,#N/A,FALSE,"Plan2"}</definedName>
    <definedName name="dfnert" hidden="1">{#N/A,#N/A,FALSE,"Plan1";#N/A,#N/A,FALSE,"Plan2"}</definedName>
    <definedName name="dfrt" hidden="1">{#N/A,#N/A,FALSE,"Plan1";#N/A,#N/A,FALSE,"Plan2"}</definedName>
    <definedName name="dfsdr5tt" hidden="1">{#N/A,#N/A,FALSE,"Plan1";#N/A,#N/A,FALSE,"Plan2"}</definedName>
    <definedName name="dfsds" hidden="1">#REF!</definedName>
    <definedName name="dfsd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r" hidden="1">{#N/A,#N/A,FALSE,"Plan1";#N/A,#N/A,FALSE,"Plan2"}</definedName>
    <definedName name="dfsf" hidden="1">{#N/A,#N/A,FALSE,"Plan1";#N/A,#N/A,FALSE,"Plan2"}</definedName>
    <definedName name="DFT" hidden="1">{#N/A,#N/A,FALSE,"Plan1";#N/A,#N/A,FALSE,"Plan2"}</definedName>
    <definedName name="DFTRTTY" hidden="1">{#N/A,#N/A,FALSE,"Plan1";#N/A,#N/A,FALSE,"Plan2"}</definedName>
    <definedName name="dfurghifdjyhits" hidden="1">{#N/A,#N/A,FALSE,"Plan1";#N/A,#N/A,FALSE,"Plan2"}</definedName>
    <definedName name="dfxgdrged" hidden="1">{#N/A,#N/A,FALSE,"Plan1";#N/A,#N/A,FALSE,"Plan2"}</definedName>
    <definedName name="dgfrtyt" hidden="1">{#N/A,#N/A,FALSE,"Plan1";#N/A,#N/A,FALSE,"Plan2"}</definedName>
    <definedName name="dggfdg" hidden="1">{#N/A,#N/A,FALSE,"Plan1";#N/A,#N/A,FALSE,"Plan2"}</definedName>
    <definedName name="dgldfhgkljslh" hidden="1">{#N/A,#N/A,FALSE,"Plan1";#N/A,#N/A,FALSE,"Plan2"}</definedName>
    <definedName name="dhfgdhrehrwe" hidden="1">{#N/A,#N/A,FALSE,"Plan1";#N/A,#N/A,FALSE,"Plan2"}</definedName>
    <definedName name="dhgfdgrfgdfgd" hidden="1">{#N/A,#N/A,FALSE,"Plan1";#N/A,#N/A,FALSE,"Plan2"}</definedName>
    <definedName name="dhkjfhdhfjdh" hidden="1">{#N/A,#N/A,FALSE,"Plan1";#N/A,#N/A,FALSE,"Plan2"}</definedName>
    <definedName name="DHTJRT" hidden="1">{#N/A,#N/A,FALSE,"Plan1";#N/A,#N/A,FALSE,"Plan2"}</definedName>
    <definedName name="DI">#REF!</definedName>
    <definedName name="dia3estac">#REF!</definedName>
    <definedName name="diaestaca">#REF!</definedName>
    <definedName name="diambase">#REF!</definedName>
    <definedName name="DIFQT">#REF!</definedName>
    <definedName name="dijghdhks" hidden="1">{#N/A,#N/A,FALSE,"Plan1";#N/A,#N/A,FALSE,"Plan2"}</definedName>
    <definedName name="DIMENSÕES">#REF!</definedName>
    <definedName name="DIR_OPER">#REF!</definedName>
    <definedName name="DIR_TECNICO">#REF!</definedName>
    <definedName name="direto" localSheetId="24">#REF!</definedName>
    <definedName name="direto">#REF!</definedName>
    <definedName name="DIRETORIA">#REF!</definedName>
    <definedName name="diretorias">#REF!</definedName>
    <definedName name="Discrim">#REF!</definedName>
    <definedName name="DISCRIMINAÇÃO">#REF!</definedName>
    <definedName name="Discriminação_Controladoria">#REF!</definedName>
    <definedName name="DistCidade">#REF!</definedName>
    <definedName name="distratos">#REF!</definedName>
    <definedName name="div">#REF!</definedName>
    <definedName name="djasdrjas" hidden="1">{#N/A,#N/A,FALSE,"Plan1";#N/A,#N/A,FALSE,"Plan2"}</definedName>
    <definedName name="dj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khjhfgrgdfh" hidden="1">{#N/A,#N/A,FALSE,"Plan1";#N/A,#N/A,FALSE,"Plan2"}</definedName>
    <definedName name="djfkhsdkjhf" hidden="1">{#N/A,#N/A,FALSE,"Plan1";#N/A,#N/A,FALSE,"Plan2"}</definedName>
    <definedName name="djfldjsgljslkjtg" hidden="1">{#N/A,#N/A,FALSE,"Plan1";#N/A,#N/A,FALSE,"Plan2"}</definedName>
    <definedName name="djflkdjgdth" hidden="1">{#N/A,#N/A,FALSE,"Plan1";#N/A,#N/A,FALSE,"Plan2"}</definedName>
    <definedName name="DJFLKDJGKTJYJT" hidden="1">{#N/A,#N/A,FALSE,"Plan1";#N/A,#N/A,FALSE,"Plan2"}</definedName>
    <definedName name="djgkfjgtiyty" hidden="1">{#N/A,#N/A,FALSE,"Plan1";#N/A,#N/A,FALSE,"Plan2"}</definedName>
    <definedName name="djrkehrjfhng" hidden="1">{#N/A,#N/A,FALSE,"Plan1";#N/A,#N/A,FALSE,"Plan2"}</definedName>
    <definedName name="djswfr" hidden="1">#REF!</definedName>
    <definedName name="djtkjldfr" hidden="1">{#N/A,#N/A,FALSE,"Plan1";#N/A,#N/A,FALSE,"Plan2"}</definedName>
    <definedName name="DJXDLFGDFG" hidden="1">{#N/A,#N/A,FALSE,"Plan1";#N/A,#N/A,FALSE,"Plan2"}</definedName>
    <definedName name="dkdkdkdkd" hidden="1">{#N/A,#N/A,FALSE,"명세표"}</definedName>
    <definedName name="dkfhskgf" hidden="1">{#N/A,#N/A,FALSE,"Plan1";#N/A,#N/A,FALSE,"Plan2"}</definedName>
    <definedName name="dkjfk" hidden="1">{#N/A,#N/A,FALSE,"Plan1";#N/A,#N/A,FALSE,"Plan2"}</definedName>
    <definedName name="DKLD" hidden="1">{#N/A,#N/A,FALSE,"Plan1";#N/A,#N/A,FALSE,"Plan2"}</definedName>
    <definedName name="DKLFJDKFD" hidden="1">{#N/A,#N/A,FALSE,"Plan1";#N/A,#N/A,FALSE,"Plan2"}</definedName>
    <definedName name="dklfjgirtgid" hidden="1">{#N/A,#N/A,FALSE,"Plan1";#N/A,#N/A,FALSE,"Plan2"}</definedName>
    <definedName name="dklf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mbfmndbmtrhed" hidden="1">{#N/A,#N/A,FALSE,"Plan1";#N/A,#N/A,FALSE,"Plan2"}</definedName>
    <definedName name="DNFJKDHTKRE" hidden="1">{#N/A,#N/A,FALSE,"Plan1";#N/A,#N/A,FALSE,"Plan2"}</definedName>
    <definedName name="d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CUMENT">#REF!</definedName>
    <definedName name="DOIS">#REF!</definedName>
    <definedName name="dolar">#REF!</definedName>
    <definedName name="dolar_dez">#REF!</definedName>
    <definedName name="dolar_nov">#REF!</definedName>
    <definedName name="dolar_out">#REF!</definedName>
    <definedName name="dolar2">#REF!</definedName>
    <definedName name="dolarabr">#REF!</definedName>
    <definedName name="dolarabr02">#REF!</definedName>
    <definedName name="DolarAgo">#REF!</definedName>
    <definedName name="dolarago02">#REF!</definedName>
    <definedName name="dolardez">#REF!</definedName>
    <definedName name="dolarfev">#REF!</definedName>
    <definedName name="dolarfev02">#REF!</definedName>
    <definedName name="dolarfimdez">#REF!</definedName>
    <definedName name="dolarFimJun">#REF!</definedName>
    <definedName name="dolarfindez">#REF!</definedName>
    <definedName name="dolarfinmar">#REF!</definedName>
    <definedName name="DolarFinSet">#REF!</definedName>
    <definedName name="dolarjan">#REF!</definedName>
    <definedName name="dolarjan02">#REF!</definedName>
    <definedName name="DolarJul">#REF!</definedName>
    <definedName name="dolarjul02">#REF!</definedName>
    <definedName name="dolarjun">#REF!</definedName>
    <definedName name="dolarjun02">#REF!</definedName>
    <definedName name="dolarmai">#REF!</definedName>
    <definedName name="dolarmai02">#REF!</definedName>
    <definedName name="dolarmar">#REF!</definedName>
    <definedName name="dolarmar02">#REF!</definedName>
    <definedName name="dolarnov">#REF!</definedName>
    <definedName name="dolarout">#REF!</definedName>
    <definedName name="DolarSet">#REF!</definedName>
    <definedName name="dolarset02">#REF!</definedName>
    <definedName name="DOZE">#REF!</definedName>
    <definedName name="DRE" localSheetId="24">#REF!</definedName>
    <definedName name="DRE">#REF!</definedName>
    <definedName name="drewr" hidden="1">{#N/A,#N/A,FALSE,"Plan1";#N/A,#N/A,FALSE,"Plan2"}</definedName>
    <definedName name="DRRJR" hidden="1">{#N/A,#N/A,FALSE,"Plan1";#N/A,#N/A,FALSE,"Plan2"}</definedName>
    <definedName name="drtr" hidden="1">#REF!</definedName>
    <definedName name="drtrt" hidden="1">{"'Estimativa de Lançamento-JAN'!$A$1:$AI$85"}</definedName>
    <definedName name="dsdrf" hidden="1">{#N/A,#N/A,FALSE,"Plan1";#N/A,#N/A,FALSE,"Plan2"}</definedName>
    <definedName name="dsfdf" hidden="1">{#N/A,#N/A,FALSE,"Plan1";#N/A,#N/A,FALSE,"Plan2"}</definedName>
    <definedName name="dsfg" hidden="1">{#N/A,#N/A,FALSE,"Plan1";#N/A,#N/A,FALSE,"Plan2"}</definedName>
    <definedName name="DSFKDSKH" hidden="1">{#N/A,#N/A,FALSE,"Plan1";#N/A,#N/A,FALSE,"Plan2"}</definedName>
    <definedName name="DSF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yy" hidden="1">{#N/A,#N/A,FALSE,"Plan1";#N/A,#N/A,FALSE,"Plan2"}</definedName>
    <definedName name="DSFSAD" hidden="1">{#N/A,#N/A,FALSE,"Plan1";#N/A,#N/A,FALSE,"Plan2"}</definedName>
    <definedName name="dsfsdf" hidden="1">{#N/A,#N/A,FALSE,"Plan1";#N/A,#N/A,FALSE,"Plan2"}</definedName>
    <definedName name="dsfsdgfb" hidden="1">{#N/A,#N/A,FALSE,"Plan1";#N/A,#N/A,FALSE,"Plan2"}</definedName>
    <definedName name="dsgfr" hidden="1">{#N/A,#N/A,FALSE,"Plan1";#N/A,#N/A,FALSE,"Plan2"}</definedName>
    <definedName name="dshfkhkrhesru" hidden="1">{#N/A,#N/A,FALSE,"Plan1";#N/A,#N/A,FALSE,"Plan2"}</definedName>
    <definedName name="dsjkthkr" hidden="1">{#N/A,#N/A,FALSE,"Plan1";#N/A,#N/A,FALSE,"Plan2"}</definedName>
    <definedName name="dskfdhksdfh" hidden="1">4</definedName>
    <definedName name="DSLFJSLFJ" hidden="1">{#N/A,#N/A,FALSE,"Plan1";#N/A,#N/A,FALSE,"Plan2"}</definedName>
    <definedName name="dslfkf" hidden="1">4</definedName>
    <definedName name="dsrff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gdergdr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s" hidden="1">{#N/A,#N/A,FALSE,"Plan1";#N/A,#N/A,FALSE,"Plan2"}</definedName>
    <definedName name="dtgsrytt" hidden="1">{#N/A,#N/A,FALSE,"Plan1";#N/A,#N/A,FALSE,"Plan2"}</definedName>
    <definedName name="dtrjkhtrgkfh" hidden="1">{#N/A,#N/A,FALSE,"Plan1";#N/A,#N/A,FALSE,"Plan2"}</definedName>
    <definedName name="dttjuk" hidden="1">{#N/A,#N/A,FALSE,"Plan1";#N/A,#N/A,FALSE,"Plan2"}</definedName>
    <definedName name="dvtry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wetrt" hidden="1">{#N/A,#N/A,FALSE,"Plan1";#N/A,#N/A,FALSE,"Plan2"}</definedName>
    <definedName name="dwqhdjwqgdwq">#REF!</definedName>
    <definedName name="DY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HYGJDHZKGF" hidden="1">{#N/A,#N/A,FALSE,"Plan1";#N/A,#N/A,FALSE,"Plan2"}</definedName>
    <definedName name="dzdfr" hidden="1">{#N/A,#N/A,FALSE,"Plan1";#N/A,#N/A,FALSE,"Plan2"}</definedName>
    <definedName name="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A" localSheetId="38">#REF!</definedName>
    <definedName name="ea" localSheetId="24">#REF!</definedName>
    <definedName name="ea">#REF!</definedName>
    <definedName name="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EW" hidden="1">{#N/A,#N/A,FALSE,"F-01"}</definedName>
    <definedName name="ECEW_1" hidden="1">{#N/A,#N/A,FALSE,"F-01"}</definedName>
    <definedName name="echart31" hidden="1">#REF!</definedName>
    <definedName name="EcoPark">#REF!</definedName>
    <definedName name="ECS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E" hidden="1">{#N/A,#N/A,FALSE,"Plan1";#N/A,#N/A,FALSE,"Plan2"}</definedName>
    <definedName name="ee">#REF!</definedName>
    <definedName name="eee" localSheetId="38" hidden="1">{#N/A,#N/A,FALSE,"ET-CAPA";#N/A,#N/A,FALSE,"ET-PAG1";#N/A,#N/A,FALSE,"ET-PAG2";#N/A,#N/A,FALSE,"ET-PAG3";#N/A,#N/A,FALSE,"ET-PAG4";#N/A,#N/A,FALSE,"ET-PAG5"}</definedName>
    <definedName name="eee" localSheetId="22">{#N/A,#N/A,FALSE,"ET-CAPA";#N/A,#N/A,FALSE,"ET-PAG1";#N/A,#N/A,FALSE,"ET-PAG2";#N/A,#N/A,FALSE,"ET-PAG3";#N/A,#N/A,FALSE,"ET-PAG4";#N/A,#N/A,FALSE,"ET-PAG5"}</definedName>
    <definedName name="eee" localSheetId="21" hidden="1">{#N/A,#N/A,FALSE,"ET-CAPA";#N/A,#N/A,FALSE,"ET-PAG1";#N/A,#N/A,FALSE,"ET-PAG2";#N/A,#N/A,FALSE,"ET-PAG3";#N/A,#N/A,FALSE,"ET-PAG4";#N/A,#N/A,FALSE,"ET-PAG5"}</definedName>
    <definedName name="eee" localSheetId="0" hidden="1">{#N/A,#N/A,FALSE,"ET-CAPA";#N/A,#N/A,FALSE,"ET-PAG1";#N/A,#N/A,FALSE,"ET-PAG2";#N/A,#N/A,FALSE,"ET-PAG3";#N/A,#N/A,FALSE,"ET-PAG4";#N/A,#N/A,FALSE,"ET-PAG5"}</definedName>
    <definedName name="eee" localSheetId="24">{#N/A,#N/A,FALSE,"ET-CAPA";#N/A,#N/A,FALSE,"ET-PAG1";#N/A,#N/A,FALSE,"ET-PAG2";#N/A,#N/A,FALSE,"ET-PAG3";#N/A,#N/A,FALSE,"ET-PAG4";#N/A,#N/A,FALSE,"ET-PAG5"}</definedName>
    <definedName name="eee" localSheetId="17" hidden="1">{#N/A,#N/A,FALSE,"ET-CAPA";#N/A,#N/A,FALSE,"ET-PAG1";#N/A,#N/A,FALSE,"ET-PAG2";#N/A,#N/A,FALSE,"ET-PAG3";#N/A,#N/A,FALSE,"ET-PAG4";#N/A,#N/A,FALSE,"ET-PAG5"}</definedName>
    <definedName name="eee" localSheetId="18" hidden="1">{#N/A,#N/A,FALSE,"ET-CAPA";#N/A,#N/A,FALSE,"ET-PAG1";#N/A,#N/A,FALSE,"ET-PAG2";#N/A,#N/A,FALSE,"ET-PAG3";#N/A,#N/A,FALSE,"ET-PAG4";#N/A,#N/A,FALSE,"ET-PAG5"}</definedName>
    <definedName name="eee" localSheetId="1" hidden="1">{#N/A,#N/A,FALSE,"ET-CAPA";#N/A,#N/A,FALSE,"ET-PAG1";#N/A,#N/A,FALSE,"ET-PAG2";#N/A,#N/A,FALSE,"ET-PAG3";#N/A,#N/A,FALSE,"ET-PAG4";#N/A,#N/A,FALSE,"ET-PAG5"}</definedName>
    <definedName name="eee" localSheetId="19" hidden="1">{#N/A,#N/A,FALSE,"ET-CAPA";#N/A,#N/A,FALSE,"ET-PAG1";#N/A,#N/A,FALSE,"ET-PAG2";#N/A,#N/A,FALSE,"ET-PAG3";#N/A,#N/A,FALSE,"ET-PAG4";#N/A,#N/A,FALSE,"ET-PAG5"}</definedName>
    <definedName name="eee" localSheetId="41" hidden="1">{#N/A,#N/A,FALSE,"ET-CAPA";#N/A,#N/A,FALSE,"ET-PAG1";#N/A,#N/A,FALSE,"ET-PAG2";#N/A,#N/A,FALSE,"ET-PAG3";#N/A,#N/A,FALSE,"ET-PAG4";#N/A,#N/A,FALSE,"ET-PAG5"}</definedName>
    <definedName name="eee" hidden="1">{#N/A,#N/A,FALSE,"ET-CAPA";#N/A,#N/A,FALSE,"ET-PAG1";#N/A,#N/A,FALSE,"ET-PAG2";#N/A,#N/A,FALSE,"ET-PAG3";#N/A,#N/A,FALSE,"ET-PAG4";#N/A,#N/A,FALSE,"ET-PAG5"}</definedName>
    <definedName name="EF">#REF!</definedName>
    <definedName name="efestfr" hidden="1">{#N/A,#N/A,FALSE,"Plan1";#N/A,#N/A,FALSE,"Plan2"}</definedName>
    <definedName name="EFICIÊNCIA">#REF!</definedName>
    <definedName name="Eficiência1">#REF!</definedName>
    <definedName name="efrdrt" hidden="1">{#N/A,#N/A,FALSE,"Plan1";#N/A,#N/A,FALSE,"Plan2"}</definedName>
    <definedName name="efrg" hidden="1">{#N/A,#N/A,FALSE,"Plan1";#N/A,#N/A,FALSE,"Plan2"}</definedName>
    <definedName name="efsgfr" hidden="1">{#N/A,#N/A,FALSE,"Plan1";#N/A,#N/A,FALSE,"Plan2"}</definedName>
    <definedName name="eixo_x_fluxo_graf1">IFERROR(OFFSET(INDEX(#REF!,MATCH((INDEX(#REF!,MATCH(1,#REF!,0))),#REF!,0)),0,0,1,COUNTIF(#REF!,"&gt;=0")+COUNTIF(#REF!,"&lt;0")),0)</definedName>
    <definedName name="eixo_x_graf2">IFERROR(OFFSET(INDEX(#REF!,MATCH((INDEX(#REF!,MATCH(1,#REF!,0))),#REF!,0)),0,0,1,COUNTIF(#REF!,"&gt;=0")+COUNTIF(#REF!,"&lt;0")),0)</definedName>
    <definedName name="eixo_x_graf3_distratos">#REF!</definedName>
    <definedName name="eixo_x_graf3_vendas">#REF!</definedName>
    <definedName name="eixo_y_cury_graf2">IFERROR(OFFSET(INDEX(#REF!,MATCH((INDEX(#REF!,MATCH(1,#REF!,0))),#REF!,0)),0,0,1,COUNTIF(#REF!,"&gt;=0")+COUNTIF(#REF!,"&lt;0")),0)</definedName>
    <definedName name="eixo_y_fluxo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3">#REF!</definedName>
    <definedName name="eixo_y_socio_graf2">IFERROR(OFFSET(INDEX(#REF!,MATCH((INDEX(#REF!,MATCH(1,#REF!,0))),#REF!,0)),0,0,1,COUNTIF(#REF!,"&gt;=0")+COUNTIF(#REF!,"&lt;0")),0)</definedName>
    <definedName name="eixo_y_viab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M">#REF!</definedName>
    <definedName name="Empreend">#REF!</definedName>
    <definedName name="Empreendimentos">#REF!</definedName>
    <definedName name="empresas">#REF!</definedName>
    <definedName name="encanador">#REF!</definedName>
    <definedName name="EPI">#REF!</definedName>
    <definedName name="EQUIP">#REF!</definedName>
    <definedName name="equipamento">#REF!</definedName>
    <definedName name="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gerg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fhyu" hidden="1">{#N/A,#N/A,FALSE,"Plan1";#N/A,#N/A,FALSE,"Plan2"}</definedName>
    <definedName name="erne_cdi">#REF!</definedName>
    <definedName name="erne_hist">#REF!</definedName>
    <definedName name="erne_uss">#REF!</definedName>
    <definedName name="erte" hidden="1">#REF!</definedName>
    <definedName name="ESGFDSFD" hidden="1">{#N/A,#N/A,FALSE,"Plan1";#N/A,#N/A,FALSE,"Plan2"}</definedName>
    <definedName name="esp">#REF!</definedName>
    <definedName name="ESPESSURA">#REF!</definedName>
    <definedName name="estaca">#REF!</definedName>
    <definedName name="estaca3">#REF!</definedName>
    <definedName name="ESTADO">#REF!</definedName>
    <definedName name="estados">#REF!</definedName>
    <definedName name="estagiário">#REF!</definedName>
    <definedName name="ESTOQUE">#REF!</definedName>
    <definedName name="Etq_final">#REF!</definedName>
    <definedName name="EU" hidden="1">{#N/A,#N/A,FALSE,"Plan1";#N/A,#N/A,FALSE,"Plan2"}</definedName>
    <definedName name="EV__LASTREFTIME__" hidden="1">39965.7223611111</definedName>
    <definedName name="EVL" hidden="1">{"Econ Consolidado",#N/A,FALSE,"Econ Consol";"Fluxo de Caixa",#N/A,FALSE,"Fluxo Caixa";"Investimentos",#N/A,FALSE,"Investimentos"}</definedName>
    <definedName name="Evol." hidden="1">{"Econ Consolidado",#N/A,FALSE,"Econ Consol";"Fluxo de Caixa",#N/A,FALSE,"Fluxo Caixa";"Investimentos",#N/A,FALSE,"Investimentos"}</definedName>
    <definedName name="ewfr" hidden="1">{#N/A,#N/A,FALSE,"Plan1";#N/A,#N/A,FALSE,"Plan2"}</definedName>
    <definedName name="exce_cdi">#REF!</definedName>
    <definedName name="exce_hist">#REF!</definedName>
    <definedName name="exce_uss">#REF!</definedName>
    <definedName name="Excel_BuiltIn__FilterDatabase_1">#REF!</definedName>
    <definedName name="Excel_BuiltIn__FilterDatabase_1_1">#REF!</definedName>
    <definedName name="Excel_BuiltIn__FilterDatabase_6">#REF!</definedName>
    <definedName name="Excel_BuiltIn_Print_Area_0">#REF!</definedName>
    <definedName name="Excel_BuiltIn_Print_Area_1_1">#REF!</definedName>
    <definedName name="Excel_BuiltIn_Print_Titles_1_1_1">#REF!</definedName>
    <definedName name="Excel_BuiltIn_Print_Titles_1_1_4">#REF!</definedName>
    <definedName name="Excel_BuiltIn_Print_Titles_1_1_5">#REF!</definedName>
    <definedName name="Exrate">#REF!</definedName>
    <definedName name="eyruieyteta" hidden="1">{#N/A,#N/A,FALSE,"Plan1";#N/A,#N/A,FALSE,"Plan2"}</definedName>
    <definedName name="f">#REF!</definedName>
    <definedName name="FACULDADE">#REF!</definedName>
    <definedName name="FAL">#REF!</definedName>
    <definedName name="farialima">#REF!</definedName>
    <definedName name="FAS" hidden="1">{"'Total'!$A$1","'Total'!$A$3"}</definedName>
    <definedName name="fasfasf" hidden="1">{#N/A,#N/A,TRUE,"Quinzena 01 à 15-04-98 "}</definedName>
    <definedName name="FATOR_K">#REF!</definedName>
    <definedName name="FATORK">#REF!</definedName>
    <definedName name="FBancaria">#REF!</definedName>
    <definedName name="fchart31" hidden="1">#REF!</definedName>
    <definedName name="fddhght" hidden="1">{#N/A,#N/A,FALSE,"Plan1";#N/A,#N/A,FALSE,"Plan2"}</definedName>
    <definedName name="fdfgd" hidden="1">{#N/A,#N/A,FALSE,"Plan1";#N/A,#N/A,FALSE,"Plan2"}</definedName>
    <definedName name="fdf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gaf" hidden="1">{#N/A,#N/A,FALSE,"Plan1";#N/A,#N/A,FALSE,"Plan2"}</definedName>
    <definedName name="fdgdf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FDJHGZEDR" hidden="1">{#N/A,#N/A,FALSE,"Plan1";#N/A,#N/A,FALSE,"Plan2"}</definedName>
    <definedName name="fdgfyhygfuj" hidden="1">{#N/A,#N/A,FALSE,"Plan1";#N/A,#N/A,FALSE,"Plan2"}</definedName>
    <definedName name="fdhgfdf" hidden="1">{#N/A,#N/A,FALSE,"Plan1";#N/A,#N/A,FALSE,"Plan2"}</definedName>
    <definedName name="fdjfgdfjg" hidden="1">{#N/A,#N/A,FALSE,"Plan1";#N/A,#N/A,FALSE,"Plan2"}</definedName>
    <definedName name="fdjghkshtygt" hidden="1">{#N/A,#N/A,FALSE,"Plan1";#N/A,#N/A,FALSE,"Plan2"}</definedName>
    <definedName name="fdnhgf" hidden="1">{"'Estimativa de Lançamento-JAN'!$A$1:$AI$85"}</definedName>
    <definedName name="fdsf" hidden="1">{#N/A,#N/A,FALSE,"Plan1";#N/A,#N/A,FALSE,"Plan2"}</definedName>
    <definedName name="FE">#REF!</definedName>
    <definedName name="fefefefe">#REF!</definedName>
    <definedName name="FER" hidden="1">#REF!</definedName>
    <definedName name="fev17RJ">#REF!</definedName>
    <definedName name="FEVEREIRO2001">#REF!</definedName>
    <definedName name="ff">#REF!</definedName>
    <definedName name="fffefes">#REF!</definedName>
    <definedName name="fffff" hidden="1">{#N/A,#N/A,FALSE,"Plan1";#N/A,#N/A,FALSE,"Plan2"}</definedName>
    <definedName name="FFFFFFF" localSheetId="38">#REF!</definedName>
    <definedName name="FFFFFFF" localSheetId="21">#REF!</definedName>
    <definedName name="FFFFFFF" localSheetId="0">#REF!</definedName>
    <definedName name="FFFFFFF" localSheetId="24">#REF!</definedName>
    <definedName name="FFFFFFF" localSheetId="17">#REF!</definedName>
    <definedName name="FFFFFFF" localSheetId="18">#REF!</definedName>
    <definedName name="FFFFFFF" localSheetId="1">#REF!</definedName>
    <definedName name="FFFFFFF" localSheetId="19">#REF!</definedName>
    <definedName name="FFFFFFF" localSheetId="41">#REF!</definedName>
    <definedName name="FFFFFFF">#REF!</definedName>
    <definedName name="FFTY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" hidden="1">{#N/A,#N/A,FALSE,"Plan1";#N/A,#N/A,FALSE,"Plan2"}</definedName>
    <definedName name="fgg" hidden="1">{"'장비'!$A$3:$M$12"}</definedName>
    <definedName name="fghfh" hidden="1">{"'Estimativa de Lançamento-JAN'!$A$1:$AI$85"}</definedName>
    <definedName name="fghgfh" hidden="1">{#N/A,#N/A,FALSE,"Plan1";#N/A,#N/A,FALSE,"Plan2"}</definedName>
    <definedName name="FGJHFGK" hidden="1">{#N/A,#N/A,FALSE,"Plan1";#N/A,#N/A,FALSE,"Plan2"}</definedName>
    <definedName name="fgktyhd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trgty" hidden="1">{#N/A,#N/A,FALSE,"Plan1";#N/A,#N/A,FALSE,"Plan2"}</definedName>
    <definedName name="fgty" hidden="1">#REF!</definedName>
    <definedName name="fhgjfgyt" hidden="1">{#N/A,#N/A,FALSE,"Plan1";#N/A,#N/A,FALSE,"Plan2"}</definedName>
    <definedName name="fhgjkhtrfg" hidden="1">{#N/A,#N/A,FALSE,"Plan1";#N/A,#N/A,FALSE,"Plan2"}</definedName>
    <definedName name="FHGTGSRSG" hidden="1">{#N/A,#N/A,FALSE,"Plan1";#N/A,#N/A,FALSE,"Plan2"}</definedName>
    <definedName name="FIEL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LTRO" hidden="1">{#N/A,#N/A,TRUE,"Quinzena 01 à 15-04-98 "}</definedName>
    <definedName name="Filtro_Rel_Sienge">#REF!</definedName>
    <definedName name="Firs_hist">#REF!</definedName>
    <definedName name="First_cdi">#REF!</definedName>
    <definedName name="First_uss">#REF!</definedName>
    <definedName name="fjdhfgjdhtgu" hidden="1">{#N/A,#N/A,FALSE,"Plan1";#N/A,#N/A,FALSE,"Plan2"}</definedName>
    <definedName name="fjfjg" hidden="1">{#N/A,#N/A,FALSE,"명세표"}</definedName>
    <definedName name="FJG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 hidden="1">{#N/A,#N/A,FALSE,"Plan1";#N/A,#N/A,FALSE,"Plan2"}</definedName>
    <definedName name="fjtgfh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KF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w" hidden="1">{#N/A,#N/A,FALSE,"Plan1";#N/A,#N/A,FALSE,"Plan2"}</definedName>
    <definedName name="fl">#REF!</definedName>
    <definedName name="FL_1">#REF!</definedName>
    <definedName name="FL_2">#REF!</definedName>
    <definedName name="FL_3">#REF!</definedName>
    <definedName name="Fluxo_captação">#REF!</definedName>
    <definedName name="FOLHA2">#REF!</definedName>
    <definedName name="Format">#REF!</definedName>
    <definedName name="Formato_da_Loja">#REF!</definedName>
    <definedName name="FORMULA">#REF!</definedName>
    <definedName name="FORNECEDOR">OFFSET(#REF!,6,0,COUNTA(#REF!))</definedName>
    <definedName name="FORNECEDOR_2">OFFSET(#REF!,6,0,COUNTA(#REF!))</definedName>
    <definedName name="FORNECEDOR_3">OFFSET(#REF!,6,0,COUNTA(#REF!))</definedName>
    <definedName name="FORNECEDOR_4">OFFSET(#REF!,6,0,COUNTA(#REF!))</definedName>
    <definedName name="FORNECEDOR_5">OFFSET(#REF!,6,0,COUNTA(#REF!))</definedName>
    <definedName name="FORNECEDOR_7">OFFSET(#REF!,6,0,COUNTA(#REF!))</definedName>
    <definedName name="FORNECEDOR_8">OFFSET(#REF!,6,0,COUNTA(#REF!))</definedName>
    <definedName name="frçt4r" hidden="1">{#N/A,#N/A,FALSE,"Plan1";#N/A,#N/A,FALSE,"Plan2"}</definedName>
    <definedName name="frdtty" hidden="1">{#N/A,#N/A,FALSE,"Plan1";#N/A,#N/A,FALSE,"Plan2"}</definedName>
    <definedName name="fsdfs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uihgjk" hidden="1">{#N/A,#N/A,FALSE,"Plan1";#N/A,#N/A,FALSE,"Plan2"}</definedName>
    <definedName name="fuste">#REF!</definedName>
    <definedName name="fxjghkfg" hidden="1">{#N/A,#N/A,FALSE,"Plan1";#N/A,#N/A,FALSE,"Plan2"}</definedName>
    <definedName name="g_10">#REF!</definedName>
    <definedName name="g_11">#REF!</definedName>
    <definedName name="g_12">#REF!</definedName>
    <definedName name="g_13">#REF!</definedName>
    <definedName name="g_15">#REF!</definedName>
    <definedName name="g_16">#REF!</definedName>
    <definedName name="g_17">#REF!</definedName>
    <definedName name="g_19">#REF!</definedName>
    <definedName name="g_21">#REF!</definedName>
    <definedName name="g_25">#REF!</definedName>
    <definedName name="g_27">#REF!</definedName>
    <definedName name="g_31">#REF!</definedName>
    <definedName name="g_32">#REF!</definedName>
    <definedName name="g_33">#REF!</definedName>
    <definedName name="g_34">#REF!</definedName>
    <definedName name="G_35">#REF!</definedName>
    <definedName name="g_37">#REF!</definedName>
    <definedName name="g_41">#REF!</definedName>
    <definedName name="g_42">#REF!</definedName>
    <definedName name="g_45">#REF!</definedName>
    <definedName name="g_47">#REF!</definedName>
    <definedName name="g_51">#REF!</definedName>
    <definedName name="g_52">#REF!</definedName>
    <definedName name="g_53">#REF!</definedName>
    <definedName name="G_54">#REF!</definedName>
    <definedName name="G_55">#REF!</definedName>
    <definedName name="G_56">#REF!</definedName>
    <definedName name="G_57">#REF!</definedName>
    <definedName name="G_58">#REF!</definedName>
    <definedName name="G_59">#REF!</definedName>
    <definedName name="G_61">#REF!</definedName>
    <definedName name="G_63">#REF!</definedName>
    <definedName name="G_65">#REF!</definedName>
    <definedName name="G_67">#REF!</definedName>
    <definedName name="g_68">#REF!</definedName>
    <definedName name="g_69">#REF!</definedName>
    <definedName name="G_71">#REF!</definedName>
    <definedName name="G_73">#REF!</definedName>
    <definedName name="G_75">#REF!</definedName>
    <definedName name="G_77">#REF!</definedName>
    <definedName name="G_78">#REF!</definedName>
    <definedName name="G_81">#REF!</definedName>
    <definedName name="G_83">#REF!</definedName>
    <definedName name="G_85">#REF!</definedName>
    <definedName name="G_87">#REF!</definedName>
    <definedName name="G_90">#REF!</definedName>
    <definedName name="G_91">#REF!</definedName>
    <definedName name="G_92">#REF!</definedName>
    <definedName name="G_94">#REF!</definedName>
    <definedName name="G_95">#REF!</definedName>
    <definedName name="G_96">#REF!</definedName>
    <definedName name="gal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RAGEM">#REF!</definedName>
    <definedName name="garcia">#REF!</definedName>
    <definedName name="GASTOS_JULHO">#REF!</definedName>
    <definedName name="gbdjkvhgd" hidden="1">{#N/A,#N/A,FALSE,"Plan1";#N/A,#N/A,FALSE,"Plan2"}</definedName>
    <definedName name="gbdsjgsjfdgj" hidden="1">{#N/A,#N/A,FALSE,"Plan1";#N/A,#N/A,FALSE,"Plan2"}</definedName>
    <definedName name="gdfdhgfjgj" hidden="1">{#N/A,#N/A,FALSE,"Plan1";#N/A,#N/A,FALSE,"Plan2"}</definedName>
    <definedName name="gdfgdstggt" hidden="1">{#N/A,#N/A,FALSE,"Plan1";#N/A,#N/A,FALSE,"Plan2"}</definedName>
    <definedName name="GDFHGRJGFJDRF" hidden="1">{"Econ Consolidado",#N/A,FALSE,"Econ Consol";"Fluxo de Caixa",#N/A,FALSE,"Fluxo Caixa";"Investimentos",#N/A,FALSE,"Investimentos"}</definedName>
    <definedName name="gdfigfhuyuy" hidden="1">{#N/A,#N/A,FALSE,"Plan1";#N/A,#N/A,FALSE,"Plan2"}</definedName>
    <definedName name="gdfsgfew" hidden="1">{#N/A,#N/A,FALSE,"Plan1";#N/A,#N/A,FALSE,"Plan2"}</definedName>
    <definedName name="gdhfgdhfgf" hidden="1">{#N/A,#N/A,FALSE,"Plan1";#N/A,#N/A,FALSE,"Plan2"}</definedName>
    <definedName name="gdsfhefrwrw" hidden="1">{#N/A,#N/A,FALSE,"Plan1";#N/A,#N/A,FALSE,"Plan2"}</definedName>
    <definedName name="GER_TECNICO">#REF!</definedName>
    <definedName name="Gerentes">#REF!</definedName>
    <definedName name="geshrjhed" hidden="1">{#N/A,#N/A,FALSE,"Plan1";#N/A,#N/A,FALSE,"Plan2"}</definedName>
    <definedName name="gestao" hidden="1">OFFSET(INDEX(#REF!,MATCH(#REF!,#REF!,0)),1,0,COUNTA(#REF!)-1)</definedName>
    <definedName name="gfdcgnkf" hidden="1">{#N/A,#N/A,FALSE,"Plan1";#N/A,#N/A,FALSE,"Plan2"}</definedName>
    <definedName name="gfdjtgur" hidden="1">{#N/A,#N/A,FALSE,"Plan1";#N/A,#N/A,FALSE,"Plan2"}</definedName>
    <definedName name="gfdrtg" hidden="1">#REF!</definedName>
    <definedName name="gfgdhxgfdhf" hidden="1">{#N/A,#N/A,FALSE,"Plan1";#N/A,#N/A,FALSE,"Plan2"}</definedName>
    <definedName name="gfhfdtgjb" hidden="1">{#N/A,#N/A,FALSE,"Plan1";#N/A,#N/A,FALSE,"Plan2"}</definedName>
    <definedName name="gfjdshrtjhtged" hidden="1">{#N/A,#N/A,FALSE,"Plan1";#N/A,#N/A,FALSE,"Plan2"}</definedName>
    <definedName name="gfjgkddgfd" hidden="1">{#N/A,#N/A,FALSE,"Plan1";#N/A,#N/A,FALSE,"Plan2"}</definedName>
    <definedName name="gfsghjdgygr" hidden="1">{#N/A,#N/A,FALSE,"Plan1";#N/A,#N/A,FALSE,"Plan2"}</definedName>
    <definedName name="gftfy" hidden="1">{#N/A,#N/A,FALSE,"Plan1";#N/A,#N/A,FALSE,"Plan2"}</definedName>
    <definedName name="gfty" hidden="1">{#N/A,#N/A,FALSE,"Plan1";#N/A,#N/A,FALSE,"Plan2"}</definedName>
    <definedName name="GFUJU9" hidden="1">{#N/A,#N/A,FALSE,"Plan1";#N/A,#N/A,FALSE,"Plan2"}</definedName>
    <definedName name="ggg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 hidden="1">{#N/A,#N/A,FALSE,"Plan1";#N/A,#N/A,FALSE,"Plan2"}</definedName>
    <definedName name="ggggggggg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 hidden="1">{"'장비'!$A$3:$M$12"}</definedName>
    <definedName name="ghfgdfrtert" hidden="1">{#N/A,#N/A,FALSE,"Plan1";#N/A,#N/A,FALSE,"Plan2"}</definedName>
    <definedName name="ghfhghft" hidden="1">{#N/A,#N/A,FALSE,"Plan1";#N/A,#N/A,FALSE,"Plan2"}</definedName>
    <definedName name="ghjg" hidden="1">{"'Estimativa de Lançamento-JAN'!$A$1:$AI$85"}</definedName>
    <definedName name="ghkfhgh" hidden="1">{#N/A,#N/A,FALSE,"Plan1";#N/A,#N/A,FALSE,"Plan2"}</definedName>
    <definedName name="ghkjh" hidden="1">{#N/A,#N/A,FALSE,"ENG'G(보호계전기)"}</definedName>
    <definedName name="G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fhjktgcf" hidden="1">{#N/A,#N/A,FALSE,"Plan1";#N/A,#N/A,FALSE,"Plan2"}</definedName>
    <definedName name="GJ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hgjhjfggfjhfg" hidden="1">{#N/A,#N/A,FALSE,"Plan1";#N/A,#N/A,FALSE,"Plan2"}</definedName>
    <definedName name="glgl" hidden="1">{#N/A,#N/A,FALSE,"Plan1";#N/A,#N/A,FALSE,"Plan2"}</definedName>
    <definedName name="GLOBAL">#REF!</definedName>
    <definedName name="gnfrt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rec_cdi">#REF!</definedName>
    <definedName name="grec_hist">#REF!</definedName>
    <definedName name="grec_uss">#REF!</definedName>
    <definedName name="grua">#REF!</definedName>
    <definedName name="GSDWJSTG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tuigsdyugsdf" hidden="1">{#N/A,#N/A,FALSE,"Plan1";#N/A,#N/A,FALSE,"Plan2"}</definedName>
    <definedName name="G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V" hidden="1">{#N/A,#N/A,FALSE,"CCTV"}</definedName>
    <definedName name="h">#REF!</definedName>
    <definedName name="hbjgjuae">#REF!</definedName>
    <definedName name="hcjfkhdghfktg" hidden="1">{#N/A,#N/A,FALSE,"Plan1";#N/A,#N/A,FALSE,"Plan2"}</definedName>
    <definedName name="hckhjfdkgfdg" hidden="1">#REF!</definedName>
    <definedName name="hddfndgdf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FGHGST" hidden="1">{#N/A,#N/A,FALSE,"Plan1";#N/A,#N/A,FALSE,"Plan2"}</definedName>
    <definedName name="HDFGJKHKFDHTY" hidden="1">{#N/A,#N/A,FALSE,"Plan1";#N/A,#N/A,FALSE,"Plan2"}</definedName>
    <definedName name="hdfhdhrtgd" hidden="1">{#N/A,#N/A,FALSE,"Plan1";#N/A,#N/A,FALSE,"Plan2"}</definedName>
    <definedName name="hdfhftde" hidden="1">{#N/A,#N/A,FALSE,"Plan1";#N/A,#N/A,FALSE,"Plan2"}</definedName>
    <definedName name="hdfhgkdhgtrf" hidden="1">{#N/A,#N/A,FALSE,"Plan1";#N/A,#N/A,FALSE,"Plan2"}</definedName>
    <definedName name="hdfjhdkzhgdr" hidden="1">{#N/A,#N/A,FALSE,"Plan1";#N/A,#N/A,FALSE,"Plan2"}</definedName>
    <definedName name="hdfjkgvjgtd" hidden="1">{#N/A,#N/A,FALSE,"Plan1";#N/A,#N/A,FALSE,"Plan2"}</definedName>
    <definedName name="hdfjkhdhrute" hidden="1">{#N/A,#N/A,FALSE,"Plan1";#N/A,#N/A,FALSE,"Plan2"}</definedName>
    <definedName name="HDFKGVF" hidden="1">{#N/A,#N/A,FALSE,"Plan1";#N/A,#N/A,FALSE,"Plan2"}</definedName>
    <definedName name="hdgfhdgtdrt" hidden="1">{#N/A,#N/A,FALSE,"Plan1";#N/A,#N/A,FALSE,"Plan2"}</definedName>
    <definedName name="hdghgtgtrgd" hidden="1">{#N/A,#N/A,FALSE,"Plan1";#N/A,#N/A,FALSE,"Plan2"}</definedName>
    <definedName name="HDHDGHTUHDTG" hidden="1">{#N/A,#N/A,FALSE,"Plan1";#N/A,#N/A,FALSE,"Plan2"}</definedName>
    <definedName name="hdhghfthrrhy" hidden="1">{#N/A,#N/A,FALSE,"Plan1";#N/A,#N/A,FALSE,"Plan2"}</definedName>
    <definedName name="hdkfjhydjh" hidden="1">{#N/A,#N/A,FALSE,"Plan1";#N/A,#N/A,FALSE,"Plan2"}</definedName>
    <definedName name="hdsgfgrrdgr" hidden="1">{#N/A,#N/A,FALSE,"Plan1";#N/A,#N/A,FALSE,"Plan2"}</definedName>
    <definedName name="hdtertkkdsa" hidden="1">{#N/A,#N/A,FALSE,"Plan1";#N/A,#N/A,FALSE,"Plan2"}</definedName>
    <definedName name="Header">#REF!</definedName>
    <definedName name="HEDHA" hidden="1">{#N/A,#N/A,FALSE,"Plan1";#N/A,#N/A,FALSE,"Plan2"}</definedName>
    <definedName name="heif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LP">#REF!</definedName>
    <definedName name="herkfdshfker" hidden="1">{#N/A,#N/A,FALSE,"Plan1";#N/A,#N/A,FALSE,"Plan2"}</definedName>
    <definedName name="hersdtretyt" hidden="1">{#N/A,#N/A,FALSE,"Plan1";#N/A,#N/A,FALSE,"Plan2"}</definedName>
    <definedName name="HFDJTHTR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KHGFR" hidden="1">{#N/A,#N/A,FALSE,"Plan1";#N/A,#N/A,FALSE,"Plan2"}</definedName>
    <definedName name="hfdkhgkfdhtj" hidden="1">{#N/A,#N/A,FALSE,"Plan1";#N/A,#N/A,FALSE,"Plan2"}</definedName>
    <definedName name="hfgfktgkhyt" hidden="1">{#N/A,#N/A,FALSE,"Plan1";#N/A,#N/A,FALSE,"Plan2"}</definedName>
    <definedName name="hfghdkhrgkjg" hidden="1">{#N/A,#N/A,FALSE,"Plan1";#N/A,#N/A,FALSE,"Plan2"}</definedName>
    <definedName name="hfighfth" hidden="1">{#N/A,#N/A,FALSE,"Plan1";#N/A,#N/A,FALSE,"Plan2"}</definedName>
    <definedName name="hfjghtfuyrf" hidden="1">{#N/A,#N/A,FALSE,"Plan1";#N/A,#N/A,FALSE,"Plan2"}</definedName>
    <definedName name="HFKJHDJGHFJ" hidden="1">{#N/A,#N/A,FALSE,"Plan1";#N/A,#N/A,FALSE,"Plan2"}</definedName>
    <definedName name="hgdesgfgsj" hidden="1">{#N/A,#N/A,FALSE,"Plan1";#N/A,#N/A,FALSE,"Plan2"}</definedName>
    <definedName name="hgdgfd" hidden="1">{#N/A,#N/A,FALSE,"Plan1";#N/A,#N/A,FALSE,"Plan2"}</definedName>
    <definedName name="hgfhjkdfhj" hidden="1">{#N/A,#N/A,FALSE,"Plan1";#N/A,#N/A,FALSE,"Plan2"}</definedName>
    <definedName name="hgg" hidden="1">{#N/A,#N/A,FALSE,"Plan1";#N/A,#N/A,FALSE,"Plan2"}</definedName>
    <definedName name="hgjdfgghg" hidden="1">{#N/A,#N/A,FALSE,"Plan1";#N/A,#N/A,FALSE,"Plan2"}</definedName>
    <definedName name="hgjkfdhg" hidden="1">{#N/A,#N/A,FALSE,"Plan1";#N/A,#N/A,FALSE,"Plan2"}</definedName>
    <definedName name="hgkdfhkfk" hidden="1">{#N/A,#N/A,FALSE,"Plan1";#N/A,#N/A,FALSE,"Plan2"}</definedName>
    <definedName name="hgkjhdfhtrdyt" hidden="1">{#N/A,#N/A,FALSE,"Plan1";#N/A,#N/A,FALSE,"Plan2"}</definedName>
    <definedName name="hgkjhdfkhgtfhg" hidden="1">{#N/A,#N/A,FALSE,"Plan1";#N/A,#N/A,FALSE,"Plan2"}</definedName>
    <definedName name="hgkjhkfhsdkdhgk" hidden="1">{#N/A,#N/A,FALSE,"Plan1";#N/A,#N/A,FALSE,"Plan2"}</definedName>
    <definedName name="hgsufgdhghd" hidden="1">{#N/A,#N/A,FALSE,"Plan1";#N/A,#N/A,FALSE,"Plan2"}</definedName>
    <definedName name="HHGFHTYUT" hidden="1">{#N/A,#N/A,FALSE,"Plan1";#N/A,#N/A,FALSE,"Plan2"}</definedName>
    <definedName name="hhh" hidden="1">{"'Total'!$A$1","'Total'!$A$3"}</definedName>
    <definedName name="HHIHLK" hidden="1">#REF!</definedName>
    <definedName name="hik" hidden="1">{#N/A,#N/A,FALSE,"TABLE"}</definedName>
    <definedName name="hist">#REF!</definedName>
    <definedName name="HIST1">#REF!</definedName>
    <definedName name="HISTEQ">#REF!</definedName>
    <definedName name="HISTOGRAMA">#REF!</definedName>
    <definedName name="hjdgtjdjxrfg" hidden="1">{#N/A,#N/A,FALSE,"Plan1";#N/A,#N/A,FALSE,"Plan2"}</definedName>
    <definedName name="HJFDGD" hidden="1">{#N/A,#N/A,FALSE,"Plan1";#N/A,#N/A,FALSE,"Plan2"}</definedName>
    <definedName name="HJGASD" hidden="1">{#N/A,#N/A,FALSE,"Plan1";#N/A,#N/A,FALSE,"Plan2"}</definedName>
    <definedName name="HJGFGTFDG" hidden="1">{#N/A,#N/A,FALSE,"Plan1";#N/A,#N/A,FALSE,"Plan2"}</definedName>
    <definedName name="hjgfhdsgfhsd" hidden="1">{#N/A,#N/A,FALSE,"Plan1";#N/A,#N/A,FALSE,"Plan2"}</definedName>
    <definedName name="hjgxfjgdjyftr" hidden="1">{#N/A,#N/A,FALSE,"Plan1";#N/A,#N/A,FALSE,"Plan2"}</definedName>
    <definedName name="hjgyugasd" hidden="1">{#N/A,#N/A,FALSE,"Plan1";#N/A,#N/A,FALSE,"Plan2"}</definedName>
    <definedName name="hjjfyfy" hidden="1">{#N/A,#N/A,FALSE,"Plan1";#N/A,#N/A,FALSE,"Plan2"}</definedName>
    <definedName name="hjkchkvjhdjkgh" hidden="1">{#N/A,#N/A,FALSE,"Plan1";#N/A,#N/A,FALSE,"Plan2"}</definedName>
    <definedName name="hjkfjdyht" hidden="1">{#N/A,#N/A,FALSE,"Plan1";#N/A,#N/A,FALSE,"Plan2"}</definedName>
    <definedName name="hjsdff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khk" hidden="1">{#N/A,#N/A,FALSE,"Plan1";#N/A,#N/A,FALSE,"Plan2"}</definedName>
    <definedName name="hjsdsdrjfrh" hidden="1">2</definedName>
    <definedName name="hjsrdfre" hidden="1">{"Econ Consolidado",#N/A,FALSE,"Econ Consol";"Fluxo de Caixa",#N/A,FALSE,"Fluxo Caixa";"Investimentos",#N/A,FALSE,"Investimentos"}</definedName>
    <definedName name="HKewewsr" hidden="1">{#N/A,#N/A,FALSE,"Plan1";#N/A,#N/A,FALSE,"Plan2"}</definedName>
    <definedName name="hkhdskacd" hidden="1">{#N/A,#N/A,FALSE,"Plan1";#N/A,#N/A,FALSE,"Plan2"}</definedName>
    <definedName name="hkjfgfhgfh" hidden="1">{#N/A,#N/A,FALSE,"Plan1";#N/A,#N/A,FALSE,"Plan2"}</definedName>
    <definedName name="hkjfhgjkfhghfg" hidden="1">{#N/A,#N/A,FALSE,"Plan1";#N/A,#N/A,FALSE,"Plan2"}</definedName>
    <definedName name="HKLZHFRH" hidden="1">{#N/A,#N/A,FALSE,"Plan1";#N/A,#N/A,FALSE,"Plan2"}</definedName>
    <definedName name="ho" hidden="1">{#N/A,#N/A,FALSE,"TABLE"}</definedName>
    <definedName name="HOJE">#REF!</definedName>
    <definedName name="HONORARIOS">#REF!</definedName>
    <definedName name="HOSPEDES">#REF!</definedName>
    <definedName name="HOTEL">#REF!</definedName>
    <definedName name="hrterte" hidden="1">{#N/A,#N/A,FALSE,"Plan1";#N/A,#N/A,FALSE,"Plan2"}</definedName>
    <definedName name="hsdf" hidden="1">{#N/A,#N/A,FALSE,"Plan1";#N/A,#N/A,FALSE,"Plan2"}</definedName>
    <definedName name="hsdfgdgudrt" hidden="1">{#N/A,#N/A,FALSE,"Plan1";#N/A,#N/A,FALSE,"Plan2"}</definedName>
    <definedName name="hsdfjkdhur" hidden="1">{#N/A,#N/A,FALSE,"Plan1";#N/A,#N/A,FALSE,"Plan2"}</definedName>
    <definedName name="hsdgftdh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jffd" hidden="1">{#N/A,#N/A,FALSE,"Plan1";#N/A,#N/A,FALSE,"Plan2"}</definedName>
    <definedName name="hsdjffe" hidden="1">{#N/A,#N/A,FALSE,"Plan1";#N/A,#N/A,FALSE,"Plan2"}</definedName>
    <definedName name="HSFIHDTR" hidden="1">{"Econ Consolidado",#N/A,FALSE,"Econ Consol";"Fluxo de Caixa",#N/A,FALSE,"Fluxo Caixa";"Investimentos",#N/A,FALSE,"Investimentos"}</definedName>
    <definedName name="hsfjkdshrgf" hidden="1">{#N/A,#N/A,FALSE,"Plan1";#N/A,#N/A,FALSE,"Plan2"}</definedName>
    <definedName name="hthhrtetdre" hidden="1">{#N/A,#N/A,FALSE,"Plan1";#N/A,#N/A,FALSE,"Plan2"}</definedName>
    <definedName name="HTM">#REF!</definedName>
    <definedName name="HTML_CodePage" hidden="1">949</definedName>
    <definedName name="HTML_Control" hidden="1">{"'장비'!$A$3:$M$12"}</definedName>
    <definedName name="HTML_Description" hidden="1">""</definedName>
    <definedName name="HTML_Email" hidden="1">""</definedName>
    <definedName name="HTML_Header" hidden="1">"장비"</definedName>
    <definedName name="HTML_LastUpdate" hidden="1">"97-08-05"</definedName>
    <definedName name="HTML_LineAfter" hidden="1">FALSE</definedName>
    <definedName name="HTML_LineBefore" hidden="1">FALSE</definedName>
    <definedName name="HTML_Name" hidden="1">"이진화"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"가산동미라보"</definedName>
    <definedName name="HTML2_CONTROL" hidden="1">{"'Estimativa de Lançamento-JAN'!$A$1:$AI$85"}</definedName>
    <definedName name="HTML3_CONTROL" hidden="1">{"'Estimativa de Lançamento-JAN'!$A$1:$AI$85"}</definedName>
    <definedName name="HTMLControl" hidden="1">{"'Edit'!$A$1:$V$2277"}</definedName>
    <definedName name="HTN">#REF!</definedName>
    <definedName name="HVJKHGKFXHFD" hidden="1">{#N/A,#N/A,FALSE,"Plan1";#N/A,#N/A,FALSE,"Plan2"}</definedName>
    <definedName name="hwekjhekhf" hidden="1">{#N/A,#N/A,FALSE,"Plan1";#N/A,#N/A,FALSE,"Plan2"}</definedName>
    <definedName name="HXFRE" hidden="1">{#N/A,#N/A,FALSE,"Plan1";#N/A,#N/A,FALSE,"Plan2"}</definedName>
    <definedName name="HXKJFGDKHG" hidden="1">{#N/A,#N/A,FALSE,"Plan1";#N/A,#N/A,FALSE,"Plan2"}</definedName>
    <definedName name="I">#REF!</definedName>
    <definedName name="ibir_cdi">#REF!</definedName>
    <definedName name="ibir_hist">#REF!</definedName>
    <definedName name="ibir_uss">#REF!</definedName>
    <definedName name="IC" hidden="1">#REF!</definedName>
    <definedName name="icoa_cdi">#REF!</definedName>
    <definedName name="icoa_hist">#REF!</definedName>
    <definedName name="icoa_uss">#REF!</definedName>
    <definedName name="Identificação">#REF!</definedName>
    <definedName name="idfhgkjhfkthy" hidden="1">{#N/A,#N/A,FALSE,"Plan1";#N/A,#N/A,FALSE,"Plan2"}</definedName>
    <definedName name="ieroweft" hidden="1">{#N/A,#N/A,FALSE,"Plan1";#N/A,#N/A,FALSE,"Plan2"}</definedName>
    <definedName name="iewpotqi5poejy" hidden="1">{#N/A,#N/A,FALSE,"Plan1";#N/A,#N/A,FALSE,"Plan2"}</definedName>
    <definedName name="ihdfifguhgfuiy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eidhgufr" hidden="1">#REF!</definedName>
    <definedName name="ihfdkjhktgrd" hidden="1">{#N/A,#N/A,FALSE,"Plan1";#N/A,#N/A,FALSE,"Plan2"}</definedName>
    <definedName name="ihrtetw4r" hidden="1">{#N/A,#N/A,FALSE,"Plan1";#N/A,#N/A,FALSE,"Plan2"}</definedName>
    <definedName name="II">#REF!</definedName>
    <definedName name="IIASDSAWE" hidden="1">{"Econ Consolidado",#N/A,FALSE,"Econ Consol";"Fluxo de Caixa",#N/A,FALSE,"Fluxo Caixa";"Investimentos",#N/A,FALSE,"Investimentos"}</definedName>
    <definedName name="III">#REF!</definedName>
    <definedName name="iinstalaçõ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lhweilrji4e" hidden="1">{#N/A,#N/A,FALSE,"Plan1";#N/A,#N/A,FALSE,"Plan2"}</definedName>
    <definedName name="ilsdr4wf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M">#REF!</definedName>
    <definedName name="IMP" hidden="1">#REF!</definedName>
    <definedName name="IMPERMEABILIZ.">#REF!</definedName>
    <definedName name="IMPF">#REF!</definedName>
    <definedName name="IMPI">#REF!</definedName>
    <definedName name="IMPOSTO">#REF!</definedName>
    <definedName name="INCC">#REF!</definedName>
    <definedName name="Incorido_Aplicado_X_Físico">#REF!</definedName>
    <definedName name="INCORPORAÇÃO">#REF!</definedName>
    <definedName name="Index" hidden="1">#REF!</definedName>
    <definedName name="Indice">#REF!</definedName>
    <definedName name="indice_correcao_proj">#REF!</definedName>
    <definedName name="infra">#REF!</definedName>
    <definedName name="Infra_OBra_Sienge">#REF!</definedName>
    <definedName name="Infra_Projetos_Sienge">#REF!</definedName>
    <definedName name="INFRA2">#REF!</definedName>
    <definedName name="Insatalaçõ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S_Bloqueado_Fin_Medição">#REF!</definedName>
    <definedName name="Inss_Bloqueado_Previsão_Fin_Medições">#REF!</definedName>
    <definedName name="instalaçoe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U">OFFSET(#REF!,0,0,COUNTA(#REF!),1)</definedName>
    <definedName name="INSUMOS">#REF!</definedName>
    <definedName name="INT.FILTRO.NBASE">#REF!</definedName>
    <definedName name="INTEGRA" hidden="1">{"'Edit'!$A$1:$V$2277"}</definedName>
    <definedName name="IO">196.003</definedName>
    <definedName name="ioeriotyt" hidden="1">{#N/A,#N/A,FALSE,"Plan1";#N/A,#N/A,FALSE,"Plan2"}</definedName>
    <definedName name="iohudtorh" hidden="1">{#N/A,#N/A,FALSE,"Plan1";#N/A,#N/A,FALSE,"Plan2"}</definedName>
    <definedName name="iojtkheayed" hidden="1">{#N/A,#N/A,FALSE,"Plan1";#N/A,#N/A,FALSE,"Plan2"}</definedName>
    <definedName name="iouweroieuw4" hidden="1">{#N/A,#N/A,FALSE,"Plan1";#N/A,#N/A,FALSE,"Plan2"}</definedName>
    <definedName name="iphifpgh" hidden="1">{#N/A,#N/A,FALSE,"Plan1";#N/A,#N/A,FALSE,"Plan2"}</definedName>
    <definedName name="IPMF">#REF!</definedName>
    <definedName name="ipodsifgpds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tjrjketjr" hidden="1">{#N/A,#N/A,FALSE,"Plan1";#N/A,#N/A,FALSE,"Plan2"}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40730.4399768518</definedName>
    <definedName name="IQ_NTM" hidden="1">6000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R_diferido">#REF!</definedName>
    <definedName name="ISOPOR">#REF!</definedName>
    <definedName name="ISS">#REF!</definedName>
    <definedName name="ItalieNS">#REF!</definedName>
    <definedName name="ItalieNT">#REF!</definedName>
    <definedName name="itc_cdi">#REF!</definedName>
    <definedName name="itc_hist">#REF!</definedName>
    <definedName name="itc_uss">#REF!</definedName>
    <definedName name="item_1" localSheetId="21">#REF!</definedName>
    <definedName name="item_1" localSheetId="0">#REF!</definedName>
    <definedName name="item_1" localSheetId="24">#REF!</definedName>
    <definedName name="item_1" localSheetId="17">#REF!</definedName>
    <definedName name="item_1" localSheetId="18">#REF!</definedName>
    <definedName name="item_1" localSheetId="1">#REF!</definedName>
    <definedName name="item_1" localSheetId="19">#REF!</definedName>
    <definedName name="item_1" localSheetId="41">#REF!</definedName>
    <definedName name="item_1">#REF!</definedName>
    <definedName name="ITEMCONT">#REF!</definedName>
    <definedName name="ITEMDER">#REF!</definedName>
    <definedName name="ITEMIZAÇÃO">#REF!</definedName>
    <definedName name="ITEMIZAÇÃO_2">#REF!</definedName>
    <definedName name="ITEMIZAÇÃO_3">#REF!</definedName>
    <definedName name="ITEMIZAÇÃO_4">#REF!</definedName>
    <definedName name="ITEMIZAÇÃO_5">#REF!</definedName>
    <definedName name="ITEMIZAÇÃO_7">#REF!</definedName>
    <definedName name="ITEMIZAÇÃO_8">#REF!</definedName>
    <definedName name="ITEMR20">#REF!</definedName>
    <definedName name="ITEM별상세업무분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NS">#REF!</definedName>
    <definedName name="ITENS0">#REF!</definedName>
    <definedName name="ITENS1">#REF!</definedName>
    <definedName name="ITENSP">#REF!</definedName>
    <definedName name="ITENSPMED">#REF!</definedName>
    <definedName name="IUGFGDFUY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V">#REF!</definedName>
    <definedName name="iyguygiyt" hidden="1">{#N/A,#N/A,FALSE,"Plan1";#N/A,#N/A,FALSE,"Plan2"}</definedName>
    <definedName name="iyuyheturtd" hidden="1">{#N/A,#N/A,FALSE,"Plan1";#N/A,#N/A,FALSE,"Plan2"}</definedName>
    <definedName name="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alejdasjf" hidden="1">{#N/A,#N/A,FALSE,"Plan1";#N/A,#N/A,FALSE,"Plan2"}</definedName>
    <definedName name="jan_05">#REF!</definedName>
    <definedName name="jan17RJ">#REF!</definedName>
    <definedName name="JANEIRO2001">#REF!</definedName>
    <definedName name="JASDJS" hidden="1">{#N/A,#N/A,FALSE,"Plan1";#N/A,#N/A,FALSE,"Plan2"}</definedName>
    <definedName name="jaskldjlse" hidden="1">{#N/A,#N/A,FALSE,"Plan1";#N/A,#N/A,FALSE,"Plan2"}</definedName>
    <definedName name="JASLDKLD" hidden="1">{#N/A,#N/A,FALSE,"Plan1";#N/A,#N/A,FALSE,"Plan2"}</definedName>
    <definedName name="jasoe" hidden="1">#REF!</definedName>
    <definedName name="jbzxffcbgdhgft" hidden="1">#REF!</definedName>
    <definedName name="JÇDFHDF" hidden="1">{"Econ Consolidado",#N/A,FALSE,"Econ Consol";"Fluxo de Caixa",#N/A,FALSE,"Fluxo Caixa";"Investimentos",#N/A,FALSE,"Investimentos"}</definedName>
    <definedName name="jdbgftbhr" hidden="1">{#N/A,#N/A,FALSE,"Plan1";#N/A,#N/A,FALSE,"Plan2"}</definedName>
    <definedName name="jdfgkrhgft" hidden="1">#REF!</definedName>
    <definedName name="jdfgldfjgklh" hidden="1">{#N/A,#N/A,FALSE,"Plan1";#N/A,#N/A,FALSE,"Plan2"}</definedName>
    <definedName name="jdfhjkdrhjtkg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jdtrgt" hidden="1">{#N/A,#N/A,FALSE,"Plan1";#N/A,#N/A,FALSE,"Plan2"}</definedName>
    <definedName name="JDFJLDJR" hidden="1">{#N/A,#N/A,FALSE,"Plan1";#N/A,#N/A,FALSE,"Plan2"}</definedName>
    <definedName name="jdfkgitfgdrtt" hidden="1">{#N/A,#N/A,FALSE,"Plan1";#N/A,#N/A,FALSE,"Plan2"}</definedName>
    <definedName name="JDFKHFKJ" hidden="1">{#N/A,#N/A,FALSE,"Plan1";#N/A,#N/A,FALSE,"Plan2"}</definedName>
    <definedName name="jdfklgtdtr" hidden="1">{#N/A,#N/A,FALSE,"Plan1";#N/A,#N/A,FALSE,"Plan2"}</definedName>
    <definedName name="JDFKTHRT" hidden="1">{#N/A,#N/A,FALSE,"Plan1";#N/A,#N/A,FALSE,"Plan2"}</definedName>
    <definedName name="JDFLKJDRF" hidden="1">{#N/A,#N/A,FALSE,"Plan1";#N/A,#N/A,FALSE,"Plan2"}</definedName>
    <definedName name="jdfzlkjgfdht" hidden="1">{#N/A,#N/A,FALSE,"Plan1";#N/A,#N/A,FALSE,"Plan2"}</definedName>
    <definedName name="jdglhfghkt" hidden="1">{#N/A,#N/A,FALSE,"Plan1";#N/A,#N/A,FALSE,"Plan2"}</definedName>
    <definedName name="jdhfjdhgfd" hidden="1">{#N/A,#N/A,FALSE,"Plan1";#N/A,#N/A,FALSE,"Plan2"}</definedName>
    <definedName name="jdjdjdjd" hidden="1">{#N/A,#N/A,FALSE,"명세표"}</definedName>
    <definedName name="jdkfhgjhf" hidden="1">{#N/A,#N/A,FALSE,"Plan1";#N/A,#N/A,FALSE,"Plan2"}</definedName>
    <definedName name="jdkfjdtr" hidden="1">{#N/A,#N/A,FALSE,"Plan1";#N/A,#N/A,FALSE,"Plan2"}</definedName>
    <definedName name="jdljgftldjti5r" hidden="1">{#N/A,#N/A,FALSE,"Plan1";#N/A,#N/A,FALSE,"Plan2"}</definedName>
    <definedName name="JDLKJDASGF" hidden="1">{#N/A,#N/A,FALSE,"Plan1";#N/A,#N/A,FALSE,"Plan2"}</definedName>
    <definedName name="jdrfkdjfghrtfjg" hidden="1">{#N/A,#N/A,FALSE,"Plan1";#N/A,#N/A,FALSE,"Plan2"}</definedName>
    <definedName name="jdskfhdk" hidden="1">{#N/A,#N/A,FALSE,"Plan1";#N/A,#N/A,FALSE,"Plan2"}</definedName>
    <definedName name="JDSKLGKDRHGGF" hidden="1">{#N/A,#N/A,FALSE,"Plan1";#N/A,#N/A,FALSE,"Plan2"}</definedName>
    <definedName name="jefsgfr" hidden="1">{#N/A,#N/A,FALSE,"Plan1";#N/A,#N/A,FALSE,"Plan2"}</definedName>
    <definedName name="JERHIEHYURE" hidden="1">{#N/A,#N/A,FALSE,"Plan1";#N/A,#N/A,FALSE,"Plan2"}</definedName>
    <definedName name="jfddlsrtyty" hidden="1">{#N/A,#N/A,FALSE,"Plan1";#N/A,#N/A,FALSE,"Plan2"}</definedName>
    <definedName name="jfdjtgdjghitfyh" hidden="1">{#N/A,#N/A,FALSE,"Plan1";#N/A,#N/A,FALSE,"Plan2"}</definedName>
    <definedName name="jfdkgkftftg" hidden="1">{#N/A,#N/A,FALSE,"Plan1";#N/A,#N/A,FALSE,"Plan2"}</definedName>
    <definedName name="jfghjkfdhtkyru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JYHTY" hidden="1">{#N/A,#N/A,FALSE,"Plan1";#N/A,#N/A,FALSE,"Plan2"}</definedName>
    <definedName name="jfgkflcnjkglc" hidden="1">{#N/A,#N/A,FALSE,"Plan1";#N/A,#N/A,FALSE,"Plan2"}</definedName>
    <definedName name="JFHRE" hidden="1">{#N/A,#N/A,FALSE,"Plan1";#N/A,#N/A,FALSE,"Plan2"}</definedName>
    <definedName name="jfkdls5jtirjd" hidden="1">{#N/A,#N/A,FALSE,"Plan1";#N/A,#N/A,FALSE,"Plan2"}</definedName>
    <definedName name="jfkljdkfcj" hidden="1">{#N/A,#N/A,FALSE,"Plan1";#N/A,#N/A,FALSE,"Plan2"}</definedName>
    <definedName name="jfkrhdtghdut" hidden="1">{#N/A,#N/A,FALSE,"Plan1";#N/A,#N/A,FALSE,"Plan2"}</definedName>
    <definedName name="JFRESR" hidden="1">{#N/A,#N/A,FALSE,"Plan1";#N/A,#N/A,FALSE,"Plan2"}</definedName>
    <definedName name="jgdfdgfjgdj" hidden="1">{#N/A,#N/A,FALSE,"Plan1";#N/A,#N/A,FALSE,"Plan2"}</definedName>
    <definedName name="jgdfght" hidden="1">{#N/A,#N/A,FALSE,"Plan1";#N/A,#N/A,FALSE,"Plan2"}</definedName>
    <definedName name="jgfgdsgfdhrf" hidden="1">{#N/A,#N/A,FALSE,"Plan1";#N/A,#N/A,FALSE,"Plan2"}</definedName>
    <definedName name="JGFJGTFT" hidden="1">{#N/A,#N/A,FALSE,"Plan1";#N/A,#N/A,FALSE,"Plan2"}</definedName>
    <definedName name="JGJSFJKSDGB" hidden="1">17</definedName>
    <definedName name="jgkjkhjuftgi" hidden="1">{#N/A,#N/A,FALSE,"Plan1";#N/A,#N/A,FALSE,"Plan2"}</definedName>
    <definedName name="jh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fjjhirft" hidden="1">{#N/A,#N/A,FALSE,"Plan1";#N/A,#N/A,FALSE,"Plan2"}</definedName>
    <definedName name="jhdfjkhtrdhf" hidden="1">{#N/A,#N/A,FALSE,"Plan1";#N/A,#N/A,FALSE,"Plan2"}</definedName>
    <definedName name="jhdfuthr" hidden="1">{#N/A,#N/A,FALSE,"Plan1";#N/A,#N/A,FALSE,"Plan2"}</definedName>
    <definedName name="JHDFZGRDHF" hidden="1">{"Econ Consolidado",#N/A,FALSE,"Econ Consol";"Fluxo de Caixa",#N/A,FALSE,"Fluxo Caixa";"Investimentos",#N/A,FALSE,"Investimentos"}</definedName>
    <definedName name="JHERKHKFGH" hidden="1">{#N/A,#N/A,FALSE,"Plan1";#N/A,#N/A,FALSE,"Plan2"}</definedName>
    <definedName name="jhfhhztfhe" hidden="1">#REF!</definedName>
    <definedName name="JHGKJFJFJGL" hidden="1">{#N/A,#N/A,FALSE,"Plan1";#N/A,#N/A,FALSE,"Plan2"}</definedName>
    <definedName name="jhsdjkhfuks" hidden="1">{#N/A,#N/A,FALSE,"Plan1";#N/A,#N/A,FALSE,"Plan2"}</definedName>
    <definedName name="jisdrkje" hidden="1">{#N/A,#N/A,FALSE,"Plan1";#N/A,#N/A,FALSE,"Plan2"}</definedName>
    <definedName name="jishfrieyhtau" hidden="1">{#N/A,#N/A,FALSE,"Plan1";#N/A,#N/A,FALSE,"Plan2"}</definedName>
    <definedName name="jiu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j" hidden="1">{"'Apr-00'!$B$4:$AD$44"}</definedName>
    <definedName name="jjfdsktyhhy" hidden="1">{#N/A,#N/A,FALSE,"Plan1";#N/A,#N/A,FALSE,"Plan2"}</definedName>
    <definedName name="jjjjjjjjjjjjjjjjjjjj">#REF!</definedName>
    <definedName name="jjkjkjk" hidden="1">{#N/A,#N/A,FALSE,"Plan1";#N/A,#N/A,FALSE,"Plan2"}</definedName>
    <definedName name="JKDCK" hidden="1">{#N/A,#N/A,FALSE,"Plan1";#N/A,#N/A,FALSE,"Plan2"}</definedName>
    <definedName name="JKDFHKHFR" hidden="1">{#N/A,#N/A,FALSE,"Plan1";#N/A,#N/A,FALSE,"Plan2"}</definedName>
    <definedName name="JKDFTRDRJ" hidden="1">{#N/A,#N/A,FALSE,"Plan1";#N/A,#N/A,FALSE,"Plan2"}</definedName>
    <definedName name="jkdhfukhddf" hidden="1">{#N/A,#N/A,FALSE,"Plan1";#N/A,#N/A,FALSE,"Plan2"}</definedName>
    <definedName name="JKDRKGJHTDR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elsjreja" hidden="1">{#N/A,#N/A,FALSE,"Plan1";#N/A,#N/A,FALSE,"Plan2"}</definedName>
    <definedName name="jkfhjgkfhghh" hidden="1">{#N/A,#N/A,FALSE,"Plan1";#N/A,#N/A,FALSE,"Plan2"}</definedName>
    <definedName name="jkhderjkhes" hidden="1">{#N/A,#N/A,FALSE,"Plan1";#N/A,#N/A,FALSE,"Plan2"}</definedName>
    <definedName name="jkhdfhfd" hidden="1">{#N/A,#N/A,FALSE,"Plan1";#N/A,#N/A,FALSE,"Plan2"}</definedName>
    <definedName name="jkhfhes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KJHGKFTHUDET" hidden="1">{#N/A,#N/A,FALSE,"Plan1";#N/A,#N/A,FALSE,"Plan2"}</definedName>
    <definedName name="JKHGDHFUHTG" hidden="1">{#N/A,#N/A,FALSE,"Plan1";#N/A,#N/A,FALSE,"Plan2"}</definedName>
    <definedName name="jkhsdzjkfyiu" hidden="1">{#N/A,#N/A,FALSE,"Plan1";#N/A,#N/A,FALSE,"Plan2"}</definedName>
    <definedName name="jkjsdkhfdhrf" hidden="1">{#N/A,#N/A,FALSE,"Plan1";#N/A,#N/A,FALSE,"Plan2"}</definedName>
    <definedName name="jklgfsjgtjtg" hidden="1">{#N/A,#N/A,FALSE,"Plan1";#N/A,#N/A,FALSE,"Plan2"}</definedName>
    <definedName name="jksldfjsdhf" hidden="1">{#N/A,#N/A,FALSE,"Plan1";#N/A,#N/A,FALSE,"Plan2"}</definedName>
    <definedName name="jkxhcjkhfr" hidden="1">{#N/A,#N/A,FALSE,"Plan1";#N/A,#N/A,FALSE,"Plan2"}</definedName>
    <definedName name="JNGCKFKJFGH" hidden="1">{#N/A,#N/A,FALSE,"Plan1";#N/A,#N/A,FALSE,"Plan2"}</definedName>
    <definedName name="JOALDO">#REF!</definedName>
    <definedName name="joao_cdi">#REF!</definedName>
    <definedName name="joao_hist">#REF!</definedName>
    <definedName name="joao_uss">#REF!</definedName>
    <definedName name="JREJRW" hidden="1">{#N/A,#N/A,FALSE,"Plan1";#N/A,#N/A,FALSE,"Plan2"}</definedName>
    <definedName name="JSADKAH" hidden="1">{"Econ Consolidado",#N/A,FALSE,"Econ Consol";"Fluxo de Caixa",#N/A,FALSE,"Fluxo Caixa";"Investimentos",#N/A,FALSE,"Investimentos"}</definedName>
    <definedName name="JSDAJRE" hidden="1">{#N/A,#N/A,FALSE,"Plan1";#N/A,#N/A,FALSE,"Plan2"}</definedName>
    <definedName name="jsdffs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jgx" hidden="1">{#N/A,#N/A,FALSE,"Plan1";#N/A,#N/A,FALSE,"Plan2"}</definedName>
    <definedName name="jsdfkgnfr" hidden="1">#REF!</definedName>
    <definedName name="jsdfsdfd" hidden="1">{#N/A,#N/A,FALSE,"Plan1";#N/A,#N/A,FALSE,"Plan2"}</definedName>
    <definedName name="jsdljficd" hidden="1">{#N/A,#N/A,FALSE,"Plan1";#N/A,#N/A,FALSE,"Plan2"}</definedName>
    <definedName name="JSDTLFJDRG" hidden="1">{#N/A,#N/A,FALSE,"Plan1";#N/A,#N/A,FALSE,"Plan2"}</definedName>
    <definedName name="jsfjsjferwea" hidden="1">{#N/A,#N/A,FALSE,"Plan1";#N/A,#N/A,FALSE,"Plan2"}</definedName>
    <definedName name="jslrjer" hidden="1">{#N/A,#N/A,FALSE,"Plan1";#N/A,#N/A,FALSE,"Plan2"}</definedName>
    <definedName name="juklhkhdf" hidden="1">{#N/A,#N/A,FALSE,"Plan1";#N/A,#N/A,FALSE,"Plan2"}</definedName>
    <definedName name="jul17RJ">#REF!</definedName>
    <definedName name="JULHO">#REF!</definedName>
    <definedName name="JULHO2001">#REF!</definedName>
    <definedName name="JULHO99" hidden="1">{#N/A,#N/A,TRUE,"Quinzena 01 à 15-04-98 "}</definedName>
    <definedName name="jun17RJ">#REF!</definedName>
    <definedName name="JUNHO">#REF!</definedName>
    <definedName name="JUNHO2001">#REF!</definedName>
    <definedName name="JurosTpMes">#REF!</definedName>
    <definedName name="jwekljd" hidden="1">{#N/A,#N/A,FALSE,"Plan1";#N/A,#N/A,FALSE,"Plan2"}</definedName>
    <definedName name="JWEOITORU5Y" hidden="1">{#N/A,#N/A,FALSE,"Plan1";#N/A,#N/A,FALSE,"Plan2"}</definedName>
    <definedName name="jxdfjsrf" hidden="1">{#N/A,#N/A,FALSE,"Plan1";#N/A,#N/A,FALSE,"Plan2"}</definedName>
    <definedName name="jxdklfjv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Y" hidden="1">#REF!</definedName>
    <definedName name="jzsdjkszl" hidden="1">{#N/A,#N/A,FALSE,"Plan1";#N/A,#N/A,FALSE,"Plan2"}</definedName>
    <definedName name="JZXFKLJLDJF" hidden="1">{#N/A,#N/A,FALSE,"Plan1";#N/A,#N/A,FALSE,"Plan2"}</definedName>
    <definedName name="jzxklfdlvgfg" hidden="1">{#N/A,#N/A,FALSE,"Plan1";#N/A,#N/A,FALSE,"Plan2"}</definedName>
    <definedName name="k" hidden="1">{#N/A,#N/A,FALSE,"Plan1";#N/A,#N/A,FALSE,"Plan2"}</definedName>
    <definedName name="K_1">#REF!</definedName>
    <definedName name="kaedkroswr" hidden="1">{"Econ Consolidado",#N/A,FALSE,"Econ Consol";"Fluxo de Caixa",#N/A,FALSE,"Fluxo Caixa";"Investimentos",#N/A,FALSE,"Investimentos"}</definedName>
    <definedName name="kapa">#REF!</definedName>
    <definedName name="kç\lKçaksdçaqew" hidden="1">{#N/A,#N/A,FALSE,"Plan1";#N/A,#N/A,FALSE,"Plan2"}</definedName>
    <definedName name="kçdasekr" hidden="1">{#N/A,#N/A,FALSE,"Plan1";#N/A,#N/A,FALSE,"Plan2"}</definedName>
    <definedName name="kçfdljtredr" hidden="1">{#N/A,#N/A,FALSE,"Plan1";#N/A,#N/A,FALSE,"Plan2"}</definedName>
    <definedName name="KCIVIL">#REF!</definedName>
    <definedName name="kclçkglf" hidden="1">{#N/A,#N/A,FALSE,"Plan1";#N/A,#N/A,FALSE,"Plan2"}</definedName>
    <definedName name="kçlkasçkere" hidden="1">{#N/A,#N/A,FALSE,"Plan1";#N/A,#N/A,FALSE,"Plan2"}</definedName>
    <definedName name="kdfbngtjkbf" hidden="1">{#N/A,#N/A,FALSE,"Plan1";#N/A,#N/A,FALSE,"Plan2"}</definedName>
    <definedName name="kdfhkghkrh" hidden="1">{#N/A,#N/A,FALSE,"Plan1";#N/A,#N/A,FALSE,"Plan2"}</definedName>
    <definedName name="kdfier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kçrkf" hidden="1">{#N/A,#N/A,FALSE,"Plan1";#N/A,#N/A,FALSE,"Plan2"}</definedName>
    <definedName name="kdfljlfr" hidden="1">{#N/A,#N/A,FALSE,"Plan1";#N/A,#N/A,FALSE,"Plan2"}</definedName>
    <definedName name="kdhfgkdfhytgu" hidden="1">{#N/A,#N/A,FALSE,"Plan1";#N/A,#N/A,FALSE,"Plan2"}</definedName>
    <definedName name="kdhgftfg" hidden="1">{#N/A,#N/A,FALSE,"Plan1";#N/A,#N/A,FALSE,"Plan2"}</definedName>
    <definedName name="KDHKFGKKHGF" hidden="1">{#N/A,#N/A,FALSE,"Plan1";#N/A,#N/A,FALSE,"Plan2"}</definedName>
    <definedName name="kdjfdr" hidden="1">#REF!</definedName>
    <definedName name="kdjgkfjgd" hidden="1">{#N/A,#N/A,FALSE,"Plan1";#N/A,#N/A,FALSE,"Plan2"}</definedName>
    <definedName name="kdjglkdlgjd" hidden="1">{#N/A,#N/A,FALSE,"Plan1";#N/A,#N/A,FALSE,"Plan2"}</definedName>
    <definedName name="kdjsfkldjgkty" hidden="1">{#N/A,#N/A,FALSE,"Plan1";#N/A,#N/A,FALSE,"Plan2"}</definedName>
    <definedName name="KDJU" hidden="1">{"'장비'!$A$3:$M$12"}</definedName>
    <definedName name="kdkjhgdkfhjk" hidden="1">{#N/A,#N/A,FALSE,"Plan1";#N/A,#N/A,FALSE,"Plan2"}</definedName>
    <definedName name="kdsf" hidden="1">{#N/A,#N/A,FALSE,"Plan1";#N/A,#N/A,FALSE,"Plan2"}</definedName>
    <definedName name="kdsr" hidden="1">{#N/A,#N/A,FALSE,"Plan1";#N/A,#N/A,FALSE,"Plan2"}</definedName>
    <definedName name="kergtfdstr" hidden="1">{#N/A,#N/A,FALSE,"Plan1";#N/A,#N/A,FALSE,"Plan2"}</definedName>
    <definedName name="kesp">#REF!</definedName>
    <definedName name="KFDKTHGT" hidden="1">{#N/A,#N/A,FALSE,"Plan1";#N/A,#N/A,FALSE,"Plan2"}</definedName>
    <definedName name="kfdxlfdzs" hidden="1">{"Econ Consolidado",#N/A,FALSE,"Econ Consol";"Fluxo de Caixa",#N/A,FALSE,"Fluxo Caixa";"Investimentos",#N/A,FALSE,"Investimentos"}</definedName>
    <definedName name="kfgkhjkjhy" hidden="1">{#N/A,#N/A,FALSE,"Plan1";#N/A,#N/A,FALSE,"Plan2"}</definedName>
    <definedName name="KFJFDSDF" hidden="1">{#N/A,#N/A,FALSE,"Plan1";#N/A,#N/A,FALSE,"Plan2"}</definedName>
    <definedName name="kfnkeasd" hidden="1">{#N/A,#N/A,FALSE,"Plan1";#N/A,#N/A,FALSE,"Plan2"}</definedName>
    <definedName name="khdjkfkjhtg" hidden="1">{#N/A,#N/A,FALSE,"Plan1";#N/A,#N/A,FALSE,"Plan2"}</definedName>
    <definedName name="khdkfjhhfsdg" hidden="1">{#N/A,#N/A,FALSE,"Plan1";#N/A,#N/A,FALSE,"Plan2"}</definedName>
    <definedName name="khdkjfhgudytu" hidden="1">{#N/A,#N/A,FALSE,"Plan1";#N/A,#N/A,FALSE,"Plan2"}</definedName>
    <definedName name="khfdghhhgd" hidden="1">{#N/A,#N/A,FALSE,"Plan1";#N/A,#N/A,FALSE,"Plan2"}</definedName>
    <definedName name="khfdkjhsdjf" hidden="1">{#N/A,#N/A,FALSE,"Plan1";#N/A,#N/A,FALSE,"Plan2"}</definedName>
    <definedName name="khgdkftfy" hidden="1">{#N/A,#N/A,FALSE,"Plan1";#N/A,#N/A,FALSE,"Plan2"}</definedName>
    <definedName name="khgfhhtuhf" hidden="1">{#N/A,#N/A,FALSE,"Plan1";#N/A,#N/A,FALSE,"Plan2"}</definedName>
    <definedName name="khjk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LSDF" hidden="1">{#N/A,#N/A,FALSE,"Plan1";#N/A,#N/A,FALSE,"Plan2"}</definedName>
    <definedName name="kieret" hidden="1">{#N/A,#N/A,FALSE,"Plan1";#N/A,#N/A,FALSE,"Plan2"}</definedName>
    <definedName name="kiweokwr" hidden="1">#REF!</definedName>
    <definedName name="kjchkfhsezk" hidden="1">{#N/A,#N/A,FALSE,"Plan1";#N/A,#N/A,FALSE,"Plan2"}</definedName>
    <definedName name="kjdghksef" hidden="1">{#N/A,#N/A,FALSE,"Plan1";#N/A,#N/A,FALSE,"Plan2"}</definedName>
    <definedName name="kjdkftyhtert" hidden="1">{#N/A,#N/A,FALSE,"Plan1";#N/A,#N/A,FALSE,"Plan2"}</definedName>
    <definedName name="kjdlfkjds" hidden="1">{#N/A,#N/A,FALSE,"Plan1";#N/A,#N/A,FALSE,"Plan2"}</definedName>
    <definedName name="kjdzhfytrfy" hidden="1">{#N/A,#N/A,FALSE,"Plan1";#N/A,#N/A,FALSE,"Plan2"}</definedName>
    <definedName name="kjhdfgjthdft" hidden="1">{#N/A,#N/A,FALSE,"Plan1";#N/A,#N/A,FALSE,"Plan2"}</definedName>
    <definedName name="kjhsdf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iorf" hidden="1">{#N/A,#N/A,FALSE,"Plan1";#N/A,#N/A,FALSE,"Plan2"}</definedName>
    <definedName name="KJ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www" hidden="1">{#N/A,#N/A,FALSE,"Plan1";#N/A,#N/A,FALSE,"Plan2"}</definedName>
    <definedName name="kjl" hidden="1">{#N/A,#N/A,FALSE,"ENG'G(보호계전기)"}</definedName>
    <definedName name="KJOI" hidden="1">{#N/A,#N/A,FALSE,"Plan1";#N/A,#N/A,FALSE,"Plan2"}</definedName>
    <definedName name="kjqwerw" hidden="1">{#N/A,#N/A,FALSE,"Plan1";#N/A,#N/A,FALSE,"Plan2"}</definedName>
    <definedName name="kjsfert" hidden="1">{#N/A,#N/A,FALSE,"Plan1";#N/A,#N/A,FALSE,"Plan2"}</definedName>
    <definedName name="KJXCFKR" hidden="1">{#N/A,#N/A,FALSE,"Plan1";#N/A,#N/A,FALSE,"Plan2"}</definedName>
    <definedName name="KJXDFD" hidden="1">{#N/A,#N/A,FALSE,"Plan1";#N/A,#N/A,FALSE,"Plan2"}</definedName>
    <definedName name="kjydhfkjghkjfh" hidden="1">#REF!</definedName>
    <definedName name="kk">#REF!</definedName>
    <definedName name="kk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k" hidden="1">{#N/A,#N/A,FALSE,"Plan1";#N/A,#N/A,FALSE,"Plan2"}</definedName>
    <definedName name="kkkkk" hidden="1">{#N/A,#N/A,FALSE,"Plan1";#N/A,#N/A,FALSE,"Plan2"}</definedName>
    <definedName name="kkkkkk" hidden="1">{#N/A,#N/A,FALSE,"Plan1";#N/A,#N/A,FALSE,"Plan2"}</definedName>
    <definedName name="kk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saklçer" hidden="1">{#N/A,#N/A,FALSE,"Plan1";#N/A,#N/A,FALSE,"Plan2"}</definedName>
    <definedName name="kksarde" hidden="1">{#N/A,#N/A,FALSE,"Plan1";#N/A,#N/A,FALSE,"Plan2"}</definedName>
    <definedName name="klaskldjsw" hidden="1">{#N/A,#N/A,FALSE,"Plan1";#N/A,#N/A,FALSE,"Plan2"}</definedName>
    <definedName name="klçkop" hidden="1">{#N/A,#N/A,FALSE,"Plan1";#N/A,#N/A,FALSE,"Plan2"}</definedName>
    <definedName name="KLDFNTRDT" hidden="1">{#N/A,#N/A,FALSE,"Plan1";#N/A,#N/A,FALSE,"Plan2"}</definedName>
    <definedName name="klhjsdklhdf" hidden="1">{#N/A,#N/A,FALSE,"Plan1";#N/A,#N/A,FALSE,"Plan2"}</definedName>
    <definedName name="KLHSKLRHWE" hidden="1">{#N/A,#N/A,FALSE,"Plan1";#N/A,#N/A,FALSE,"Plan2"}</definedName>
    <definedName name="KLJASKJD" hidden="1">{#N/A,#N/A,FALSE,"Plan1";#N/A,#N/A,FALSE,"Plan2"}</definedName>
    <definedName name="KLJDXL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eflwr" hidden="1">{#N/A,#N/A,FALSE,"Plan1";#N/A,#N/A,FALSE,"Plan2"}</definedName>
    <definedName name="kljflgjrf" hidden="1">{#N/A,#N/A,FALSE,"Plan1";#N/A,#N/A,FALSE,"Plan2"}</definedName>
    <definedName name="kljgfdfr" hidden="1">{#N/A,#N/A,FALSE,"Plan1";#N/A,#N/A,FALSE,"Plan2"}</definedName>
    <definedName name="kljgfjrt" hidden="1">{#N/A,#N/A,FALSE,"Plan1";#N/A,#N/A,FALSE,"Plan2"}</definedName>
    <definedName name="kljlkdfj" hidden="1">{#N/A,#N/A,FALSE,"Plan1";#N/A,#N/A,FALSE,"Plan2"}</definedName>
    <definedName name="kljsakjfr" hidden="1">{#N/A,#N/A,FALSE,"Plan1";#N/A,#N/A,FALSE,"Plan2"}</definedName>
    <definedName name="kljsdje" hidden="1">{#N/A,#N/A,FALSE,"Plan1";#N/A,#N/A,FALSE,"Plan2"}</definedName>
    <definedName name="kljsfwe" hidden="1">{#N/A,#N/A,FALSE,"Plan1";#N/A,#N/A,FALSE,"Plan2"}</definedName>
    <definedName name="klk" hidden="1">{#N/A,#N/A,FALSE,"Plan1";#N/A,#N/A,FALSE,"Plan2"}</definedName>
    <definedName name="KLKKLKÇJÇ" hidden="1">{#N/A,#N/A,FALSE,"Plan1";#N/A,#N/A,FALSE,"Plan2"}</definedName>
    <definedName name="KLSDFT" hidden="1">{#N/A,#N/A,FALSE,"Plan1";#N/A,#N/A,FALSE,"Plan2"}</definedName>
    <definedName name="KLSDHSJKHF" hidden="1">{#N/A,#N/A,FALSE,"Plan1";#N/A,#N/A,FALSE,"Plan2"}</definedName>
    <definedName name="klsdkre" hidden="1">{#N/A,#N/A,FALSE,"Plan1";#N/A,#N/A,FALSE,"Plan2"}</definedName>
    <definedName name="KLSIDJE" hidden="1">{#N/A,#N/A,FALSE,"Plan1";#N/A,#N/A,FALSE,"Plan2"}</definedName>
    <definedName name="klsjarsf" hidden="1">{#N/A,#N/A,FALSE,"Plan1";#N/A,#N/A,FALSE,"Plan2"}</definedName>
    <definedName name="klsjdwe" hidden="1">#REF!</definedName>
    <definedName name="klxhjfdkhser" hidden="1">{#N/A,#N/A,FALSE,"Plan1";#N/A,#N/A,FALSE,"Plan2"}</definedName>
    <definedName name="kopipnsdfne" hidden="1">{#N/A,#N/A,FALSE,"Plan1";#N/A,#N/A,FALSE,"Plan2"}</definedName>
    <definedName name="kp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DF" hidden="1">{#N/A,#N/A,FALSE,"Plan1";#N/A,#N/A,FALSE,"Plan2"}</definedName>
    <definedName name="ksdlkfsçzd" hidden="1">{#N/A,#N/A,FALSE,"Plan1";#N/A,#N/A,FALSE,"Plan2"}</definedName>
    <definedName name="KSDNFK">#REF!</definedName>
    <definedName name="ksdoçierfe" hidden="1">{#N/A,#N/A,FALSE,"Plan1";#N/A,#N/A,FALSE,"Plan2"}</definedName>
    <definedName name="ksdtrdrkf" hidden="1">{#N/A,#N/A,FALSE,"Plan1";#N/A,#N/A,FALSE,"Plan2"}</definedName>
    <definedName name="KSFÇJDFJL" hidden="1">{#N/A,#N/A,FALSE,"Plan1";#N/A,#N/A,FALSE,"Plan2"}</definedName>
    <definedName name="ksfhse" hidden="1">{#N/A,#N/A,FALSE,"Plan1";#N/A,#N/A,FALSE,"Plan2"}</definedName>
    <definedName name="KSRKOE" hidden="1">{#N/A,#N/A,FALSE,"Plan1";#N/A,#N/A,FALSE,"Plan2"}</definedName>
    <definedName name="KSWKE" hidden="1">{#N/A,#N/A,FALSE,"Plan1";#N/A,#N/A,FALSE,"Plan2"}</definedName>
    <definedName name="kubus">#REF!</definedName>
    <definedName name="kubus1">#REF!</definedName>
    <definedName name="kysdusf" hidden="1">{#N/A,#N/A,FALSE,"Plan1";#N/A,#N/A,FALSE,"Plan2"}</definedName>
    <definedName name="kzslçdkçle" hidden="1">{#N/A,#N/A,FALSE,"Plan1";#N/A,#N/A,FALSE,"Plan2"}</definedName>
    <definedName name="L_">#REF!</definedName>
    <definedName name="LAEKWRK" hidden="1">{#N/A,#N/A,FALSE,"Plan1";#N/A,#N/A,FALSE,"Plan2"}</definedName>
    <definedName name="laeqwep" hidden="1">#REF!</definedName>
    <definedName name="LAKDEWRF" hidden="1">{#N/A,#N/A,FALSE,"Plan1";#N/A,#N/A,FALSE,"Plan2"}</definedName>
    <definedName name="Lancamentos">#REF!</definedName>
    <definedName name="LARGURA">#REF!</definedName>
    <definedName name="LASÇDSRLF" hidden="1">{#N/A,#N/A,FALSE,"Plan1";#N/A,#N/A,FALSE,"Plan2"}</definedName>
    <definedName name="LASDAKWE" hidden="1">25</definedName>
    <definedName name="lasrlswer" hidden="1">{#N/A,#N/A,FALSE,"Plan1";#N/A,#N/A,FALSE,"Plan2"}</definedName>
    <definedName name="LAZER">#REF!</definedName>
    <definedName name="lbla1" hidden="1">#REF!</definedName>
    <definedName name="lbla10" hidden="1">#REF!</definedName>
    <definedName name="lbla11" hidden="1">#REF!</definedName>
    <definedName name="lbla12" hidden="1">#REF!</definedName>
    <definedName name="lbla13" hidden="1">#REF!</definedName>
    <definedName name="lbla14" hidden="1">#REF!</definedName>
    <definedName name="lbla15" hidden="1">#REF!</definedName>
    <definedName name="lbla16" hidden="1">#REF!</definedName>
    <definedName name="lbla17" hidden="1">#REF!</definedName>
    <definedName name="lbla18" hidden="1">#REF!</definedName>
    <definedName name="lbla19" hidden="1">#REF!</definedName>
    <definedName name="lbla2" hidden="1">#REF!</definedName>
    <definedName name="lbla20" hidden="1">#REF!</definedName>
    <definedName name="lbla21" hidden="1">#REF!</definedName>
    <definedName name="lbla22" hidden="1">#REF!</definedName>
    <definedName name="lbla23" hidden="1">#REF!</definedName>
    <definedName name="lbla24" hidden="1">#REF!</definedName>
    <definedName name="lbla25" hidden="1">#REF!</definedName>
    <definedName name="lbla27" hidden="1">#REF!</definedName>
    <definedName name="lbla28" hidden="1">#REF!</definedName>
    <definedName name="lçadple4r" hidden="1">{#N/A,#N/A,FALSE,"Plan1";#N/A,#N/A,FALSE,"Plan2"}</definedName>
    <definedName name="lçasser" hidden="1">{#N/A,#N/A,FALSE,"Plan1";#N/A,#N/A,FALSE,"Plan2"}</definedName>
    <definedName name="lcdgjtklfrn" hidden="1">{#N/A,#N/A,FALSE,"Plan1";#N/A,#N/A,FALSE,"Plan2"}</definedName>
    <definedName name="lçfklsdkçaer" hidden="1">{#N/A,#N/A,FALSE,"Plan1";#N/A,#N/A,FALSE,"Plan2"}</definedName>
    <definedName name="lçjkgf" hidden="1">{#N/A,#N/A,FALSE,"Plan1";#N/A,#N/A,FALSE,"Plan2"}</definedName>
    <definedName name="LÇJSLDFJ" hidden="1">{#N/A,#N/A,FALSE,"Plan1";#N/A,#N/A,FALSE,"Plan2"}</definedName>
    <definedName name="LÇKÇSDRLK" hidden="1">{#N/A,#N/A,FALSE,"Plan1";#N/A,#N/A,FALSE,"Plan2"}</definedName>
    <definedName name="lçkdfkdstkre" hidden="1">25</definedName>
    <definedName name="lçk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fklçdglfdgt" hidden="1">{#N/A,#N/A,FALSE,"Plan1";#N/A,#N/A,FALSE,"Plan2"}</definedName>
    <definedName name="lçslrr4r" hidden="1">{#N/A,#N/A,FALSE,"Plan1";#N/A,#N/A,FALSE,"Plan2"}</definedName>
    <definedName name="ldfjgry" hidden="1">{#N/A,#N/A,FALSE,"Plan1";#N/A,#N/A,FALSE,"Plan2"}</definedName>
    <definedName name="ldfjgtilrf" hidden="1">{#N/A,#N/A,FALSE,"Plan1";#N/A,#N/A,FALSE,"Plan2"}</definedName>
    <definedName name="ldk" hidden="1">{#N/A,#N/A,FALSE,"Plan1";#N/A,#N/A,FALSE,"Plan2"}</definedName>
    <definedName name="ldkgkdfjgkh" hidden="1">{#N/A,#N/A,FALSE,"Plan1";#N/A,#N/A,FALSE,"Plan2"}</definedName>
    <definedName name="LDTJGR" hidden="1">{#N/A,#N/A,FALSE,"Plan1";#N/A,#N/A,FALSE,"Plan2"}</definedName>
    <definedName name="Leg" hidden="1">#REF!</definedName>
    <definedName name="legr_cdi">#REF!</definedName>
    <definedName name="legr_hist">#REF!</definedName>
    <definedName name="legr_uss">#REF!</definedName>
    <definedName name="LEK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VANTAMENTO">#REF!</definedName>
    <definedName name="lfjdjrt" hidden="1">{#N/A,#N/A,FALSE,"Plan1";#N/A,#N/A,FALSE,"Plan2"}</definedName>
    <definedName name="LI">#REF!</definedName>
    <definedName name="LIDER_OPER">#REF!</definedName>
    <definedName name="lidfjgklruf" hidden="1">{#N/A,#N/A,FALSE,"Plan1";#N/A,#N/A,FALSE,"Plan2"}</definedName>
    <definedName name="LII">#REF!</definedName>
    <definedName name="LIII">#REF!</definedName>
    <definedName name="LIMBO">#REF!</definedName>
    <definedName name="limcount" hidden="1">3</definedName>
    <definedName name="LIN">#REF!</definedName>
    <definedName name="lis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A">#REF!</definedName>
    <definedName name="LISTA_CONTAS">#REF!</definedName>
    <definedName name="lista_empresa">OFFSET(INDEX(#REF!,MATCH(#REF!,#REF!,0)),1,0,COUNTA(#REF!)-1)</definedName>
    <definedName name="LISTA_FORNECEDORES">#REF!</definedName>
    <definedName name="LISTSEL">#REF!</definedName>
    <definedName name="list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V">#REF!</definedName>
    <definedName name="LIX">#REF!</definedName>
    <definedName name="ljdfkgyt" hidden="1">{#N/A,#N/A,FALSE,"Plan1";#N/A,#N/A,FALSE,"Plan2"}</definedName>
    <definedName name="LJDFLJRL" hidden="1">{#N/A,#N/A,FALSE,"Plan1";#N/A,#N/A,FALSE,"Plan2"}</definedName>
    <definedName name="ljsdfrd" hidden="1">{#N/A,#N/A,FALSE,"Plan1";#N/A,#N/A,FALSE,"Plan2"}</definedName>
    <definedName name="LJSFLDJDLKFJG" hidden="1">#REF!</definedName>
    <definedName name="LK" hidden="1">{#N/A,#N/A,TRUE,"Quinzena 01 à 15-04-98 "}</definedName>
    <definedName name="lkasdkeo" hidden="1">{#N/A,#N/A,FALSE,"Plan1";#N/A,#N/A,FALSE,"Plan2"}</definedName>
    <definedName name="lkdeas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zxfsdrf" hidden="1">{#N/A,#N/A,FALSE,"Plan1";#N/A,#N/A,FALSE,"Plan2"}</definedName>
    <definedName name="lkfdkçtktr" hidden="1">{#N/A,#N/A,FALSE,"Plan1";#N/A,#N/A,FALSE,"Plan2"}</definedName>
    <definedName name="lkjr4" hidden="1">17</definedName>
    <definedName name="LKSSDKÇ\E" hidden="1">{#N/A,#N/A,FALSE,"Plan1";#N/A,#N/A,FALSE,"Plan2"}</definedName>
    <definedName name="lkt" hidden="1">{#N/A,#N/A,FALSE,"Plan1";#N/A,#N/A,FALSE,"Plan2"}</definedName>
    <definedName name="lktlyklt" hidden="1">{#N/A,#N/A,FALSE,"Plan1";#N/A,#N/A,FALSE,"Plan2"}</definedName>
    <definedName name="LKTTYT" hidden="1">{#N/A,#N/A,FALSE,"Plan1";#N/A,#N/A,FALSE,"Plan2"}</definedName>
    <definedName name="llgg" hidden="1">{#N/A,#N/A,FALSE,"Plan1";#N/A,#N/A,FALSE,"Plan2"}</definedName>
    <definedName name="LLL" hidden="1">{#N/A,#N/A,FALSE,"Plan1";#N/A,#N/A,FALSE,"Plan2"}</definedName>
    <definedName name="LM_AR" hidden="1">{#N/A,#N/A,FALSE,"F-01"}</definedName>
    <definedName name="LM_AT" hidden="1">{#N/A,#N/A,FALSE,"F-01"}</definedName>
    <definedName name="LM_INC" hidden="1">{#N/A,#N/A,FALSE,"F-01"}</definedName>
    <definedName name="LMPAS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CALMENU">#REF!</definedName>
    <definedName name="LOCALOBRA">#REF!</definedName>
    <definedName name="LS" localSheetId="38">#REF!</definedName>
    <definedName name="LS" localSheetId="21">#REF!</definedName>
    <definedName name="LS" localSheetId="0">#REF!</definedName>
    <definedName name="LS" localSheetId="24">#REF!</definedName>
    <definedName name="LS" localSheetId="17">#REF!</definedName>
    <definedName name="LS" localSheetId="18">'[1]M.O.'!#REF!</definedName>
    <definedName name="LS" localSheetId="1">#REF!</definedName>
    <definedName name="LS" localSheetId="19">#REF!</definedName>
    <definedName name="LS" localSheetId="41">'[1]M.O.'!#REF!</definedName>
    <definedName name="LS">#REF!</definedName>
    <definedName name="LSDFKLDKFTR" hidden="1">{#N/A,#N/A,FALSE,"Plan1";#N/A,#N/A,FALSE,"Plan2"}</definedName>
    <definedName name="lsdjs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kljfkg" hidden="1">{#N/A,#N/A,FALSE,"Plan1";#N/A,#N/A,FALSE,"Plan2"}</definedName>
    <definedName name="lsdsder" hidden="1">{#N/A,#N/A,FALSE,"Plan1";#N/A,#N/A,FALSE,"Plan2"}</definedName>
    <definedName name="ltj6ljyhdjhngças" hidden="1">{#N/A,#N/A,FALSE,"Plan1";#N/A,#N/A,FALSE,"Plan2"}</definedName>
    <definedName name="LUCRO">#REF!</definedName>
    <definedName name="luis_cdi">#REF!</definedName>
    <definedName name="luis_hist">#REF!</definedName>
    <definedName name="luis_uss">#REF!</definedName>
    <definedName name="LV">#REF!</definedName>
    <definedName name="LVI">#REF!</definedName>
    <definedName name="LVII">#REF!</definedName>
    <definedName name="LVIII">#REF!</definedName>
    <definedName name="lwaeddew" hidden="1">#REF!</definedName>
    <definedName name="LXX">#REF!</definedName>
    <definedName name="LXXI">#REF!</definedName>
    <definedName name="LXXII">#REF!</definedName>
    <definedName name="LXXIII">#REF!</definedName>
    <definedName name="LXXIV">#REF!</definedName>
    <definedName name="LXXIX">#REF!</definedName>
    <definedName name="LXXV">#REF!</definedName>
    <definedName name="LXXVI">#REF!</definedName>
    <definedName name="LXXVII">#REF!</definedName>
    <definedName name="LXXVIII">#REF!</definedName>
    <definedName name="LXXX">#REF!</definedName>
    <definedName name="LXXXI">#REF!</definedName>
    <definedName name="LXXXII">#REF!</definedName>
    <definedName name="LXXXIII">#REF!</definedName>
    <definedName name="LXXXIV">#REF!</definedName>
    <definedName name="LXXXV">#REF!</definedName>
    <definedName name="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ADRI">#REF!</definedName>
    <definedName name="mai17RJ">#REF!</definedName>
    <definedName name="MAIO">#REF!</definedName>
    <definedName name="MAIO2001">#REF!</definedName>
    <definedName name="MAISAP" hidden="1">{#N/A,#N/A,FALSE,"Plan1";#N/A,#N/A,FALSE,"Plan2"}</definedName>
    <definedName name="MA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O_DE_OBRA">#REF!</definedName>
    <definedName name="mar17RJ">#REF!</definedName>
    <definedName name="MARCAX">#REF!</definedName>
    <definedName name="MARÇO">#REF!</definedName>
    <definedName name="MARÇO2001">#REF!</definedName>
    <definedName name="martha">#REF!</definedName>
    <definedName name="MAST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ERIAL">#REF!</definedName>
    <definedName name="mattubcu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URILIO" hidden="1">{#N/A,#N/A,FALSE,"Plan1";#N/A,#N/A,FALSE,"Plan2"}</definedName>
    <definedName name="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V">#REF!</definedName>
    <definedName name="mdfgtr" hidden="1">{#N/A,#N/A,FALSE,"Plan1";#N/A,#N/A,FALSE,"Plan2"}</definedName>
    <definedName name="MDSÇLFJKJSD" hidden="1">{#N/A,#N/A,FALSE,"Plan1";#N/A,#N/A,FALSE,"Plan2"}</definedName>
    <definedName name="ME" hidden="1">{"HW",#N/A,FALSE,"1998"}</definedName>
    <definedName name="Medido_Fin_Medições">#REF!</definedName>
    <definedName name="melo_cdi">#REF!</definedName>
    <definedName name="melo_hist">#REF!</definedName>
    <definedName name="melo_uss">#REF!</definedName>
    <definedName name="MEMÓRIA">#REF!</definedName>
    <definedName name="memória2">#REF!</definedName>
    <definedName name="mensal">#REF!</definedName>
    <definedName name="MENU" localSheetId="22">#REF!</definedName>
    <definedName name="MENU" localSheetId="21">#REF!</definedName>
    <definedName name="MENU" localSheetId="0">#REF!</definedName>
    <definedName name="MENU" localSheetId="24">#REF!</definedName>
    <definedName name="MENU" localSheetId="17">#REF!</definedName>
    <definedName name="MENU" localSheetId="18">#REF!</definedName>
    <definedName name="MENU" localSheetId="1">#REF!</definedName>
    <definedName name="MENU" localSheetId="19">#REF!</definedName>
    <definedName name="MENU" localSheetId="41">#REF!</definedName>
    <definedName name="MENU">#REF!</definedName>
    <definedName name="MENU1" localSheetId="0">#REF!</definedName>
    <definedName name="MENU1" localSheetId="24">#REF!</definedName>
    <definedName name="MENU1" localSheetId="18">#REF!</definedName>
    <definedName name="MENU1" localSheetId="41">#REF!</definedName>
    <definedName name="MENU1">#REF!</definedName>
    <definedName name="MENU2" localSheetId="0">#REF!</definedName>
    <definedName name="MENU2" localSheetId="24">#REF!</definedName>
    <definedName name="MENU2" localSheetId="18">#REF!</definedName>
    <definedName name="MENU2" localSheetId="41">#REF!</definedName>
    <definedName name="MENU2">#REF!</definedName>
    <definedName name="MENU3" localSheetId="24">#REF!</definedName>
    <definedName name="MENU3">#REF!</definedName>
    <definedName name="MENU4" localSheetId="24">#REF!</definedName>
    <definedName name="MENU4">#REF!</definedName>
    <definedName name="MENU5" localSheetId="24">#REF!</definedName>
    <definedName name="MENU5">#REF!</definedName>
    <definedName name="MENU6" localSheetId="24">#REF!</definedName>
    <definedName name="MENU6">#REF!</definedName>
    <definedName name="MENUBOM">#REF!</definedName>
    <definedName name="MENUEQP">#REF!</definedName>
    <definedName name="MENUFIM">#REF!</definedName>
    <definedName name="MENUMED">#REF!</definedName>
    <definedName name="MENUOBRA">#REF!</definedName>
    <definedName name="MENUOUT">#REF!</definedName>
    <definedName name="MENUOUTRO">#REF!</definedName>
    <definedName name="menures">#REF!</definedName>
    <definedName name="Mês_data_base">#REF!</definedName>
    <definedName name="Mês_Medição_Fin_Medições">#REF!</definedName>
    <definedName name="mes_relatorio">#REF!</definedName>
    <definedName name="Meses">#REF!</definedName>
    <definedName name="MESTR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a_venda">#REF!</definedName>
    <definedName name="MetaBP">#REF!</definedName>
    <definedName name="MILENA" hidden="1">#REF!</definedName>
    <definedName name="Minha_Casa_Minha_Vida">#REF!</definedName>
    <definedName name="MLMÇLKJKI" hidden="1">{#N/A,#N/A,FALSE,"Plan1";#N/A,#N/A,FALSE,"Plan2"}</definedName>
    <definedName name="M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" hidden="1">{"tabela",#N/A,FALSE,"Tabela";"decoração",#N/A,FALSE,"Decor.";"Informações",#N/A,FALSE,"Inform."}</definedName>
    <definedName name="mmmmmm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NBXFKGS" hidden="1">{#N/A,#N/A,FALSE,"Plan1";#N/A,#N/A,FALSE,"Plan2"}</definedName>
    <definedName name="mncvbgcvmc" hidden="1">{#N/A,#N/A,FALSE,"Plan1";#N/A,#N/A,FALSE,"Plan2"}</definedName>
    <definedName name="MNDKZSFNCEA" hidden="1">{#N/A,#N/A,FALSE,"Plan1";#N/A,#N/A,FALSE,"Plan2"}</definedName>
    <definedName name="mnhdshfgfhd" hidden="1">{#N/A,#N/A,FALSE,"Plan1";#N/A,#N/A,FALSE,"Plan2"}</definedName>
    <definedName name="mo" localSheetId="38">#REF!</definedName>
    <definedName name="mo" localSheetId="24">#REF!</definedName>
    <definedName name="mo">#REF!</definedName>
    <definedName name="mobr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delo1" hidden="1">{#N/A,#N/A,FALSE,"cdi";#N/A,#N/A,FALSE,"debent";#N/A,#N/A,FALSE,"fdos";#N/A,#N/A,FALSE,"resumo"}</definedName>
    <definedName name="Modelo1a" hidden="1">{#N/A,#N/A,FALSE,"cdi";#N/A,#N/A,FALSE,"debent";#N/A,#N/A,FALSE,"fdos";#N/A,#N/A,FALSE,"resumo"}</definedName>
    <definedName name="Modelo2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ódulo">#REF!</definedName>
    <definedName name="mond_cdi">#REF!</definedName>
    <definedName name="mond_hist">#REF!</definedName>
    <definedName name="mond_uss">#REF!</definedName>
    <definedName name="MP" hidden="1">{#N/A,#N/A,FALSE,"CCTV"}</definedName>
    <definedName name="MSDFJKDT" hidden="1">25</definedName>
    <definedName name="MSDRFSWER" hidden="1">{"Econ Consolidado",#N/A,FALSE,"Econ Consol";"Fluxo de Caixa",#N/A,FALSE,"Fluxo Caixa";"Investimentos",#N/A,FALSE,"Investimentos"}</definedName>
    <definedName name="MURBOMB">#REF!</definedName>
    <definedName name="mzshdjshjs" hidden="1">{#N/A,#N/A,FALSE,"Plan1";#N/A,#N/A,FALSE,"Plan2"}</definedName>
    <definedName name="na" hidden="1">{#N/A,#N/A,FALSE,"$170M Cash";#N/A,#N/A,FALSE,"$250M Cash";#N/A,#N/A,FALSE,"$325M Cash"}</definedName>
    <definedName name="ncdgrdhrtg" hidden="1">{#N/A,#N/A,FALSE,"Plan1";#N/A,#N/A,FALSE,"Plan2"}</definedName>
    <definedName name="nchngdfhgdh" hidden="1">{#N/A,#N/A,FALSE,"Plan1";#N/A,#N/A,FALSE,"Plan2"}</definedName>
    <definedName name="NCJFKNGJHF" hidden="1">{#N/A,#N/A,FALSE,"Plan1";#N/A,#N/A,FALSE,"Plan2"}</definedName>
    <definedName name="NDATA">#REF!</definedName>
    <definedName name="ndcxhgdhf" hidden="1">{#N/A,#N/A,FALSE,"Plan1";#N/A,#N/A,FALSE,"Plan2"}</definedName>
    <definedName name="ndfjnjkrhdgt" hidden="1">{#N/A,#N/A,FALSE,"Plan1";#N/A,#N/A,FALSE,"Plan2"}</definedName>
    <definedName name="ndfkghkjthfyst" hidden="1">{#N/A,#N/A,FALSE,"Plan1";#N/A,#N/A,FALSE,"Plan2"}</definedName>
    <definedName name="ndfldslvjnvberugberqubquierbv">#REF!</definedName>
    <definedName name="NDJGKFKGHUFG" hidden="1">{#N/A,#N/A,FALSE,"Plan1";#N/A,#N/A,FALSE,"Plan2"}</definedName>
    <definedName name="ndrjkt" hidden="1">{#N/A,#N/A,FALSE,"Plan1";#N/A,#N/A,FALSE,"Plan2"}</definedName>
    <definedName name="new" hidden="1">{#N/A,#N/A,FALSE,"Global by BU";#N/A,#N/A,FALSE,"U.S. by BU";#N/A,#N/A,FALSE,"Canada by BU";#N/A,#N/A,FALSE,"Europe by BU";#N/A,#N/A,FALSE,"Asia by BU";#N/A,#N/A,FALSE,"Cala by BU"}</definedName>
    <definedName name="NEWNAME" hidden="1">{#N/A,#N/A,FALSE,"CCTV"}</definedName>
    <definedName name="nfgjkhvhfghn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khdjkthde" hidden="1">{#N/A,#N/A,FALSE,"Plan1";#N/A,#N/A,FALSE,"Plan2"}</definedName>
    <definedName name="n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HFDSHF" hidden="1">{#N/A,#N/A,FALSE,"Plan1";#N/A,#N/A,FALSE,"Plan2"}</definedName>
    <definedName name="NJSDFHERTG" hidden="1">{#N/A,#N/A,FALSE,"Plan1";#N/A,#N/A,FALSE,"Plan2"}</definedName>
    <definedName name="nkfnsskdn" hidden="1">{#N/A,#N/A,FALSE,"Plan1";#N/A,#N/A,FALSE,"Plan2"}</definedName>
    <definedName name="NKJ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l">#REF!</definedName>
    <definedName name="nlaksjdwe" hidden="1">{#N/A,#N/A,FALSE,"Plan1";#N/A,#N/A,FALSE,"Plan2"}</definedName>
    <definedName name="nljsdfljfdsfr" hidden="1">{#N/A,#N/A,FALSE,"Plan1";#N/A,#N/A,FALSE,"Plan2"}</definedName>
    <definedName name="nm_k1">#REF!</definedName>
    <definedName name="nm_k2">#REF!</definedName>
    <definedName name="nm_k3">#REF!</definedName>
    <definedName name="nmjdfhxj" hidden="1">{#N/A,#N/A,FALSE,"Plan1";#N/A,#N/A,FALSE,"Plan2"}</definedName>
    <definedName name="nnmn" hidden="1">{#N/A,#N/A,FALSE,"Plan1";#N/A,#N/A,FALSE,"Plan2"}</definedName>
    <definedName name="nnn" hidden="1">{#N/A,#N/A,FALSE,"Plan1";#N/A,#N/A,FALSE,"Plan2"}</definedName>
    <definedName name="nnnnnnnnnnn" hidden="1">{"HW",#N/A,FALSE,"1998"}</definedName>
    <definedName name="NNNNNNNNNNNNNNN" hidden="1">{#N/A,#N/A,FALSE,"Plan1";#N/A,#N/A,FALSE,"Plan2"}</definedName>
    <definedName name="nnnnnnnnnnnnnnnnnnnn" hidden="1">{#N/A,#N/A,FALSE,"Plan1";#N/A,#N/A,FALSE,"Plan2"}</definedName>
    <definedName name="NNXFT" hidden="1">{#N/A,#N/A,FALSE,"Plan1";#N/A,#N/A,FALSE,"Plan2"}</definedName>
    <definedName name="no">#REF!</definedName>
    <definedName name="NOME">#REF!</definedName>
    <definedName name="nome2">#REF!</definedName>
    <definedName name="NOMEITEM">#REF!</definedName>
    <definedName name="NOMEOBRA">#REF!</definedName>
    <definedName name="nov17RJ">#REF!</definedName>
    <definedName name="NOVE">#REF!</definedName>
    <definedName name="NOVEMBRO">#REF!</definedName>
    <definedName name="nsdkfndgfdnatf" hidden="1">{#N/A,#N/A,FALSE,"Plan1";#N/A,#N/A,FALSE,"Plan2"}</definedName>
    <definedName name="nsfljdiljrf" hidden="1">{#N/A,#N/A,FALSE,"Plan1";#N/A,#N/A,FALSE,"Plan2"}</definedName>
    <definedName name="NUCOPIAS">#REF!</definedName>
    <definedName name="NUMOBRA">#REF!</definedName>
    <definedName name="NutN">#REF!</definedName>
    <definedName name="nzxcnnjkd" hidden="1">{#N/A,#N/A,FALSE,"Plan1";#N/A,#N/A,FALSE,"Plan2"}</definedName>
    <definedName name="OAE" localSheetId="38">#REF!</definedName>
    <definedName name="OAE" localSheetId="24">#REF!</definedName>
    <definedName name="OAE">#REF!</definedName>
    <definedName name="OBRA">#REF!</definedName>
    <definedName name="Obra_Fin_Medição">#REF!</definedName>
    <definedName name="OBRA_PROJETADO">#REF!</definedName>
    <definedName name="Obra_Rel_Controladoria">#REF!</definedName>
    <definedName name="Obra_Sienge">#REF!</definedName>
    <definedName name="Obra2_Fin_Medição">#REF!</definedName>
    <definedName name="OBRALOC">#REF!</definedName>
    <definedName name="OBRAS">#REF!</definedName>
    <definedName name="Obras_Apoio_Rel_Controladoria">#REF!</definedName>
    <definedName name="OBRAS_REALIZADO">#REF!</definedName>
    <definedName name="OBRASEL">#REF!</definedName>
    <definedName name="odflgj" hidden="1">25</definedName>
    <definedName name="odfuudor" hidden="1">{#N/A,#N/A,FALSE,"Plan1";#N/A,#N/A,FALSE,"Plan2"}</definedName>
    <definedName name="ODH" hidden="1">#REF!</definedName>
    <definedName name="oficial_mes">#REF!</definedName>
    <definedName name="oficial2_mes">#REF!</definedName>
    <definedName name="oiditrot" hidden="1">{#N/A,#N/A,FALSE,"Plan1";#N/A,#N/A,FALSE,"Plan2"}</definedName>
    <definedName name="oio" hidden="1">{#N/A,#N/A,FALSE,"Plan1";#N/A,#N/A,FALSE,"Plan2"}</definedName>
    <definedName name="OITO">#REF!</definedName>
    <definedName name="oiufioorif" hidden="1">#REF!</definedName>
    <definedName name="OJÇLJ" hidden="1">{#N/A,#N/A,FALSE,"Plan1";#N/A,#N/A,FALSE,"Plan2"}</definedName>
    <definedName name="ojkdfit" hidden="1">{#N/A,#N/A,FALSE,"Plan1";#N/A,#N/A,FALSE,"Plan2"}</definedName>
    <definedName name="oMISSOS" hidden="1">#REF!</definedName>
    <definedName name="ONZE">#REF!</definedName>
    <definedName name="ooo" hidden="1">{#N/A,#N/A,FALSE,"Plan1";#N/A,#N/A,FALSE,"Plan2"}</definedName>
    <definedName name="OPASEDWED" hidden="1">{"Econ Consolidado",#N/A,FALSE,"Econ Consol";"Fluxo de Caixa",#N/A,FALSE,"Fluxo Caixa";"Investimentos",#N/A,FALSE,"Investimentos"}</definedName>
    <definedName name="opcao_taxa_desconto">#REF!</definedName>
    <definedName name="opções">#REF!</definedName>
    <definedName name="opiwre" hidden="1">{#N/A,#N/A,FALSE,"Plan1";#N/A,#N/A,FALSE,"Plan2"}</definedName>
    <definedName name="ORCAMEN">#REF!</definedName>
    <definedName name="Orcamentistas">#REF!</definedName>
    <definedName name="origem_recebiveis">#REF!</definedName>
    <definedName name="origem_unidades">#REF!</definedName>
    <definedName name="Origem2_Recebimento_Fin_Medições">#REF!</definedName>
    <definedName name="os" hidden="1">{#N/A,#N/A,FALSE,"TABLE"}</definedName>
    <definedName name="osca_cdi">#REF!</definedName>
    <definedName name="osca_hist">#REF!</definedName>
    <definedName name="osca_uss">#REF!</definedName>
    <definedName name="otodgkrjglsrd" hidden="1">{#N/A,#N/A,FALSE,"Plan1";#N/A,#N/A,FALSE,"Plan2"}</definedName>
    <definedName name="OUERWRSR" hidden="1">{#N/A,#N/A,FALSE,"Plan1";#N/A,#N/A,FALSE,"Plan2"}</definedName>
    <definedName name="out17RJ">#REF!</definedName>
    <definedName name="outro" hidden="1">#REF!</definedName>
    <definedName name="OUTROS">#REF!</definedName>
    <definedName name="OUTROS_CCUSTO">#REF!</definedName>
    <definedName name="Outros_Pisos">#REF!</definedName>
    <definedName name="Outros1">#REF!</definedName>
    <definedName name="OUTUBRO">#REF!</definedName>
    <definedName name="overhau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xfo_cdi">#REF!</definedName>
    <definedName name="oxfo_hist">#REF!</definedName>
    <definedName name="oxfo_uss">#REF!</definedName>
    <definedName name="P">#REF!</definedName>
    <definedName name="PA">#REF!</definedName>
    <definedName name="Padrao_A">#REF!</definedName>
    <definedName name="Padrao_B">#REF!</definedName>
    <definedName name="Padrao_C">#REF!</definedName>
    <definedName name="Padrao_D">#REF!</definedName>
    <definedName name="Padrao_E">#REF!</definedName>
    <definedName name="Padrao_F">#REF!</definedName>
    <definedName name="Pagamento_Num" localSheetId="36">ROW()-Linha_Cabeçalho</definedName>
    <definedName name="Pagamento_Num" localSheetId="34">ROW()-Linha_Cabeçalho</definedName>
    <definedName name="Pagamento_Num" localSheetId="6">ROW()-Linha_Cabeçalho</definedName>
    <definedName name="Pagamento_Num">ROW()-Linha_Cabeçalho</definedName>
    <definedName name="Pago_Até_2015_Controladoria">#REF!</definedName>
    <definedName name="Pal_Workbook_GUID" hidden="1">"3HURD34M2XKWJ5V6M4BWCR5Q"</definedName>
    <definedName name="PAP">#REF!</definedName>
    <definedName name="PARAM_FIS_1">#REF!</definedName>
    <definedName name="PARAM_FIS_2">#REF!</definedName>
    <definedName name="ParamValues1" localSheetId="38">[3]ParamValues!$A$1:$A$39</definedName>
    <definedName name="ParamValues1">#REF!</definedName>
    <definedName name="Parao_E">#REF!</definedName>
    <definedName name="Parede1">#REF!</definedName>
    <definedName name="Parede2">#REF!</definedName>
    <definedName name="PAREDES">#REF!</definedName>
    <definedName name="PAV" localSheetId="21">#REF!</definedName>
    <definedName name="PAV" localSheetId="0">#REF!</definedName>
    <definedName name="PAV" localSheetId="24">#REF!</definedName>
    <definedName name="PAV" localSheetId="17">#REF!</definedName>
    <definedName name="PAV" localSheetId="1">#REF!</definedName>
    <definedName name="PAV" localSheetId="19">#REF!</definedName>
    <definedName name="PAV">#REF!</definedName>
    <definedName name="PAVILHAO">#REF!</definedName>
    <definedName name="PAVT">#REF!</definedName>
    <definedName name="pçgktr" hidden="1">#REF!</definedName>
    <definedName name="PDER">#REF!</definedName>
    <definedName name="PDIVERS">#REF!</definedName>
    <definedName name="PE">#REF!</definedName>
    <definedName name="PEMD">#REF!</definedName>
    <definedName name="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rfura">#REF!</definedName>
    <definedName name="pessoal">#REF!</definedName>
    <definedName name="petro2" hidden="1">#REF!</definedName>
    <definedName name="PhyG">#REF!</definedName>
    <definedName name="PhyGS">#REF!</definedName>
    <definedName name="PI">#REF!</definedName>
    <definedName name="piaz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EQUIP">#REF!</definedName>
    <definedName name="PIS_COFINS">#REF!</definedName>
    <definedName name="PisCofins">#REF!</definedName>
    <definedName name="Piso1">#REF!</definedName>
    <definedName name="Piso2">#REF!</definedName>
    <definedName name="PISOS">#REF!</definedName>
    <definedName name="PL">#REF!</definedName>
    <definedName name="PLACAS" hidden="1">{#N/A,#N/A,TRUE,"Quinzena 01 à 15-04-98 "}</definedName>
    <definedName name="Placas_Areas" hidden="1">{#N/A,#N/A,TRUE,"Quinzena 01 à 15-04-98 "}</definedName>
    <definedName name="PLAN">#REF!</definedName>
    <definedName name="plan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ILHA">#REF!</definedName>
    <definedName name="Planilha2">#REF!</definedName>
    <definedName name="plasçdeaw" hidden="1">{#N/A,#N/A,FALSE,"Plan1";#N/A,#N/A,FALSE,"Plan2"}</definedName>
    <definedName name="plaslrswe" hidden="1">{#N/A,#N/A,FALSE,"Plan1";#N/A,#N/A,FALSE,"Plan2"}</definedName>
    <definedName name="pls" hidden="1">#REF!</definedName>
    <definedName name="plsearpef" hidden="1">{#N/A,#N/A,FALSE,"Plan1";#N/A,#N/A,FALSE,"Plan2"}</definedName>
    <definedName name="plss" hidden="1">{#N/A,#N/A,FALSE,"Plan1";#N/A,#N/A,FALSE,"Plan2"}</definedName>
    <definedName name="PMUR">#REF!</definedName>
    <definedName name="PN2건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onderações">#REF!</definedName>
    <definedName name="Pós_Chaves">#REF!</definedName>
    <definedName name="pr" localSheetId="38">#REF!</definedName>
    <definedName name="pr" localSheetId="24">#REF!</definedName>
    <definedName name="pr">#REF!</definedName>
    <definedName name="PRAZO">#REF!</definedName>
    <definedName name="PRAZO_EDITAL">#REF!</definedName>
    <definedName name="PRAZO_ORC">#REF!</definedName>
    <definedName name="prazo2">#REF!</definedName>
    <definedName name="PRE" localSheetId="24">#REF!</definedName>
    <definedName name="PRE">#REF!</definedName>
    <definedName name="PREÇ">OFFSET(#REF!,0,0,COUNTA(#REF!),1)</definedName>
    <definedName name="Previsão_Inicial_abr_16">#REF!</definedName>
    <definedName name="Previsão_Inicial_ago_16">#REF!</definedName>
    <definedName name="Previsão_Inicial_dez_16">#REF!</definedName>
    <definedName name="Previsão_Inicial_fev_16">#REF!</definedName>
    <definedName name="Previsão_Inicial_jan_16">#REF!</definedName>
    <definedName name="Previsão_Inicial_jul_16">#REF!</definedName>
    <definedName name="Previsão_Inicial_jun_16">#REF!</definedName>
    <definedName name="Previsão_Inicial_mai_16">#REF!</definedName>
    <definedName name="Previsão_Inicial_mar_16">#REF!</definedName>
    <definedName name="Previsão_Inicial_nov_16">#REF!</definedName>
    <definedName name="Previsão_Inicial_out_16">#REF!</definedName>
    <definedName name="Previsão_Inicial_set_16">#REF!</definedName>
    <definedName name="Previsão_Vento1">#REF!</definedName>
    <definedName name="Previsto_a_medir_Fin_Medições">#REF!</definedName>
    <definedName name="print" hidden="1">{#N/A,#N/A,FALSE,"$170M Cash";#N/A,#N/A,FALSE,"$250M Cash";#N/A,#N/A,FALSE,"$325M Cash"}</definedName>
    <definedName name="Print_Area_MI" localSheetId="38">#REF!</definedName>
    <definedName name="Print_Area_MI" localSheetId="24">#REF!</definedName>
    <definedName name="Print_Area_MI">#REF!</definedName>
    <definedName name="PRINT_TITLES_MI">#REF!</definedName>
    <definedName name="programa">#REF!</definedName>
    <definedName name="Programaa">#REF!</definedName>
    <definedName name="projeto_nome_com">IF((COUNTA(#REF!)-2)&gt;1,"TERRENO "&amp;VLOOKUP(#REF!,#REF!,8,0),VLOOKUP(#REF!,#REF!,3,0))</definedName>
    <definedName name="PROPAGANDA">#REF!</definedName>
    <definedName name="ptirigyiotut" hidden="1">{#N/A,#N/A,FALSE,"Plan1";#N/A,#N/A,FALSE,"Plan2"}</definedName>
    <definedName name="PWER3" hidden="1">{#N/A,#N/A,FALSE,"Plan1";#N/A,#N/A,FALSE,"Plan2"}</definedName>
    <definedName name="q">#REF!</definedName>
    <definedName name="QCLIENTE_PCLIENTE">#REF!</definedName>
    <definedName name="QCliente_PCliente1">#REF!</definedName>
    <definedName name="qe" localSheetId="24">#REF!</definedName>
    <definedName name="qe">#REF!</definedName>
    <definedName name="qee" localSheetId="24">#REF!</definedName>
    <definedName name="qee">#REF!</definedName>
    <definedName name="qkqh1" hidden="1">{#N/A,#N/A,FALSE,"명세표"}</definedName>
    <definedName name="QOAS_POAS">#REF!</definedName>
    <definedName name="Q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Q">#REF!:#REF!</definedName>
    <definedName name="QQQQQQQQ" hidden="1">#REF!</definedName>
    <definedName name="QREAL_PCLIENTE">#REF!</definedName>
    <definedName name="QReal_PCliente1">#REF!</definedName>
    <definedName name="QSQWSE" hidden="1">{#N/A,#N/A,FALSE,"Plan1";#N/A,#N/A,FALSE,"Plan2"}</definedName>
    <definedName name="qtd_mensal">#REF!</definedName>
    <definedName name="qtd3esta">#REF!</definedName>
    <definedName name="qtdbase">#REF!</definedName>
    <definedName name="qtdbltub">#REF!</definedName>
    <definedName name="qtdestac">#REF!</definedName>
    <definedName name="qtdsap">#REF!</definedName>
    <definedName name="qtdtub">#REF!</definedName>
    <definedName name="QTNULO">#REF!</definedName>
    <definedName name="QTPADRAO">#REF!</definedName>
    <definedName name="QTRES">#REF!</definedName>
    <definedName name="QuadraE">#REF!</definedName>
    <definedName name="quadrocompar.">#REF!</definedName>
    <definedName name="QUANT">#REF!</definedName>
    <definedName name="QUANTP">#REF!</definedName>
    <definedName name="QUATRO">#REF!</definedName>
    <definedName name="QUINZE">#REF!</definedName>
    <definedName name="qwdqw" hidden="1">{#N/A,#N/A,FALSE,"Plan1";#N/A,#N/A,FALSE,"Plan2"}</definedName>
    <definedName name="qweqwe" hidden="1">{#N/A,#N/A,FALSE,"Plan1";#N/A,#N/A,FALSE,"Plan2"}</definedName>
    <definedName name="qweqwe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wqe" hidden="1">#REF!</definedName>
    <definedName name="qwqw" hidden="1">#REF!</definedName>
    <definedName name="R.imobAtualiz">#REF!</definedName>
    <definedName name="R_CorretAtualiz">#REF!</definedName>
    <definedName name="R_G.Cobr.Atualiz">#REF!</definedName>
    <definedName name="R_PmaisJAtualiz">#REF!</definedName>
    <definedName name="R_Prev.PerdaAtualiz">#REF!</definedName>
    <definedName name="RADIO" hidden="1">{"HW",#N/A,FALSE,"1998"}</definedName>
    <definedName name="RANGE">#REF!</definedName>
    <definedName name="RANGE1">#REF!</definedName>
    <definedName name="RANGE2">#REF!</definedName>
    <definedName name="RARQIMP">#REF!</definedName>
    <definedName name="RawData">#REF!</definedName>
    <definedName name="RE">#REF!</definedName>
    <definedName name="RECADUC">#REF!</definedName>
    <definedName name="Recebido_Acumulado_2015_Controladoria">#REF!</definedName>
    <definedName name="RE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orsu" localSheetId="38">#REF!</definedName>
    <definedName name="reforsu" localSheetId="24">#REF!</definedName>
    <definedName name="reforsu">#REF!</definedName>
    <definedName name="REL_RJ">#REF!</definedName>
    <definedName name="REL_SP">#REF!</definedName>
    <definedName name="relat3">#REF!</definedName>
    <definedName name="ren" localSheetId="24">#REF!</definedName>
    <definedName name="ren">#REF!</definedName>
    <definedName name="REPETIÇÃO">#REF!</definedName>
    <definedName name="ReqC">#REF!</definedName>
    <definedName name="Responsável_Rel_Controladoria">#REF!</definedName>
    <definedName name="resum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O">#REF!</definedName>
    <definedName name="RESUMO2" hidden="1">{#N/A,#N/A,TRUE,"Quinzena 01 à 15-04-98 "}</definedName>
    <definedName name="REV" localSheetId="38">#REF!</definedName>
    <definedName name="REV" localSheetId="24">#REF!</definedName>
    <definedName name="REV">#REF!</definedName>
    <definedName name="RF" hidden="1">{#N/A,#N/A,FALSE,"CCTV"}</definedName>
    <definedName name="rgedrfrgfdg" hidden="1">{#N/A,#N/A,FALSE,"Plan1";#N/A,#N/A,FALSE,"Plan2"}</definedName>
    <definedName name="rhdrm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I">#REF!</definedName>
    <definedName name="ridbeb">#REF!</definedName>
    <definedName name="RIDCHAF">#REF!</definedName>
    <definedName name="ridres05">#REF!</definedName>
    <definedName name="RIDRES10">#REF!</definedName>
    <definedName name="RIDRES15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1</definedName>
    <definedName name="RiskSwapState" hidden="1">"True"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O">#REF!</definedName>
    <definedName name="Rodapé">#REF!</definedName>
    <definedName name="RODAPÉS">#REF!</definedName>
    <definedName name="ROMANO">#REF!</definedName>
    <definedName name="ROTCOMP">#REF!</definedName>
    <definedName name="ROTIMP">#REF!</definedName>
    <definedName name="ROTRES">#REF!</definedName>
    <definedName name="RQTADUC">#REF!</definedName>
    <definedName name="rqtbeb">#REF!</definedName>
    <definedName name="RQTCHAF">#REF!</definedName>
    <definedName name="RQTDERV">#REF!</definedName>
    <definedName name="rres05">#REF!</definedName>
    <definedName name="RRES10">#REF!</definedName>
    <definedName name="RRES15">#REF!</definedName>
    <definedName name="RRES20">#REF!</definedName>
    <definedName name="RRR" hidden="1">#REF!</definedName>
    <definedName name="rrrrr" hidden="1">{"'장비'!$A$3:$M$12"}</definedName>
    <definedName name="rrrrrrrr" hidden="1">{"'장비'!$A$3:$M$12"}</definedName>
    <definedName name="rrrrrrrrrrr" hidden="1">{#N/A,#N/A,TRUE,"Quinzena 01 à 15-04-98 "}</definedName>
    <definedName name="RSEQ">#REF!</definedName>
    <definedName name="RSUBTOT">#REF!</definedName>
    <definedName name="rtitbeb">#REF!</definedName>
    <definedName name="RTITCHAF">#REF!</definedName>
    <definedName name="rtubos">#REF!</definedName>
    <definedName name="RTYE" hidden="1">{"'장비'!$A$3:$M$12"}</definedName>
    <definedName name="s">#REF!</definedName>
    <definedName name="sa" localSheetId="3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 localSheetId="24">#REF!</definedName>
    <definedName name="sa">#REF!</definedName>
    <definedName name="s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asd" hidden="1">{#N/A,#N/A,FALSE,"Plan1";#N/A,#N/A,FALSE,"Plan2"}</definedName>
    <definedName name="sadk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rjkedft" hidden="1">{#N/A,#N/A,FALSE,"Plan1";#N/A,#N/A,FALSE,"Plan2"}</definedName>
    <definedName name="SADSRTR" hidden="1">{#N/A,#N/A,FALSE,"Plan1";#N/A,#N/A,FALSE,"Plan2"}</definedName>
    <definedName name="sadwde" hidden="1">{#N/A,#N/A,FALSE,"Plan1";#N/A,#N/A,FALSE,"Plan2"}</definedName>
    <definedName name="Salas">#REF!</definedName>
    <definedName name="sanjay" hidden="1">{#N/A,#N/A,FALSE,"TABLE"}</definedName>
    <definedName name="sapata">#REF!</definedName>
    <definedName name="SAPBEXrevision" hidden="1">14</definedName>
    <definedName name="SAPBEXsysID" hidden="1">"BW3"</definedName>
    <definedName name="SAPBEXwbID" hidden="1">"3SO04G3IWYENSZLK6QOKKYLB2"</definedName>
    <definedName name="SAS" hidden="1">{#N/A,#N/A,FALSE,"Plan1";#N/A,#N/A,FALSE,"Plan2"}</definedName>
    <definedName name="sasads" hidden="1">{#N/A,#N/A,FALSE,"Plan1";#N/A,#N/A,FALSE,"Plan2"}</definedName>
    <definedName name="SC" hidden="1">#REF!</definedName>
    <definedName name="sçadldfsfd" hidden="1">25</definedName>
    <definedName name="sda">#REF!</definedName>
    <definedName name="sda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OTGFR" hidden="1">{#N/A,#N/A,FALSE,"Plan1";#N/A,#N/A,FALSE,"Plan2"}</definedName>
    <definedName name="sdckd" hidden="1">{#N/A,#N/A,FALSE,"Plan1";#N/A,#N/A,FALSE,"Plan2"}</definedName>
    <definedName name="SDDFKSEDE" hidden="1">{#N/A,#N/A,FALSE,"Plan1";#N/A,#N/A,FALSE,"Plan2"}</definedName>
    <definedName name="sddkslker" hidden="1">{#N/A,#N/A,FALSE,"Plan1";#N/A,#N/A,FALSE,"Plan2"}</definedName>
    <definedName name="sdefr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t" hidden="1">#REF!</definedName>
    <definedName name="sdf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ds" hidden="1">{#N/A,#N/A,FALSE,"Plan1";#N/A,#N/A,FALSE,"Plan2"}</definedName>
    <definedName name="sdfdfc" hidden="1">{#N/A,#N/A,FALSE,"Plan1";#N/A,#N/A,FALSE,"Plan2"}</definedName>
    <definedName name="sdfdf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gft" hidden="1">{#N/A,#N/A,FALSE,"Plan1";#N/A,#N/A,FALSE,"Plan2"}</definedName>
    <definedName name="sdfdsf" hidden="1">{#N/A,#N/A,FALSE,"Plan1";#N/A,#N/A,FALSE,"Plan2"}</definedName>
    <definedName name="sdfdsf\da" hidden="1">{#N/A,#N/A,FALSE,"Plan1";#N/A,#N/A,FALSE,"Plan2"}</definedName>
    <definedName name="SDFEDRT" hidden="1">{#N/A,#N/A,FALSE,"Plan1";#N/A,#N/A,FALSE,"Plan2"}</definedName>
    <definedName name="sdfer" hidden="1">{#N/A,#N/A,FALSE,"Plan1";#N/A,#N/A,FALSE,"Plan2"}</definedName>
    <definedName name="sdferr" hidden="1">{#N/A,#N/A,FALSE,"Plan1";#N/A,#N/A,FALSE,"Plan2"}</definedName>
    <definedName name="sdfe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GJFSRF" hidden="1">{#N/A,#N/A,FALSE,"Plan1";#N/A,#N/A,FALSE,"Plan2"}</definedName>
    <definedName name="sdfgtr" hidden="1">{#N/A,#N/A,FALSE,"Plan1";#N/A,#N/A,FALSE,"Plan2"}</definedName>
    <definedName name="sdfjdetrt" hidden="1">{#N/A,#N/A,FALSE,"Plan1";#N/A,#N/A,FALSE,"Plan2"}</definedName>
    <definedName name="SDFJDRTJEIDR" hidden="1">{#N/A,#N/A,FALSE,"Plan1";#N/A,#N/A,FALSE,"Plan2"}</definedName>
    <definedName name="sdfjergtij" hidden="1">{#N/A,#N/A,FALSE,"Plan1";#N/A,#N/A,FALSE,"Plan2"}</definedName>
    <definedName name="SDFOPJKWE" hidden="1">{#N/A,#N/A,FALSE,"Plan1";#N/A,#N/A,FALSE,"Plan2"}</definedName>
    <definedName name="sdfrdt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t" hidden="1">{#N/A,#N/A,FALSE,"Plan1";#N/A,#N/A,FALSE,"Plan2"}</definedName>
    <definedName name="SDFRTKK" hidden="1">{#N/A,#N/A,FALSE,"Plan1";#N/A,#N/A,FALSE,"Plan2"}</definedName>
    <definedName name="SDFRTR" hidden="1">{#N/A,#N/A,FALSE,"Plan1";#N/A,#N/A,FALSE,"Plan2"}</definedName>
    <definedName name="sdfry6" hidden="1">{#N/A,#N/A,FALSE,"Plan1";#N/A,#N/A,FALSE,"Plan2"}</definedName>
    <definedName name="sdfsaf" hidden="1">{#N/A,#N/A,FALSE,"Plan1";#N/A,#N/A,FALSE,"Plan2"}</definedName>
    <definedName name="sdfsd" hidden="1">{"'Estimativa de Lançamento-JAN'!$A$1:$AI$85"}</definedName>
    <definedName name="sdfsdfg" hidden="1">{#N/A,#N/A,FALSE,"Plan1";#N/A,#N/A,FALSE,"Plan2"}</definedName>
    <definedName name="SDFSDFK" hidden="1">{#N/A,#N/A,FALSE,"Plan1";#N/A,#N/A,FALSE,"Plan2"}</definedName>
    <definedName name="sdfsdgftret" hidden="1">{#N/A,#N/A,FALSE,"Plan1";#N/A,#N/A,FALSE,"Plan2"}</definedName>
    <definedName name="sdfsdr" hidden="1">1</definedName>
    <definedName name="sdfsf" hidden="1">{#N/A,#N/A,FALSE,"Plan1";#N/A,#N/A,FALSE,"Plan2"}</definedName>
    <definedName name="SDFSFRT" hidden="1">{"Econ Consolidado",#N/A,FALSE,"Econ Consol";"Fluxo de Caixa",#N/A,FALSE,"Fluxo Caixa";"Investimentos",#N/A,FALSE,"Investimentos"}</definedName>
    <definedName name="sdfsr" hidden="1">{#N/A,#N/A,FALSE,"Plan1";#N/A,#N/A,FALSE,"Plan2"}</definedName>
    <definedName name="sdfty" hidden="1">{#N/A,#N/A,FALSE,"Plan1";#N/A,#N/A,FALSE,"Plan2"}</definedName>
    <definedName name="sdgdf" hidden="1">{#N/A,#N/A,FALSE,"Plan1";#N/A,#N/A,FALSE,"Plan2"}</definedName>
    <definedName name="sdgfrt" hidden="1">{#N/A,#N/A,FALSE,"Plan1";#N/A,#N/A,FALSE,"Plan2"}</definedName>
    <definedName name="sdgft" hidden="1">{#N/A,#N/A,FALSE,"Plan1";#N/A,#N/A,FALSE,"Plan2"}</definedName>
    <definedName name="sdgt" hidden="1">{#N/A,#N/A,FALSE,"Plan1";#N/A,#N/A,FALSE,"Plan2"}</definedName>
    <definedName name="sdgtry" hidden="1">#REF!</definedName>
    <definedName name="sdhfghdsfg" hidden="1">{#N/A,#N/A,FALSE,"Plan1";#N/A,#N/A,FALSE,"Plan2"}</definedName>
    <definedName name="SDHFJKHDFJRE" hidden="1">{#N/A,#N/A,FALSE,"Plan1";#N/A,#N/A,FALSE,"Plan2"}</definedName>
    <definedName name="SDHKFDRKGTR" hidden="1">{#N/A,#N/A,FALSE,"Plan1";#N/A,#N/A,FALSE,"Plan2"}</definedName>
    <definedName name="sdjdswger" hidden="1">{#N/A,#N/A,FALSE,"Plan1";#N/A,#N/A,FALSE,"Plan2"}</definedName>
    <definedName name="sdjfdf" hidden="1">{#N/A,#N/A,FALSE,"Plan1";#N/A,#N/A,FALSE,"Plan2"}</definedName>
    <definedName name="sdjfhdjk" hidden="1">{#N/A,#N/A,FALSE,"Plan1";#N/A,#N/A,FALSE,"Plan2"}</definedName>
    <definedName name="SDJFJDER" hidden="1">{#N/A,#N/A,FALSE,"Plan1";#N/A,#N/A,FALSE,"Plan2"}</definedName>
    <definedName name="sdjflsdjfl" hidden="1">{#N/A,#N/A,FALSE,"Plan1";#N/A,#N/A,FALSE,"Plan2"}</definedName>
    <definedName name="SDJHF" hidden="1">{#N/A,#N/A,FALSE,"Plan1";#N/A,#N/A,FALSE,"Plan2"}</definedName>
    <definedName name="sdjrderertrr" hidden="1">{#N/A,#N/A,FALSE,"Plan1";#N/A,#N/A,FALSE,"Plan2"}</definedName>
    <definedName name="sdkdjk" hidden="1">{#N/A,#N/A,FALSE,"Plan1";#N/A,#N/A,FALSE,"Plan2"}</definedName>
    <definedName name="sdkfjhkdgfh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njd" hidden="1">{#N/A,#N/A,FALSE,"Plan1";#N/A,#N/A,FALSE,"Plan2"}</definedName>
    <definedName name="sdkk" hidden="1">{#N/A,#N/A,FALSE,"Plan1";#N/A,#N/A,FALSE,"Plan2"}</definedName>
    <definedName name="sdlfsdflj" hidden="1">{#N/A,#N/A,FALSE,"Plan1";#N/A,#N/A,FALSE,"Plan2"}</definedName>
    <definedName name="sdmfmdfsgfd" hidden="1">{#N/A,#N/A,FALSE,"Plan1";#N/A,#N/A,FALSE,"Plan2"}</definedName>
    <definedName name="sd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fgt" hidden="1">{#N/A,#N/A,FALSE,"Plan1";#N/A,#N/A,FALSE,"Plan2"}</definedName>
    <definedName name="sdsd" hidden="1">{#N/A,#N/A,FALSE,"Plan1";#N/A,#N/A,FALSE,"Plan2"}</definedName>
    <definedName name="sdser" hidden="1">{#N/A,#N/A,FALSE,"Plan1";#N/A,#N/A,FALSE,"Plan2"}</definedName>
    <definedName name="sdsre" hidden="1">{#N/A,#N/A,FALSE,"Plan1";#N/A,#N/A,FALSE,"Plan2"}</definedName>
    <definedName name="sdss" hidden="1">{#N/A,#N/A,FALSE,"Plan1";#N/A,#N/A,FALSE,"Plan2"}</definedName>
    <definedName name="sdtrtg" hidden="1">#REF!</definedName>
    <definedName name="sdusi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WER" hidden="1">{"Econ Consolidado",#N/A,FALSE,"Econ Consol";"Fluxo de Caixa",#N/A,FALSE,"Fluxo Caixa";"Investimentos",#N/A,FALSE,"Investimentos"}</definedName>
    <definedName name="sdxfrt" hidden="1">{#N/A,#N/A,FALSE,"Plan1";#N/A,#N/A,FALSE,"Plan2"}</definedName>
    <definedName name="SDZFERF" hidden="1">{#N/A,#N/A,FALSE,"Plan1";#N/A,#N/A,FALSE,"Plan2"}</definedName>
    <definedName name="se">#REF!</definedName>
    <definedName name="SEDE">#REF!</definedName>
    <definedName name="sefret4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G" localSheetId="38">#REF!</definedName>
    <definedName name="SEG" localSheetId="24">#REF!</definedName>
    <definedName name="SEG">#REF!</definedName>
    <definedName name="segftru" hidden="1">{#N/A,#N/A,FALSE,"Plan1";#N/A,#N/A,FALSE,"Plan2"}</definedName>
    <definedName name="SegmentaçãodeDados_UF1">""</definedName>
    <definedName name="SegmentaçãodeDados_UF11">""</definedName>
    <definedName name="SegmentaçãodeDados_UF12">""</definedName>
    <definedName name="SEIS">#REF!</definedName>
    <definedName name="sencount" hidden="1">3</definedName>
    <definedName name="SEQUENCIA">#REF!</definedName>
    <definedName name="SEREWRSWE" hidden="1">{"tabela",#N/A,FALSE,"Tabela";"decoração",#N/A,FALSE,"Decor.";"Informações",#N/A,FALSE,"Inform."}</definedName>
    <definedName name="Set_17">#REF!</definedName>
    <definedName name="SETE">#REF!</definedName>
    <definedName name="SETEMBRO">#REF!</definedName>
    <definedName name="setRJ17">#REF!</definedName>
    <definedName name="severo">#REF!</definedName>
    <definedName name="sf" hidden="1">{#N/A,#N/A,FALSE,"Plan1";#N/A,#N/A,FALSE,"Plan2"}</definedName>
    <definedName name="sfcre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ddfd" hidden="1">{#N/A,#N/A,FALSE,"Plan1";#N/A,#N/A,FALSE,"Plan2"}</definedName>
    <definedName name="sfds" hidden="1">{#N/A,#N/A,FALSE,"Plan1";#N/A,#N/A,FALSE,"Plan2"}</definedName>
    <definedName name="sfdsd" hidden="1">{#N/A,#N/A,FALSE,"Plan1";#N/A,#N/A,FALSE,"Plan2"}</definedName>
    <definedName name="SFDSF" hidden="1">34</definedName>
    <definedName name="sfrsdrgt" hidden="1">{#N/A,#N/A,FALSE,"Plan1";#N/A,#N/A,FALSE,"Plan2"}</definedName>
    <definedName name="SFRT" hidden="1">{#N/A,#N/A,FALSE,"Plan1";#N/A,#N/A,FALSE,"Plan2"}</definedName>
    <definedName name="sfsdferf" hidden="1">{#N/A,#N/A,FALSE,"Plan1";#N/A,#N/A,FALSE,"Plan2"}</definedName>
    <definedName name="sfsdfs" hidden="1">34</definedName>
    <definedName name="SFSDS" hidden="1">{#N/A,#N/A,FALSE,"Plan1";#N/A,#N/A,FALSE,"Plan2"}</definedName>
    <definedName name="SGarantia">#REF!</definedName>
    <definedName name="sgtghty" hidden="1">{#N/A,#N/A,FALSE,"Plan1";#N/A,#N/A,FALSE,"Plan2"}</definedName>
    <definedName name="S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RED_FORMULA_0">#N/A</definedName>
    <definedName name="SHARED_FORMULA_1">#N/A</definedName>
    <definedName name="SHARED_FORMULA_10">#N/A</definedName>
    <definedName name="SHARED_FORMULA_11">#N/A</definedName>
    <definedName name="SHARED_FORMULA_12">#N/A</definedName>
    <definedName name="SHARED_FORMULA_13">#N/A</definedName>
    <definedName name="SHARED_FORMULA_14">#N/A</definedName>
    <definedName name="SHARED_FORMULA_15">#N/A</definedName>
    <definedName name="SHARED_FORMULA_16">#N/A</definedName>
    <definedName name="SHARED_FORMULA_17">#N/A</definedName>
    <definedName name="SHARED_FORMULA_18">#N/A</definedName>
    <definedName name="SHARED_FORMULA_19">#N/A</definedName>
    <definedName name="SHARED_FORMULA_2">#N/A</definedName>
    <definedName name="SHARED_FORMULA_20">#N/A</definedName>
    <definedName name="SHARED_FORMULA_21">#N/A</definedName>
    <definedName name="SHARED_FORMULA_22">#N/A</definedName>
    <definedName name="SHARED_FORMULA_23">#N/A</definedName>
    <definedName name="SHARED_FORMULA_24">#N/A</definedName>
    <definedName name="SHARED_FORMULA_25">#N/A</definedName>
    <definedName name="SHARED_FORMULA_26">#N/A</definedName>
    <definedName name="SHARED_FORMULA_27">#N/A</definedName>
    <definedName name="SHARED_FORMULA_28">#N/A</definedName>
    <definedName name="SHARED_FORMULA_29">#N/A</definedName>
    <definedName name="SHARED_FORMULA_3">#N/A</definedName>
    <definedName name="SHARED_FORMULA_30">#N/A</definedName>
    <definedName name="SHARED_FORMULA_31">#N/A</definedName>
    <definedName name="SHARED_FORMULA_32">#N/A</definedName>
    <definedName name="SHARED_FORMULA_33">#N/A</definedName>
    <definedName name="SHARED_FORMULA_34">#N/A</definedName>
    <definedName name="SHARED_FORMULA_35">#N/A</definedName>
    <definedName name="SHARED_FORMULA_36">#N/A</definedName>
    <definedName name="SHARED_FORMULA_37">#N/A</definedName>
    <definedName name="SHARED_FORMULA_38">#N/A</definedName>
    <definedName name="SHARED_FORMULA_39">#N/A</definedName>
    <definedName name="SHARED_FORMULA_4">#N/A</definedName>
    <definedName name="SHARED_FORMULA_40">#N/A</definedName>
    <definedName name="SHARED_FORMULA_41">#N/A</definedName>
    <definedName name="SHARED_FORMULA_42">#N/A</definedName>
    <definedName name="SHARED_FORMULA_43">#N/A</definedName>
    <definedName name="SHARED_FORMULA_44">#N/A</definedName>
    <definedName name="SHARED_FORMULA_45">#N/A</definedName>
    <definedName name="SHARED_FORMULA_46">#N/A</definedName>
    <definedName name="SHARED_FORMULA_47">#N/A</definedName>
    <definedName name="SHARED_FORMULA_48">#N/A</definedName>
    <definedName name="SHARED_FORMULA_49">#N/A</definedName>
    <definedName name="SHARED_FORMULA_5">#N/A</definedName>
    <definedName name="SHARED_FORMULA_50">#N/A</definedName>
    <definedName name="SHARED_FORMULA_51">#N/A</definedName>
    <definedName name="SHARED_FORMULA_52">#N/A</definedName>
    <definedName name="SHARED_FORMULA_53">#N/A</definedName>
    <definedName name="SHARED_FORMULA_54">#N/A</definedName>
    <definedName name="SHARED_FORMULA_55">#N/A</definedName>
    <definedName name="SHARED_FORMULA_56">#N/A</definedName>
    <definedName name="SHARED_FORMULA_57">#N/A</definedName>
    <definedName name="SHARED_FORMULA_58">#N/A</definedName>
    <definedName name="SHARED_FORMULA_59">#N/A</definedName>
    <definedName name="SHARED_FORMULA_6">#N/A</definedName>
    <definedName name="SHARED_FORMULA_60">#N/A</definedName>
    <definedName name="SHARED_FORMULA_61">#N/A</definedName>
    <definedName name="SHARED_FORMULA_62">#N/A</definedName>
    <definedName name="SHARED_FORMULA_7">#N/A</definedName>
    <definedName name="SHARED_FORMULA_8">#N/A</definedName>
    <definedName name="SHARED_FORMULA_9">#N/A</definedName>
    <definedName name="SIH" localSheetId="38">#REF!</definedName>
    <definedName name="SIH" localSheetId="24">#REF!</definedName>
    <definedName name="SIH">#REF!</definedName>
    <definedName name="SISTEM1">#REF!</definedName>
    <definedName name="SISTEM2">#REF!</definedName>
    <definedName name="SIV" localSheetId="24">#REF!</definedName>
    <definedName name="SIV">#REF!</definedName>
    <definedName name="sjawe" hidden="1">{#N/A,#N/A,FALSE,"Plan1";#N/A,#N/A,FALSE,"Plan2"}</definedName>
    <definedName name="sjdffd" hidden="1">{#N/A,#N/A,FALSE,"Plan1";#N/A,#N/A,FALSE,"Plan2"}</definedName>
    <definedName name="SJDFHDJS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HFHRE" hidden="1">{#N/A,#N/A,FALSE,"Plan1";#N/A,#N/A,FALSE,"Plan2"}</definedName>
    <definedName name="SJDKJDE" hidden="1">{"Econ Consolidado",#N/A,FALSE,"Econ Consol";"Fluxo de Caixa",#N/A,FALSE,"Fluxo Caixa";"Investimentos",#N/A,FALSE,"Investimentos"}</definedName>
    <definedName name="sjekwjri" hidden="1">{#N/A,#N/A,FALSE,"Plan1";#N/A,#N/A,FALSE,"Plan2"}</definedName>
    <definedName name="sjfkdhsfds" hidden="1">{#N/A,#N/A,FALSE,"Plan1";#N/A,#N/A,FALSE,"Plan2"}</definedName>
    <definedName name="sjkdljslkrje" hidden="1">{#N/A,#N/A,FALSE,"Plan1";#N/A,#N/A,FALSE,"Plan2"}</definedName>
    <definedName name="skadadaszs" hidden="1">{#N/A,#N/A,FALSE,"Plan1";#N/A,#N/A,FALSE,"Plan2"}</definedName>
    <definedName name="SKASH" hidden="1">{#N/A,#N/A,FALSE,"Plan1";#N/A,#N/A,FALSE,"Plan2"}</definedName>
    <definedName name="skldfrde" hidden="1">{#N/A,#N/A,FALSE,"Plan1";#N/A,#N/A,FALSE,"Plan2"}</definedName>
    <definedName name="skosroer" hidden="1">{#N/A,#N/A,FALSE,"Plan1";#N/A,#N/A,FALSE,"Plan2"}</definedName>
    <definedName name="SO">#REF!</definedName>
    <definedName name="solver_lin" hidden="1">0</definedName>
    <definedName name="solver_num" hidden="1">0</definedName>
    <definedName name="solver_rel1" hidden="1">3</definedName>
    <definedName name="solver_rhs1" hidden="1">0</definedName>
    <definedName name="solver_tmp" hidden="1">0</definedName>
    <definedName name="solver_typ" hidden="1">1</definedName>
    <definedName name="solver_val" hidden="1">0</definedName>
    <definedName name="soma">#REF!</definedName>
    <definedName name="sp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QEWWE" hidden="1">{#N/A,#N/A,FALSE,"Plan1";#N/A,#N/A,FALSE,"Plan2"}</definedName>
    <definedName name="SR" hidden="1">#REF!</definedName>
    <definedName name="SR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" localSheetId="38" hidden="1">#REF!</definedName>
    <definedName name="ss" localSheetId="24">#REF!</definedName>
    <definedName name="ss">#REF!</definedName>
    <definedName name="sssss" hidden="1">#REF!</definedName>
    <definedName name="stake_cury">#REF!</definedName>
    <definedName name="status_projeto" hidden="1">OFFSET(INDEX(#REF!,MATCH(#REF!,#REF!,0)),1,0,COUNTA(#REF!)-1)</definedName>
    <definedName name="SUB_TOTAL_1">#REF!</definedName>
    <definedName name="SUBDER">#REF!</definedName>
    <definedName name="SUBDIV">#REF!</definedName>
    <definedName name="SUBEQP">#REF!</definedName>
    <definedName name="SUBMUR">#REF!</definedName>
    <definedName name="summ" hidden="1">#REF!</definedName>
    <definedName name="susref" localSheetId="24">#REF!</definedName>
    <definedName name="susref">#REF!</definedName>
    <definedName name="Swvu.Características." hidden="1">#REF!</definedName>
    <definedName name="Swvu.Ciclos." hidden="1">#REF!</definedName>
    <definedName name="Swvu.Custos." hidden="1">#REF!</definedName>
    <definedName name="Swvu.PLANILHA2." hidden="1">#REF!</definedName>
    <definedName name="Swvu.Recursos." hidden="1">#REF!</definedName>
    <definedName name="T_actual">#REF!</definedName>
    <definedName name="t_cc">#REF!</definedName>
    <definedName name="t_KSB1_Transport">#REF!</definedName>
    <definedName name="tab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_GASTOS">#REF!</definedName>
    <definedName name="TABACABAMENTOS">#REF!</definedName>
    <definedName name="tabela">#REF!</definedName>
    <definedName name="Tabela_Atribuição">#REF!</definedName>
    <definedName name="TABELA_DE_REVESTIMENTOS">#REF!</definedName>
    <definedName name="Tabela_Recursos">#REF!</definedName>
    <definedName name="Tabela_Tarefas">#REF!</definedName>
    <definedName name="Tabela1">#REF!</definedName>
    <definedName name="Tabela2">#REF!</definedName>
    <definedName name="tabela3">#REF!</definedName>
    <definedName name="TABREF">#REF!</definedName>
    <definedName name="tania" localSheetId="24">#REF!</definedName>
    <definedName name="tania">#REF!</definedName>
    <definedName name="TAUX2">OFFSET(#REF!,0,0,COUNTA(#REF!)+1,1)</definedName>
    <definedName name="TAUX3">OFFSET(#REF!,0,0,COUNTA(#REF!)+1,1)</definedName>
    <definedName name="TAXA_VENTO">#REF!</definedName>
    <definedName name="TAXAS">#REF!</definedName>
    <definedName name="TbDin">OFFSET(#REF!,0,0,COUNTA(#REF!),13)</definedName>
    <definedName name="tc" localSheetId="38">#REF!</definedName>
    <definedName name="tc" localSheetId="24">#REF!</definedName>
    <definedName name="tc">#REF!</definedName>
    <definedName name="TE">#REF!</definedName>
    <definedName name="TECLA">#REF!</definedName>
    <definedName name="Tendência_Obra_Controladoria">#REF!</definedName>
    <definedName name="TERRENO">#REF!</definedName>
    <definedName name="Test" hidden="1">{"'Edit'!$A$1:$V$2277"}</definedName>
    <definedName name="TESTANDO" hidden="1">{#N/A,#N/A,TRUE,"Quinzena 01 à 15-04-98 "}</definedName>
    <definedName name="teste">#REF!</definedName>
    <definedName name="teste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3">#REF!</definedName>
    <definedName name="TESTHKEY">#REF!</definedName>
    <definedName name="teto1">#REF!</definedName>
    <definedName name="Teto2">#REF!</definedName>
    <definedName name="tetuytw">#REF!</definedName>
    <definedName name="TextRefCopyRangeCount" hidden="1">1</definedName>
    <definedName name="thjgsergsr" hidden="1">{#N/A,#N/A,FALSE,"Plan1";#N/A,#N/A,FALSE,"Plan2"}</definedName>
    <definedName name="THYJ" hidden="1">{#N/A,#N/A,FALSE,"Plan1";#N/A,#N/A,FALSE,"Plan2"}</definedName>
    <definedName name="tihjgih" hidden="1">{#N/A,#N/A,FALSE,"Plan1";#N/A,#N/A,FALSE,"Plan2"}</definedName>
    <definedName name="TIPO_CTT">#REF!</definedName>
    <definedName name="Tipo_de_Diretoria">#REF!</definedName>
    <definedName name="Tipo_de_Gestao">#REF!</definedName>
    <definedName name="Tipo_de_Padrao">#REF!</definedName>
    <definedName name="Tipo_de_Regiao">#REF!</definedName>
    <definedName name="Tipo_de_Segmento">#REF!</definedName>
    <definedName name="Tipo_de_Status">#REF!</definedName>
    <definedName name="Tipo_de_UF">#REF!</definedName>
    <definedName name="Tipo_de_Unidade_de_Negocio">#REF!</definedName>
    <definedName name="Tipo_do_cliente">#REF!</definedName>
    <definedName name="tipo_subtotal">#REF!</definedName>
    <definedName name="tipobloco">#REF!</definedName>
    <definedName name="titbeb">#REF!</definedName>
    <definedName name="TITCHAF">#REF!</definedName>
    <definedName name="TituloMkt">#REF!</definedName>
    <definedName name="titulos">#REF!</definedName>
    <definedName name="_xlnm.Print_Titles" localSheetId="11">'Acabamentos de Piso'!$7:$11</definedName>
    <definedName name="_xlnm.Print_Titles" localSheetId="13">'Acabamentos de Teto'!$7:$11</definedName>
    <definedName name="_xlnm.Print_Titles" localSheetId="7">Alvenaria!$7:$11</definedName>
    <definedName name="_xlnm.Print_Titles" localSheetId="38">#REF!</definedName>
    <definedName name="_xlnm.Print_Titles" localSheetId="21">Complementares!#REF!</definedName>
    <definedName name="_xlnm.Print_Titles" localSheetId="3">CONTENÇÕES!$2:$2</definedName>
    <definedName name="_xlnm.Print_Titles" localSheetId="0">DADOS_INICIAIS!$1:$7</definedName>
    <definedName name="_xlnm.Print_Titles" localSheetId="26">Esquadrias!$7:$11</definedName>
    <definedName name="_xlnm.Print_Titles" localSheetId="16">Impermeabilização!$7:$11</definedName>
    <definedName name="_xlnm.Print_Titles" localSheetId="4">'INFRAESTRUTURA REV01'!$2:$2</definedName>
    <definedName name="_xlnm.Print_Titles" localSheetId="17">Instalações!#REF!</definedName>
    <definedName name="_xlnm.Print_Titles" localSheetId="18">'Instalações Lumis'!$1:$6</definedName>
    <definedName name="_xlnm.Print_Titles" localSheetId="1">MOVIMENTAÇÃO_DE_TERRA!#REF!</definedName>
    <definedName name="_xlnm.Print_Titles" localSheetId="15">'Pintura Interna'!$7:$11</definedName>
    <definedName name="_xlnm.Print_Titles" localSheetId="32">'Rev. Fachada'!$7:$11</definedName>
    <definedName name="_xlnm.Print_Titles" localSheetId="12">'Rev. Internos de Parede'!$7:$11</definedName>
    <definedName name="_xlnm.Print_Titles" localSheetId="19">'Sistemas Especiais'!#REF!</definedName>
    <definedName name="_xlnm.Print_Titles" localSheetId="41">#REF!</definedName>
    <definedName name="_xlnm.Print_Titles" localSheetId="5">SUPRAESTRUTURA!$2:$2</definedName>
    <definedName name="_xlnm.Print_Titles" localSheetId="6">'SUPRAESTRUTURA (2)'!$2:$2</definedName>
    <definedName name="_xlnm.Print_Titles">#REF!</definedName>
    <definedName name="Títulos_impressão_IM">#REF!</definedName>
    <definedName name="TMO">#REF!</definedName>
    <definedName name="TOLTAL2">#REF!</definedName>
    <definedName name="TOT" localSheetId="21">#REF!</definedName>
    <definedName name="TOT" localSheetId="0">#REF!</definedName>
    <definedName name="TOT" localSheetId="24">#REF!</definedName>
    <definedName name="TOT" localSheetId="17">#REF!</definedName>
    <definedName name="TOT" localSheetId="18">#REF!</definedName>
    <definedName name="TOT" localSheetId="1">#REF!</definedName>
    <definedName name="TOT" localSheetId="19">#REF!</definedName>
    <definedName name="TOT">#REF!</definedName>
    <definedName name="tot3estac">#REF!</definedName>
    <definedName name="TOTAIS">#REF!</definedName>
    <definedName name="Total" localSheetId="0">#REF!</definedName>
    <definedName name="Total" localSheetId="24">#REF!</definedName>
    <definedName name="Total" localSheetId="18">#REF!</definedName>
    <definedName name="Total">#REF!</definedName>
    <definedName name="Total_2016_Rel_Controladoria">#REF!</definedName>
    <definedName name="Total_Parcelas_MAP">#REF!</definedName>
    <definedName name="total_unid">#REF!</definedName>
    <definedName name="TOTAL1">#REF!</definedName>
    <definedName name="TOTAL10">#REF!</definedName>
    <definedName name="TOTAL11">#REF!</definedName>
    <definedName name="TOTAL12">#REF!</definedName>
    <definedName name="TOTAL13">#REF!</definedName>
    <definedName name="TOTAL14">#REF!</definedName>
    <definedName name="TOTAL15">#REF!</definedName>
    <definedName name="TOTAL16">#REF!</definedName>
    <definedName name="TOTAL2">#REF!</definedName>
    <definedName name="TOTAL3">#REF!</definedName>
    <definedName name="TOTAL4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ALITEM">#REF!</definedName>
    <definedName name="totbase">#REF!</definedName>
    <definedName name="totestaca">#REF!</definedName>
    <definedName name="TOTG">OFFSET(#REF!,0,0,COUNTA(#REF!),1)</definedName>
    <definedName name="totperfura">#REF!</definedName>
    <definedName name="TOTQTS">#REF!</definedName>
    <definedName name="TOTT">OFFSET(#REF!,0,0,COUNTA(#REF!)+1,1)</definedName>
    <definedName name="TR">#REF!</definedName>
    <definedName name="Transferencia1">#REF!</definedName>
    <definedName name="TRES">#REF!</definedName>
    <definedName name="TREZE">#REF!</definedName>
    <definedName name="tri">#REF!</definedName>
    <definedName name="Trimestre_data_base">#REF!</definedName>
    <definedName name="trjyidih" hidden="1">{#N/A,#N/A,FALSE,"Plan1";#N/A,#N/A,FALSE,"Plan2"}</definedName>
    <definedName name="TRP" localSheetId="38">#REF!</definedName>
    <definedName name="TRP" localSheetId="24">#REF!</definedName>
    <definedName name="TRP">#REF!</definedName>
    <definedName name="TTT">#REF!</definedName>
    <definedName name="TURNO">#REF!</definedName>
    <definedName name="tuyedjsksj" hidden="1">{#N/A,#N/A,FALSE,"Plan1";#N/A,#N/A,FALSE,"Plan2"}</definedName>
    <definedName name="TX_ADM">#REF!</definedName>
    <definedName name="tx_desconto_real">#REF!</definedName>
    <definedName name="TxAplicMes">#REF!</definedName>
    <definedName name="TxCdiMes">#REF!</definedName>
    <definedName name="TxDescMes">#REF!</definedName>
    <definedName name="TxSecuritizacaoMes">#REF!</definedName>
    <definedName name="TxSfhEco">#REF!</definedName>
    <definedName name="TxSfhMap">#REF!</definedName>
    <definedName name="TXTEQUIP">#REF!</definedName>
    <definedName name="TXTMARCA">#REF!</definedName>
    <definedName name="TXTMOD">#REF!</definedName>
    <definedName name="TXTPOT">#REF!</definedName>
    <definedName name="TYHGFHFHG" hidden="1">{#N/A,#N/A,FALSE,"Plan1";#N/A,#N/A,FALSE,"Plan2"}</definedName>
    <definedName name="u" localSheetId="38" hidden="1">{#N/A,#N/A,FALSE,"ET-CAPA";#N/A,#N/A,FALSE,"ET-PAG1";#N/A,#N/A,FALSE,"ET-PAG2";#N/A,#N/A,FALSE,"ET-PAG3";#N/A,#N/A,FALSE,"ET-PAG4";#N/A,#N/A,FALSE,"ET-PAG5"}</definedName>
    <definedName name="u" localSheetId="22">{#N/A,#N/A,FALSE,"ET-CAPA";#N/A,#N/A,FALSE,"ET-PAG1";#N/A,#N/A,FALSE,"ET-PAG2";#N/A,#N/A,FALSE,"ET-PAG3";#N/A,#N/A,FALSE,"ET-PAG4";#N/A,#N/A,FALSE,"ET-PAG5"}</definedName>
    <definedName name="u" localSheetId="21" hidden="1">{#N/A,#N/A,FALSE,"ET-CAPA";#N/A,#N/A,FALSE,"ET-PAG1";#N/A,#N/A,FALSE,"ET-PAG2";#N/A,#N/A,FALSE,"ET-PAG3";#N/A,#N/A,FALSE,"ET-PAG4";#N/A,#N/A,FALSE,"ET-PAG5"}</definedName>
    <definedName name="u" localSheetId="0" hidden="1">{#N/A,#N/A,FALSE,"ET-CAPA";#N/A,#N/A,FALSE,"ET-PAG1";#N/A,#N/A,FALSE,"ET-PAG2";#N/A,#N/A,FALSE,"ET-PAG3";#N/A,#N/A,FALSE,"ET-PAG4";#N/A,#N/A,FALSE,"ET-PAG5"}</definedName>
    <definedName name="u" localSheetId="24">{#N/A,#N/A,FALSE,"ET-CAPA";#N/A,#N/A,FALSE,"ET-PAG1";#N/A,#N/A,FALSE,"ET-PAG2";#N/A,#N/A,FALSE,"ET-PAG3";#N/A,#N/A,FALSE,"ET-PAG4";#N/A,#N/A,FALSE,"ET-PAG5"}</definedName>
    <definedName name="u" localSheetId="17" hidden="1">{#N/A,#N/A,FALSE,"ET-CAPA";#N/A,#N/A,FALSE,"ET-PAG1";#N/A,#N/A,FALSE,"ET-PAG2";#N/A,#N/A,FALSE,"ET-PAG3";#N/A,#N/A,FALSE,"ET-PAG4";#N/A,#N/A,FALSE,"ET-PAG5"}</definedName>
    <definedName name="u" localSheetId="18" hidden="1">{#N/A,#N/A,FALSE,"ET-CAPA";#N/A,#N/A,FALSE,"ET-PAG1";#N/A,#N/A,FALSE,"ET-PAG2";#N/A,#N/A,FALSE,"ET-PAG3";#N/A,#N/A,FALSE,"ET-PAG4";#N/A,#N/A,FALSE,"ET-PAG5"}</definedName>
    <definedName name="u" localSheetId="1" hidden="1">{#N/A,#N/A,FALSE,"ET-CAPA";#N/A,#N/A,FALSE,"ET-PAG1";#N/A,#N/A,FALSE,"ET-PAG2";#N/A,#N/A,FALSE,"ET-PAG3";#N/A,#N/A,FALSE,"ET-PAG4";#N/A,#N/A,FALSE,"ET-PAG5"}</definedName>
    <definedName name="u" localSheetId="19" hidden="1">{#N/A,#N/A,FALSE,"ET-CAPA";#N/A,#N/A,FALSE,"ET-PAG1";#N/A,#N/A,FALSE,"ET-PAG2";#N/A,#N/A,FALSE,"ET-PAG3";#N/A,#N/A,FALSE,"ET-PAG4";#N/A,#N/A,FALSE,"ET-PAG5"}</definedName>
    <definedName name="u" localSheetId="41" hidden="1">{#N/A,#N/A,FALSE,"ET-CAPA";#N/A,#N/A,FALSE,"ET-PAG1";#N/A,#N/A,FALSE,"ET-PAG2";#N/A,#N/A,FALSE,"ET-PAG3";#N/A,#N/A,FALSE,"ET-PAG4";#N/A,#N/A,FALSE,"ET-PAG5"}</definedName>
    <definedName name="u" hidden="1">{#N/A,#N/A,FALSE,"ET-CAPA";#N/A,#N/A,FALSE,"ET-PAG1";#N/A,#N/A,FALSE,"ET-PAG2";#N/A,#N/A,FALSE,"ET-PAG3";#N/A,#N/A,FALSE,"ET-PAG4";#N/A,#N/A,FALSE,"ET-PAG5"}</definedName>
    <definedName name="udhgfhfg" hidden="1">{#N/A,#N/A,FALSE,"Plan1";#N/A,#N/A,FALSE,"Plan2"}</definedName>
    <definedName name="ueiutriuef" hidden="1">{#N/A,#N/A,FALSE,"Plan1";#N/A,#N/A,FALSE,"Plan2"}</definedName>
    <definedName name="UENSIT">#REF!</definedName>
    <definedName name="UENSITS">#REF!</definedName>
    <definedName name="UHGSDUS" hidden="1">{#N/A,#N/A,FALSE,"Plan1";#N/A,#N/A,FALSE,"Plan2"}</definedName>
    <definedName name="UI" hidden="1">#REF!</definedName>
    <definedName name="UIHWER45R" hidden="1">{#N/A,#N/A,FALSE,"Plan1";#N/A,#N/A,FALSE,"Plan2"}</definedName>
    <definedName name="uiosderuiu" hidden="1">{#N/A,#N/A,FALSE,"Plan1";#N/A,#N/A,FALSE,"Plan2"}</definedName>
    <definedName name="UIOURET" hidden="1">{#N/A,#N/A,FALSE,"Plan1";#N/A,#N/A,FALSE,"Plan2"}</definedName>
    <definedName name="uiwuer" hidden="1">{#N/A,#N/A,FALSE,"Plan1";#N/A,#N/A,FALSE,"Plan2"}</definedName>
    <definedName name="UKHDFDSGUDFKD" hidden="1">{#N/A,#N/A,FALSE,"Plan1";#N/A,#N/A,FALSE,"Plan2"}</definedName>
    <definedName name="UM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D">OFFSET(#REF!,0,0,COUNTA(#REF!),1)</definedName>
    <definedName name="uni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v_cdi">#REF!</definedName>
    <definedName name="univ_hist">#REF!</definedName>
    <definedName name="univ_uss">#REF!</definedName>
    <definedName name="UPS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ryrtyt" hidden="1">{#N/A,#N/A,FALSE,"Plan1";#N/A,#N/A,FALSE,"Plan2"}</definedName>
    <definedName name="V">#REF!</definedName>
    <definedName name="VALIDADE_EXECUÇÃO">#REF!</definedName>
    <definedName name="Valor_PLS_Controladoria">#REF!</definedName>
    <definedName name="Valor_Previsto_Fin_Medições">#REF!</definedName>
    <definedName name="VALOR_REAIS">#REF!</definedName>
    <definedName name="Valor_Recebido_Fin_Medições">#REF!</definedName>
    <definedName name="Valor_Sienge">#REF!</definedName>
    <definedName name="VALOR_VENDA">#REF!</definedName>
    <definedName name="valores_diferidos">#REF!</definedName>
    <definedName name="valv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OS">#REF!</definedName>
    <definedName name="vdsgfrhgfr" hidden="1">{#N/A,#N/A,FALSE,"Plan1";#N/A,#N/A,FALSE,"Plan2"}</definedName>
    <definedName name="Veiculos">#REF!</definedName>
    <definedName name="VENDA_ADOTADA">#REF!</definedName>
    <definedName name="VENDAFINAL_R">#REF!</definedName>
    <definedName name="VENDAFINAL_U">#REF!</definedName>
    <definedName name="Vendas">#REF!</definedName>
    <definedName name="vendas_">#REF!</definedName>
    <definedName name="VERIFICAR" hidden="1">{#N/A,#N/A,TRUE,"Quinzena 01 à 15-04-98 "}</definedName>
    <definedName name="versao_estudo">#REF!</definedName>
    <definedName name="vfbg">#REF!</definedName>
    <definedName name="vfnijf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V" hidden="1">{#N/A,#N/A,FALSE,"Plan1";#N/A,#N/A,FALSE,"Plan2"}</definedName>
    <definedName name="VI">#REF!</definedName>
    <definedName name="VINTE">#REF!</definedName>
    <definedName name="visao_cashflow">#REF!</definedName>
    <definedName name="visao_VL">#REF!</definedName>
    <definedName name="vl_cd">#REF!</definedName>
    <definedName name="vl_k1">#REF!</definedName>
    <definedName name="vl_k2">#REF!</definedName>
    <definedName name="vl_k3">#REF!</definedName>
    <definedName name="vld_classificacao" localSheetId="36" hidden="1">IF(#REF!="Ativa",OFFSET(INDEX(rng_list_classificacao,MATCH(#REF!,rng_list_classificacao,0)),1,0,COUNTA(rng_list_classificacao)-1),#REF!)</definedName>
    <definedName name="vld_classificacao" localSheetId="34" hidden="1">IF(#REF!="Ativa",OFFSET(INDEX(rng_list_classificacao,MATCH(#REF!,rng_list_classificacao,0)),1,0,COUNTA(rng_list_classificacao)-1),#REF!)</definedName>
    <definedName name="vld_classificacao" localSheetId="6" hidden="1">IF(#REF!="Ativa",OFFSET(INDEX(rng_list_classificacao,MATCH(#REF!,rng_list_classificacao,0)),1,0,COUNTA(rng_list_classificacao)-1),#REF!)</definedName>
    <definedName name="vld_classificacao" hidden="1">IF(#REF!="Ativa",OFFSET(INDEX(rng_list_classificacao,MATCH(#REF!,rng_list_classificacao,0)),1,0,COUNTA(rng_list_classificacao)-1),#REF!)</definedName>
    <definedName name="vld_regional" localSheetId="36" hidden="1">OFFSET(INDEX(rng_list_regional,MATCH(#REF!,rng_list_regional,0)),1,0,COUNTA(rng_list_regional)-1)</definedName>
    <definedName name="vld_regional" localSheetId="34" hidden="1">OFFSET(INDEX(rng_list_regional,MATCH(#REF!,rng_list_regional,0)),1,0,COUNTA(rng_list_regional)-1)</definedName>
    <definedName name="vld_regional" localSheetId="6" hidden="1">OFFSET(INDEX(rng_list_regional,MATCH(#REF!,rng_list_regional,0)),1,0,COUNTA(rng_list_regional)-1)</definedName>
    <definedName name="vld_regional" hidden="1">OFFSET(INDEX(rng_list_regional,MATCH(#REF!,rng_list_regional,0)),1,0,COUNTA(rng_list_regional)-1)</definedName>
    <definedName name="vld_segmento" localSheetId="36" hidden="1">IF(#REF!="Ativa",OFFSET(INDEX(rng_list_segmento,MATCH(#REF!,rng_list_segmento,0)),1,0,COUNTA(rng_list_segmento)-1),#REF!)</definedName>
    <definedName name="vld_segmento" localSheetId="34" hidden="1">IF(#REF!="Ativa",OFFSET(INDEX(rng_list_segmento,MATCH(#REF!,rng_list_segmento,0)),1,0,COUNTA(rng_list_segmento)-1),#REF!)</definedName>
    <definedName name="vld_segmento" localSheetId="6" hidden="1">IF(#REF!="Ativa",OFFSET(INDEX(rng_list_segmento,MATCH(#REF!,rng_list_segmento,0)),1,0,COUNTA(rng_list_segmento)-1),#REF!)</definedName>
    <definedName name="vld_segmento" hidden="1">IF(#REF!="Ativa",OFFSET(INDEX(rng_list_segmento,MATCH(#REF!,rng_list_segmento,0)),1,0,COUNTA(rng_list_segmento)-1),#REF!)</definedName>
    <definedName name="vld_sociedade" localSheetId="36" hidden="1">OFFSET(INDEX(rng_list_sociedade,MATCH(#REF!,rng_list_sociedade,0)),1,0,COUNTA(rng_list_sociedade)-1)</definedName>
    <definedName name="vld_sociedade" localSheetId="34" hidden="1">OFFSET(INDEX(rng_list_sociedade,MATCH(#REF!,rng_list_sociedade,0)),1,0,COUNTA(rng_list_sociedade)-1)</definedName>
    <definedName name="vld_sociedade" localSheetId="6" hidden="1">OFFSET(INDEX(rng_list_sociedade,MATCH(#REF!,rng_list_sociedade,0)),1,0,COUNTA(rng_list_sociedade)-1)</definedName>
    <definedName name="vld_sociedade" hidden="1">OFFSET(INDEX(rng_list_sociedade,MATCH(#REF!,rng_list_sociedade,0)),1,0,COUNTA(rng_list_sociedade)-1)</definedName>
    <definedName name="vld_status_empresa" localSheetId="36" hidden="1">OFFSET(INDEX(rng_list_status_empresa,MATCH(#REF!,rng_list_status_empresa,0)),1,0,COUNTA(rng_list_status_empresa)-1)</definedName>
    <definedName name="vld_status_empresa" localSheetId="34" hidden="1">OFFSET(INDEX(rng_list_status_empresa,MATCH(#REF!,rng_list_status_empresa,0)),1,0,COUNTA(rng_list_status_empresa)-1)</definedName>
    <definedName name="vld_status_empresa" localSheetId="6" hidden="1">OFFSET(INDEX(rng_list_status_empresa,MATCH(#REF!,rng_list_status_empresa,0)),1,0,COUNTA(rng_list_status_empresa)-1)</definedName>
    <definedName name="vld_status_empresa" hidden="1">OFFSET(INDEX(rng_list_status_empresa,MATCH(#REF!,rng_list_status_empresa,0)),1,0,COUNTA(rng_list_status_empresa)-1)</definedName>
    <definedName name="vld_status_lancamento" localSheetId="36" hidden="1">IF(#REF!="Ativa",OFFSET(INDEX(rng_list_status_lancamento,MATCH(#REF!,rng_list_status_lancamento,0)),1,0,COUNTA(rng_list_status_lancamento)-1),#REF!)</definedName>
    <definedName name="vld_status_lancamento" localSheetId="34" hidden="1">IF(#REF!="Ativa",OFFSET(INDEX(rng_list_status_lancamento,MATCH(#REF!,rng_list_status_lancamento,0)),1,0,COUNTA(rng_list_status_lancamento)-1),#REF!)</definedName>
    <definedName name="vld_status_lancamento" localSheetId="6" hidden="1">IF(#REF!="Ativa",OFFSET(INDEX(rng_list_status_lancamento,MATCH(#REF!,rng_list_status_lancamento,0)),1,0,COUNTA(rng_list_status_lancamento)-1),#REF!)</definedName>
    <definedName name="vld_status_lancamento" hidden="1">IF(#REF!="Ativa",OFFSET(INDEX(rng_list_status_lancamento,MATCH(#REF!,rng_list_status_lancamento,0)),1,0,COUNTA(rng_list_status_lancamento)-1),#REF!)</definedName>
    <definedName name="vld_status_projeto" localSheetId="36" hidden="1">IF(#REF!="Ativa",OFFSET(INDEX(rng_list_status_projeto,MATCH(#REF!,rng_list_status_projeto,0)),1,0,COUNTA(rng_list_status_projeto)-1),#REF!)</definedName>
    <definedName name="vld_status_projeto" localSheetId="34" hidden="1">IF(#REF!="Ativa",OFFSET(INDEX(rng_list_status_projeto,MATCH(#REF!,rng_list_status_projeto,0)),1,0,COUNTA(rng_list_status_projeto)-1),#REF!)</definedName>
    <definedName name="vld_status_projeto" localSheetId="6" hidden="1">IF(#REF!="Ativa",OFFSET(INDEX(rng_list_status_projeto,MATCH(#REF!,rng_list_status_projeto,0)),1,0,COUNTA(rng_list_status_projeto)-1),#REF!)</definedName>
    <definedName name="vld_status_projeto" hidden="1">IF(#REF!="Ativa",OFFSET(INDEX(rng_list_status_projeto,MATCH(#REF!,rng_list_status_projeto,0)),1,0,COUNTA(rng_list_status_projeto)-1),#REF!)</definedName>
    <definedName name="vld_status_viabilidade" localSheetId="36" hidden="1">OFFSET(INDEX(rng_list_status_viabilidade,MATCH(#REF!,rng_list_status_viabilidade,0)),1,0,COUNTA(rng_list_status_viabilidade)-1)</definedName>
    <definedName name="vld_status_viabilidade" localSheetId="34" hidden="1">OFFSET(INDEX(rng_list_status_viabilidade,MATCH(#REF!,rng_list_status_viabilidade,0)),1,0,COUNTA(rng_list_status_viabilidade)-1)</definedName>
    <definedName name="vld_status_viabilidade" localSheetId="6" hidden="1">OFFSET(INDEX(rng_list_status_viabilidade,MATCH(#REF!,rng_list_status_viabilidade,0)),1,0,COUNTA(rng_list_status_viabilidade)-1)</definedName>
    <definedName name="vld_status_viabilidade" hidden="1">OFFSET(INDEX(rng_list_status_viabilidade,MATCH(#REF!,rng_list_status_viabilidade,0)),1,0,COUNTA(rng_list_status_viabilidade)-1)</definedName>
    <definedName name="VOLUME1">#REF!</definedName>
    <definedName name="VOLUME2">#REF!</definedName>
    <definedName name="VOLUME3">#REF!</definedName>
    <definedName name="VSDHFGDFGR" hidden="1">{#N/A,#N/A,FALSE,"Plan1";#N/A,#N/A,FALSE,"Plan2"}</definedName>
    <definedName name="vvbb" hidden="1">{"tabela",#N/A,FALSE,"Tabela";"decoração",#N/A,FALSE,"Decor.";"Informações",#N/A,FALSE,"Inform."}</definedName>
    <definedName name="vvcbnb" hidden="1">{#N/A,#N/A,FALSE,"Plan1";#N/A,#N/A,FALSE,"Plan2"}</definedName>
    <definedName name="vvvvv" hidden="1">{"Econ Consolidado",#N/A,FALSE,"Econ Consol";"Fluxo de Caixa",#N/A,FALSE,"Fluxo Caixa";"Investimentos",#N/A,FALSE,"Investimentos"}</definedName>
    <definedName name="vvvvvv" hidden="1">{#N/A,#N/A,FALSE,"Plan1";#N/A,#N/A,FALSE,"Plan2"}</definedName>
    <definedName name="vvvvvvvvvvvvvvvvv" hidden="1">{"HW",#N/A,FALSE,"1998"}</definedName>
    <definedName name="VX" hidden="1">#REF!</definedName>
    <definedName name="w">#REF!</definedName>
    <definedName name="wacc">#REF!</definedName>
    <definedName name="wadalrdjlaev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ter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dewr" hidden="1">#REF!</definedName>
    <definedName name="WE" hidden="1">#REF!</definedName>
    <definedName name="weki_9701.xls" hidden="1">#REF!</definedName>
    <definedName name="wekir9701.xls" hidden="1">#REF!</definedName>
    <definedName name="werw4tr" hidden="1">{#N/A,#N/A,FALSE,"Plan1";#N/A,#N/A,FALSE,"Plan2"}</definedName>
    <definedName name="wetoedjtkdr" hidden="1">{#N/A,#N/A,FALSE,"Plan1";#N/A,#N/A,FALSE,"Plan2"}</definedName>
    <definedName name="WHATS" hidden="1">{"'Edit'!$A$1:$V$2277"}</definedName>
    <definedName name="win.VESSE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TENS">#REF!</definedName>
    <definedName name="WKJHIR" hidden="1">{#N/A,#N/A,FALSE,"Plan1";#N/A,#N/A,FALSE,"Plan2"}</definedName>
    <definedName name="WLQ" hidden="1">{#N/A,#N/A,FALSE,"명세표"}</definedName>
    <definedName name="WNMLOCAL">#REF!</definedName>
    <definedName name="WNMMUN">#REF!</definedName>
    <definedName name="WNMSERV">#REF!</definedName>
    <definedName name="worl_cdi">#REF!</definedName>
    <definedName name="worl_hist">#REF!</definedName>
    <definedName name="worl_uss">#REF!</definedName>
    <definedName name="WRITE" hidden="1">{#N/A,#N/A,FALSE,"CCTV"}</definedName>
    <definedName name="wrn.BM." hidden="1">{#N/A,#N/A,FALSE,"CCTV"}</definedName>
    <definedName name="wrn.Brita98.xls." hidden="1">{#N/A,#N/A,TRUE,"Quinzena 01 à 15-04-98 "}</definedName>
    <definedName name="wrn.Completo.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ns." hidden="1">{"EconCons",#N/A,TRUE,"Econômico - Consolidado";"CaixaCons",#N/A,TRUE,"Caixa - Consolidado";"InvestCons",#N/A,TRUE,"Invest Consolidado"}</definedName>
    <definedName name="wrn.Consolidado." hidden="1">{"Econ Consolidado",#N/A,FALSE,"Econ Consol";"Fluxo de Caixa",#N/A,FALSE,"Fluxo Caixa";"Investimentos",#N/A,FALSE,"Investimentos"}</definedName>
    <definedName name="wrn.GERAL." localSheetId="38" hidden="1">{#N/A,#N/A,FALSE,"ET-CAPA";#N/A,#N/A,FALSE,"ET-PAG1";#N/A,#N/A,FALSE,"ET-PAG2";#N/A,#N/A,FALSE,"ET-PAG3";#N/A,#N/A,FALSE,"ET-PAG4";#N/A,#N/A,FALSE,"ET-PAG5"}</definedName>
    <definedName name="wrn.GERAL." localSheetId="22">{#N/A,#N/A,FALSE,"ET-CAPA";#N/A,#N/A,FALSE,"ET-PAG1";#N/A,#N/A,FALSE,"ET-PAG2";#N/A,#N/A,FALSE,"ET-PAG3";#N/A,#N/A,FALSE,"ET-PAG4";#N/A,#N/A,FALSE,"ET-PAG5"}</definedName>
    <definedName name="wrn.GERAL." localSheetId="21" hidden="1">{#N/A,#N/A,FALSE,"ET-CAPA";#N/A,#N/A,FALSE,"ET-PAG1";#N/A,#N/A,FALSE,"ET-PAG2";#N/A,#N/A,FALSE,"ET-PAG3";#N/A,#N/A,FALSE,"ET-PAG4";#N/A,#N/A,FALSE,"ET-PAG5"}</definedName>
    <definedName name="wrn.GERAL." localSheetId="0" hidden="1">{#N/A,#N/A,FALSE,"ET-CAPA";#N/A,#N/A,FALSE,"ET-PAG1";#N/A,#N/A,FALSE,"ET-PAG2";#N/A,#N/A,FALSE,"ET-PAG3";#N/A,#N/A,FALSE,"ET-PAG4";#N/A,#N/A,FALSE,"ET-PAG5"}</definedName>
    <definedName name="wrn.GERAL." localSheetId="24">{#N/A,#N/A,FALSE,"ET-CAPA";#N/A,#N/A,FALSE,"ET-PAG1";#N/A,#N/A,FALSE,"ET-PAG2";#N/A,#N/A,FALSE,"ET-PAG3";#N/A,#N/A,FALSE,"ET-PAG4";#N/A,#N/A,FALSE,"ET-PAG5"}</definedName>
    <definedName name="wrn.GERAL." localSheetId="17" hidden="1">{#N/A,#N/A,FALSE,"ET-CAPA";#N/A,#N/A,FALSE,"ET-PAG1";#N/A,#N/A,FALSE,"ET-PAG2";#N/A,#N/A,FALSE,"ET-PAG3";#N/A,#N/A,FALSE,"ET-PAG4";#N/A,#N/A,FALSE,"ET-PAG5"}</definedName>
    <definedName name="wrn.GERAL." localSheetId="18" hidden="1">{#N/A,#N/A,FALSE,"ET-CAPA";#N/A,#N/A,FALSE,"ET-PAG1";#N/A,#N/A,FALSE,"ET-PAG2";#N/A,#N/A,FALSE,"ET-PAG3";#N/A,#N/A,FALSE,"ET-PAG4";#N/A,#N/A,FALSE,"ET-PAG5"}</definedName>
    <definedName name="wrn.GERAL." localSheetId="1" hidden="1">{#N/A,#N/A,FALSE,"ET-CAPA";#N/A,#N/A,FALSE,"ET-PAG1";#N/A,#N/A,FALSE,"ET-PAG2";#N/A,#N/A,FALSE,"ET-PAG3";#N/A,#N/A,FALSE,"ET-PAG4";#N/A,#N/A,FALSE,"ET-PAG5"}</definedName>
    <definedName name="wrn.GERAL." localSheetId="19" hidden="1">{#N/A,#N/A,FALSE,"ET-CAPA";#N/A,#N/A,FALSE,"ET-PAG1";#N/A,#N/A,FALSE,"ET-PAG2";#N/A,#N/A,FALSE,"ET-PAG3";#N/A,#N/A,FALSE,"ET-PAG4";#N/A,#N/A,FALSE,"ET-PAG5"}</definedName>
    <definedName name="wrn.GERAL." localSheetId="41" hidden="1">{#N/A,#N/A,FALSE,"ET-CAPA";#N/A,#N/A,FALSE,"ET-PAG1";#N/A,#N/A,FALSE,"ET-PAG2";#N/A,#N/A,FALSE,"ET-PAG3";#N/A,#N/A,FALSE,"ET-PAG4";#N/A,#N/A,FALSE,"ET-PAG5"}</definedName>
    <definedName name="wrn.GERAL." hidden="1">{#N/A,#N/A,FALSE,"ET-CAPA";#N/A,#N/A,FALSE,"ET-PAG1";#N/A,#N/A,FALSE,"ET-PAG2";#N/A,#N/A,FALSE,"ET-PAG3";#N/A,#N/A,FALSE,"ET-PAG4";#N/A,#N/A,FALSE,"ET-PAG5"}</definedName>
    <definedName name="wrn.HAGE." hidden="1">{#N/A,#N/A,FALSE,"cdi";#N/A,#N/A,FALSE,"debent";#N/A,#N/A,FALSE,"fdos";#N/A,#N/A,FALSE,"resumo"}</definedName>
    <definedName name="wrn.HAGE01" hidden="1">{#N/A,#N/A,FALSE,"cdi";#N/A,#N/A,FALSE,"debent";#N/A,#N/A,FALSE,"fdos";#N/A,#N/A,FALSE,"resumo"}</definedName>
    <definedName name="wrn.HW." hidden="1">{"HW",#N/A,FALSE,"1998"}</definedName>
    <definedName name="wrn.imp_flx." hidden="1">{#N/A,#N/A,FALSE,"CONSOLID";#N/A,#N/A,FALSE,"CIMENTO";#N/A,#N/A,FALSE,"METALURGIA";#N/A,#N/A,FALSE,"PAPEL";#N/A,#N/A,FALSE,"QUÍMICA";#N/A,#N/A,FALSE,"AGROINDL";#N/A,#N/A,FALSE,"OUTROS";#N/A,#N/A,FALSE,"REAL_ORCADO"}</definedName>
    <definedName name="wrn.IMPRESSO." hidden="1">{#N/A,#N/A,FALSE,"Plan1";#N/A,#N/A,FALSE,"Plan2"}</definedName>
    <definedName name="wrn.Imprimir." hidden="1">{"tabela",#N/A,FALSE,"Tabela";"decoração",#N/A,FALSE,"Decor.";"Informações",#N/A,FALSE,"Inform."}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GM機器リスト.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onth._.Report._.Package." hidden="1">{#N/A,#N/A,FALSE,"Global Wls Trend";#N/A,#N/A,FALSE,"Region Trend";#N/A,#N/A,FALSE,"PBU Trend"}</definedName>
    <definedName name="wrn.Monthly._.Report._.Package." hidden="1">{#N/A,#N/A,FALSE,"Global by BU";#N/A,#N/A,FALSE,"U.S. by BU";#N/A,#N/A,FALSE,"Canada by BU";#N/A,#N/A,FALSE,"Europe by BU";#N/A,#N/A,FALSE,"Asia by BU";#N/A,#N/A,FALSE,"Cala by BU"}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iha._.de._.Medição._.F._.01." hidden="1">{#N/A,#N/A,FALSE,"F-01"}</definedName>
    <definedName name="wrn.Planiha._.de._.Medição._.F._.01._1" hidden="1">{#N/A,#N/A,FALSE,"F-01"}</definedName>
    <definedName name="wrn.Planilha_de_Medição_F_02" hidden="1">{#N/A,#N/A,FALSE,"F-01"}</definedName>
    <definedName name="wrn.print._.all." hidden="1">{#N/A,#N/A,FALSE,"$170M Cash";#N/A,#N/A,FALSE,"$250M Cash";#N/A,#N/A,FALSE,"$325M Cash"}</definedName>
    <definedName name="wrn.PrintAll.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 hidden="1">{#N/A,#N/A,FALSE,"Sheet1";#N/A,#N/A,FALSE,"Sheet2";#N/A,#N/A,FALSE,"Sheet3"}</definedName>
    <definedName name="wrn.PrintPrev1." hidden="1">{#N/A,#N/A,FALSE,"Sheet4";#N/A,#N/A,FALSE,"Sheet5";#N/A,#N/A,FALSE,"Sheet6"}</definedName>
    <definedName name="wrn.PrintPrev2." hidden="1">{#N/A,#N/A,FALSE,"Sheet7";#N/A,#N/A,FALSE,"Sheet8";#N/A,#N/A,FALSE,"Sheet9"}</definedName>
    <definedName name="wrn.Quadros._.relatório.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PORT." hidden="1">{#N/A,#N/A,FALSE,"표지";#N/A,#N/A,FALSE,"목차";#N/A,#N/A,FALSE,"내용1";#N/A,#N/A,FALSE,"내용2";#N/A,#N/A,FALSE,"결론";#N/A,#N/A,FALSE,"첨부";#N/A,#N/A,FALSE,"진공도달시간";#N/A,#N/A,FALSE,"배가스속도"}</definedName>
    <definedName name="wrn.STAFFS." hidden="1">{#N/A,#N/A,FALSE,"TABLE"}</definedName>
    <definedName name="wrn.TERCEIRO.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st1." hidden="1">{#N/A,#N/A,FALSE,"명세표"}</definedName>
    <definedName name="wrn.Unidades." hidden="1">{"Rio Branco",#N/A,FALSE,"Rio Branco";"Itajaí",#N/A,FALSE,"Itajaí";"Pinheiro Machado",#N/A,FALSE,"PMachado";"Esteio",#N/A,FALSE,"Esteio"}</definedName>
    <definedName name="wrn.VESSEL및N2._.구입사양서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견적." hidden="1">{#N/A,#N/A,FALSE,"Sheet1";#N/A,#N/A,FALSE,"Sheet2";#N/A,#N/A,FALSE,"TAB96-1"}</definedName>
    <definedName name="wrn.보호계전기." hidden="1">{#N/A,#N/A,FALSE,"ENG'G(보호계전기)"}</definedName>
    <definedName name="wrn.현장._.NCR._.분석." hidden="1">{#N/A,#N/A,FALSE,"현장 NCR 분석";#N/A,#N/A,FALSE,"현장품질감사";#N/A,#N/A,FALSE,"현장품질감사"}</definedName>
    <definedName name="wrn1.Cons." hidden="1">{"EconCons",#N/A,TRUE,"Econômico - Consolidado";"CaixaCons",#N/A,TRUE,"Caixa - Consolidado";"InvestCons",#N/A,TRUE,"Invest Consolidado"}</definedName>
    <definedName name="wrn1.print._.all." hidden="1">{#N/A,#N/A,FALSE,"$170M Cash";#N/A,#N/A,FALSE,"$250M Cash";#N/A,#N/A,FALSE,"$325M Cash"}</definedName>
    <definedName name="WRS" hidden="1">{"'장비'!$A$3:$M$12"}</definedName>
    <definedName name="wrt" hidden="1">{#N/A,#N/A,FALSE,"$170M Cash";#N/A,#N/A,FALSE,"$250M Cash";#N/A,#N/A,FALSE,"$325M Cash"}</definedName>
    <definedName name="wvu.PLANILHA2.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w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wwwwwww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>#REF!</definedName>
    <definedName name="XALFA">#REF!</definedName>
    <definedName name="XC">#REF!</definedName>
    <definedName name="xcfrt" hidden="1">{#N/A,#N/A,FALSE,"Plan1";#N/A,#N/A,FALSE,"Plan2"}</definedName>
    <definedName name="xcgjkfghf" hidden="1">{#N/A,#N/A,FALSE,"Plan1";#N/A,#N/A,FALSE,"Plan2"}</definedName>
    <definedName name="XCGJKVHFDG" hidden="1">{#N/A,#N/A,FALSE,"Plan1";#N/A,#N/A,FALSE,"Plan2"}</definedName>
    <definedName name="xcgtrty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I">#REF!</definedName>
    <definedName name="XCII">#REF!</definedName>
    <definedName name="XCIII">#REF!</definedName>
    <definedName name="XCIV">#REF!</definedName>
    <definedName name="XCIX">#REF!</definedName>
    <definedName name="xçl" hidden="1">{#N/A,#N/A,FALSE,"Plan1";#N/A,#N/A,FALSE,"Plan2"}</definedName>
    <definedName name="xcndj" hidden="1">{#N/A,#N/A,FALSE,"Plan1";#N/A,#N/A,FALSE,"Plan2"}</definedName>
    <definedName name="XCV">#REF!</definedName>
    <definedName name="XCVGGT" hidden="1">{#N/A,#N/A,FALSE,"Plan1";#N/A,#N/A,FALSE,"Plan2"}</definedName>
    <definedName name="XCVI">#REF!</definedName>
    <definedName name="XCVII">#REF!</definedName>
    <definedName name="XCVIII">#REF!</definedName>
    <definedName name="xcvrg" hidden="1">{#N/A,#N/A,FALSE,"Plan1";#N/A,#N/A,FALSE,"Plan2"}</definedName>
    <definedName name="XDATA">#REF!</definedName>
    <definedName name="xdfe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gtyhyt" hidden="1">{#N/A,#N/A,FALSE,"Plan1";#N/A,#N/A,FALSE,"Plan2"}</definedName>
    <definedName name="xfdlfj" hidden="1">{#N/A,#N/A,FALSE,"Plan1";#N/A,#N/A,FALSE,"Plan2"}</definedName>
    <definedName name="xfdxfdf" hidden="1">{#N/A,#N/A,FALSE,"Plan1";#N/A,#N/A,FALSE,"Plan2"}</definedName>
    <definedName name="XFJKLDJKLG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rty" hidden="1">{#N/A,#N/A,FALSE,"Plan1";#N/A,#N/A,FALSE,"Plan2"}</definedName>
    <definedName name="X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vchdhhd" hidden="1">{"Econ Consolidado",#N/A,FALSE,"Econ Consol";"Fluxo de Caixa",#N/A,FALSE,"Fluxo Caixa";"Investimentos",#N/A,FALSE,"Investimentos"}</definedName>
    <definedName name="xfvgcfgt" hidden="1">{#N/A,#N/A,FALSE,"Plan1";#N/A,#N/A,FALSE,"Plan2"}</definedName>
    <definedName name="xgrg" hidden="1">{#N/A,#N/A,FALSE,"Plan1";#N/A,#N/A,FALSE,"Plan2"}</definedName>
    <definedName name="XI">#REF!</definedName>
    <definedName name="XII">#REF!</definedName>
    <definedName name="XIII">#REF!</definedName>
    <definedName name="XITEM">#REF!</definedName>
    <definedName name="XIV">#REF!</definedName>
    <definedName name="XLOC">#REF!</definedName>
    <definedName name="xmght" hidden="1">{#N/A,#N/A,FALSE,"Plan1";#N/A,#N/A,FALSE,"Plan2"}</definedName>
    <definedName name="xnInforme_quantos_bebedouros____bebqt__if_bebqt__0__xlQt.bebedouros_invalida___ENTER_p_reinformar__xresp__branch_rqtderv">#REF!</definedName>
    <definedName name="XNUCOPIAS">#REF!</definedName>
    <definedName name="xo" hidden="1">{#N/A,#N/A,FALSE,"Global by BU";#N/A,#N/A,FALSE,"U.S. by BU";#N/A,#N/A,FALSE,"Canada by BU";#N/A,#N/A,FALSE,"Europe by BU";#N/A,#N/A,FALSE,"Asia by BU";#N/A,#N/A,FALSE,"Cala by BU"}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ColumnsCount" hidden="1">1</definedName>
    <definedName name="XRefCopy2" hidden="1">#REF!</definedName>
    <definedName name="XRefCopy3Row" hidden="1">#REF!</definedName>
    <definedName name="XRefCopy4Row" hidden="1">#REF!</definedName>
    <definedName name="XRefCopy6" hidden="1">#REF!</definedName>
    <definedName name="XRefCopyRangeCount" hidden="1">1</definedName>
    <definedName name="XRefPaste2" hidden="1">#REF!</definedName>
    <definedName name="XRefPaste4" hidden="1">#REF!</definedName>
    <definedName name="XRefPaste5" hidden="1">#REF!</definedName>
    <definedName name="XRefPaste6" hidden="1">#REF!</definedName>
    <definedName name="XRefPaste7Row" hidden="1">#REF!</definedName>
    <definedName name="XRefPasteRangeCount" hidden="1">1</definedName>
    <definedName name="XRESP">#REF!</definedName>
    <definedName name="XTITRES">#REF!</definedName>
    <definedName name="XV">#REF!</definedName>
    <definedName name="XX">#REF!</definedName>
    <definedName name="XXI">#REF!</definedName>
    <definedName name="XXII">#REF!</definedName>
    <definedName name="XXIII">#REF!</definedName>
    <definedName name="XXIV">#REF!</definedName>
    <definedName name="XXV">#REF!</definedName>
    <definedName name="XXX">#REF!</definedName>
    <definedName name="XXXI">#REF!</definedName>
    <definedName name="XXXII">#REF!</definedName>
    <definedName name="XXXIII">#REF!</definedName>
    <definedName name="XXXIV">#REF!</definedName>
    <definedName name="XXXIX">#REF!</definedName>
    <definedName name="XXXV">#REF!</definedName>
    <definedName name="XXXVI">#REF!</definedName>
    <definedName name="XXXVII">#REF!</definedName>
    <definedName name="XXXVIII">#REF!</definedName>
    <definedName name="xxxx" localSheetId="3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21">#REF!</definedName>
    <definedName name="xxxx" localSheetId="0">#REF!</definedName>
    <definedName name="xxxx" localSheetId="24">#REF!</definedName>
    <definedName name="xxxx" localSheetId="17">#REF!</definedName>
    <definedName name="xxxx" localSheetId="18">#REF!</definedName>
    <definedName name="xxxx" localSheetId="1">#REF!</definedName>
    <definedName name="xxxx" localSheetId="19">#REF!</definedName>
    <definedName name="xxxx" localSheetId="41">#REF!</definedName>
    <definedName name="xxxx">#REF!</definedName>
    <definedName name="XX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xxxx">#REF!</definedName>
    <definedName name="xxxxxxxxxxxxxx" hidden="1">{#N/A,#N/A,FALSE,"Plan1";#N/A,#N/A,FALSE,"Plan2"}</definedName>
    <definedName name="xzfrt" hidden="1">{#N/A,#N/A,FALSE,"Plan1";#N/A,#N/A,FALSE,"Plan2"}</definedName>
    <definedName name="yeitrtged" hidden="1">{#N/A,#N/A,FALSE,"Plan1";#N/A,#N/A,FALSE,"Plan2"}</definedName>
    <definedName name="yhdfiuygrui" hidden="1">{#N/A,#N/A,FALSE,"Plan1";#N/A,#N/A,FALSE,"Plan2"}</definedName>
    <definedName name="YRGUYDRIY" hidden="1">{"Econ Consolidado",#N/A,FALSE,"Econ Consol";"Fluxo de Caixa",#N/A,FALSE,"Fluxo Caixa";"Investimentos",#N/A,FALSE,"Investimentos"}</definedName>
    <definedName name="ytdju">#REF!</definedName>
    <definedName name="yuegursdmksf" hidden="1">{#N/A,#N/A,FALSE,"Plan1";#N/A,#N/A,FALSE,"Plan2"}</definedName>
    <definedName name="yuekl4fr" hidden="1">{#N/A,#N/A,FALSE,"Plan1";#N/A,#N/A,FALSE,"Plan2"}</definedName>
    <definedName name="yureytuyrea" hidden="1">{#N/A,#N/A,FALSE,"Plan1";#N/A,#N/A,FALSE,"Plan2"}</definedName>
    <definedName name="z" hidden="1">{"'Estimativa de Lançamento-JAN'!$A$1:$AI$85"}</definedName>
    <definedName name="z\dj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_022B7420_7F94_427F_B370_84030F9B3342_.wvu.FilterData" hidden="1">#REF!</definedName>
    <definedName name="Z_04BC043C_175B_412D_8093_6F29CD74FBAE_.wvu.FilterData" hidden="1">#REF!</definedName>
    <definedName name="Z_058B9256_CB4D_4C39_834D_D693FEEB491F_.wvu.FilterData" hidden="1">#REF!</definedName>
    <definedName name="Z_05D1A71D_3B7B_4FB7_8DF3_B8E29CA3927A_.wvu.FilterData" hidden="1">#REF!</definedName>
    <definedName name="Z_07C2CF55_E6DF_411A_AB00_7E155615468C_.wvu.FilterData" hidden="1">#REF!</definedName>
    <definedName name="Z_0B1003A7_69DB_4D5B_966D_57B9E8AF76FB_.wvu.FilterData" hidden="1">#REF!</definedName>
    <definedName name="Z_0C3EE359_64F6_4049_9576_8EACA8563EA4_.wvu.FilterData" hidden="1">#REF!</definedName>
    <definedName name="Z_0D05AC4E_32D3_4985_8208_9776E00AC749_.wvu.FilterData" hidden="1">#REF!</definedName>
    <definedName name="Z_0DB407A0_1449_11D8_ADD1_0060083A646F_.wvu.PrintArea" hidden="1">#REF!</definedName>
    <definedName name="Z_0DC459DE_F68C_4E33_8D1E_F1663ABAC944_.wvu.FilterData" hidden="1">#REF!</definedName>
    <definedName name="Z_0FACBA89_1203_4ED8_87E5_EC1D45B051B7_.wvu.FilterData" hidden="1">#REF!</definedName>
    <definedName name="Z_0FEA3536_5108_4591_BECF_C3181387F85F_.wvu.FilterData" hidden="1">#REF!</definedName>
    <definedName name="Z_0FEFDB42_ECBC_4500_A6C8_FEE3D368790B_.wvu.FilterData" hidden="1">#REF!</definedName>
    <definedName name="Z_110A0651_47C7_408E_B3BF_0C80D30B95FC_.wvu.FilterData" hidden="1">#REF!</definedName>
    <definedName name="Z_128E64DD_BE84_40EE_A6D2_C9B0EB25CBBD_.wvu.FilterData" hidden="1">#REF!</definedName>
    <definedName name="Z_12F2973E_0018_407B_98AD_CD9C5D1F65FA_.wvu.FilterData" hidden="1">#REF!</definedName>
    <definedName name="Z_137DAE61_8A8D_4219_A4CC_0EEC18A94882_.wvu.FilterData" hidden="1">#REF!</definedName>
    <definedName name="Z_13E06FB5_D019_406D_B278_1B53AD2F6386_.wvu.FilterData" hidden="1">#REF!</definedName>
    <definedName name="Z_14D375AC_5615_46DE_8EE3_95915B2A8B54_.wvu.FilterData" hidden="1">#REF!</definedName>
    <definedName name="Z_15697660_066E_11D5_AF15_00010242ED40_.wvu.PrintArea" hidden="1">#REF!</definedName>
    <definedName name="Z_15697660_066E_11D5_AF15_00010242ED40_.wvu.PrintTitles" hidden="1">#REF!</definedName>
    <definedName name="Z_15697660_066E_11D5_AF15_00010242ED40_.wvu.Rows" hidden="1">#REF!</definedName>
    <definedName name="Z_15B5DC78_B02F_4AC6_8572_015040A55619_.wvu.FilterData" hidden="1">#REF!</definedName>
    <definedName name="Z_166D6F0F_4D44_46E7_8C36_48FD4848B5AA_.wvu.FilterData" hidden="1">#REF!</definedName>
    <definedName name="Z_16FAB836_2255_4D4C_90E4_6B46255F3759_.wvu.FilterData" hidden="1">#REF!</definedName>
    <definedName name="Z_198D391C_95CB_49F5_8924_5FEA3CE5C98A_.wvu.FilterData" hidden="1">#REF!</definedName>
    <definedName name="Z_1D9C37CC_3E33_4D4D_B7CD_819F75C83D65_.wvu.FilterData" hidden="1">#REF!</definedName>
    <definedName name="Z_1DF9838C_880D_4C4E_BFFE_89B5894EC40F_.wvu.FilterData" hidden="1">#REF!</definedName>
    <definedName name="Z_1EF42BFC_874B_4E01_B67D_1607E823ACD0_.wvu.FilterData" hidden="1">#REF!</definedName>
    <definedName name="Z_1F94C6E7_3CCA_4599_AF6F_4D6291B2AD93_.wvu.FilterData" hidden="1">#REF!</definedName>
    <definedName name="Z_20A9AA17_0DEB_4190_8DAD_FC60D0D33A52_.wvu.FilterData" hidden="1">#REF!</definedName>
    <definedName name="Z_2103F656_ECB2_4F99_BE9B_56F4D7A5CEE2_.wvu.FilterData" hidden="1">#REF!</definedName>
    <definedName name="Z_2158A2BC_8DB5_455D_AFDE_914B22949288_.wvu.FilterData" hidden="1">#REF!</definedName>
    <definedName name="Z_21A967FF_561E_495F_AEB9_4DD3BEDA53BC_.wvu.FilterData" hidden="1">#REF!</definedName>
    <definedName name="Z_227E7522_DC52_4EA7_A11A_0741FF23CC42_.wvu.FilterData" hidden="1">#REF!</definedName>
    <definedName name="Z_23BA0C23_280B_4568_A53C_1C6D2E85772A_.wvu.FilterData" hidden="1">#REF!</definedName>
    <definedName name="Z_244346C6_3866_4160_9E2E_C77913F25398_.wvu.FilterData" hidden="1">#REF!</definedName>
    <definedName name="Z_25117F67_F0EE_43EF_8FF9_79F533CE10B0_.wvu.FilterData" hidden="1">#REF!</definedName>
    <definedName name="Z_259E2DDE_5459_4510_B7A2_66F49964C56E_.wvu.FilterData" hidden="1">#REF!</definedName>
    <definedName name="Z_25C7DFCF_BE54_4A41_B957_DE39B9B2A5B5_.wvu.FilterData" hidden="1">#REF!</definedName>
    <definedName name="Z_272E0E4D_901D_11D7_B59C_0050DAB35C7B_.wvu.FilterData" hidden="1">#REF!</definedName>
    <definedName name="Z_27D9353E_5A5F_49BF_8724_FA312A4073FF_.wvu.FilterData" hidden="1">#REF!</definedName>
    <definedName name="Z_299BE965_B904_49FA_A79D_B9538F94936F_.wvu.FilterData" hidden="1">#REF!</definedName>
    <definedName name="Z_29D37CE9_76D1_4D09_99A0_55ABA6929929_.wvu.FilterData" hidden="1">#REF!</definedName>
    <definedName name="Z_2C05BC27_731C_41F4_980F_CD81E4A7A662_.wvu.FilterData" hidden="1">#REF!</definedName>
    <definedName name="Z_2C0BDCBF_705B_4E5A_9659_05D99EC56641_.wvu.FilterData" hidden="1">#REF!</definedName>
    <definedName name="Z_2CD580B5_D99D_45ED_AC1E_45F8CBBBB9F1_.wvu.FilterData" hidden="1">#REF!</definedName>
    <definedName name="Z_2D98D706_A306_4353_8B3D_DA92F9EAEC9A_.wvu.FilterData" hidden="1">#REF!</definedName>
    <definedName name="Z_2F8736FC_F07E_49E8_9C13_8E0A0F5EFE5F_.wvu.FilterData" hidden="1">#REF!</definedName>
    <definedName name="Z_304C2F7A_D3A6_4DBA_A568_C3E56D7C6E2F_.wvu.FilterData" hidden="1">#REF!</definedName>
    <definedName name="Z_30E0ACE8_B29A_44E9_B542_E8C1CA3FD802_.wvu.FilterData" hidden="1">#REF!</definedName>
    <definedName name="Z_31A27EA2_D574_43B8_A671_7419A12151C9_.wvu.FilterData" hidden="1">#REF!</definedName>
    <definedName name="Z_32D1B352_62AB_4105_8DFC_EAA2DF743365_.wvu.FilterData" hidden="1">#REF!</definedName>
    <definedName name="Z_330DF436_5BED_40AF_AC51_73D268BD9DF4_.wvu.FilterData" hidden="1">#REF!</definedName>
    <definedName name="Z_33B8EF57_2FB1_4600_9590_B0A2F2FE409B_.wvu.FilterData" hidden="1">#REF!</definedName>
    <definedName name="Z_3404588C_6CE7_4C97_A62C_D19D9EE290D3_.wvu.FilterData" hidden="1">#REF!</definedName>
    <definedName name="Z_34E71878_8D1A_4343_91A1_3FE085136D2B_.wvu.FilterData" hidden="1">#REF!</definedName>
    <definedName name="Z_37611AA0_E86A_42C8_8705_108B25E060A1_.wvu.FilterData" hidden="1">#REF!</definedName>
    <definedName name="Z_38FE6CED_4C19_4332_9788_ACC902B20A46_.wvu.FilterData" hidden="1">#REF!</definedName>
    <definedName name="Z_394E75CB_4F7F_4C88_A08F_29E48E587341_.wvu.FilterData" hidden="1">#REF!</definedName>
    <definedName name="Z_3C200595_20A3_4A0C_B071_705F4AD5DAD3_.wvu.FilterData" hidden="1">#REF!</definedName>
    <definedName name="Z_3E93FF4A_0B7F_475C_A63C_54FBDB9DB4C5_.wvu.FilterData" hidden="1">#REF!</definedName>
    <definedName name="Z_3FF05DC4_CA9E_470D_A193_91785ACE00EF_.wvu.FilterData" hidden="1">#REF!</definedName>
    <definedName name="Z_43791B95_57D7_42F4_8815_D1B7E488543E_.wvu.FilterData" hidden="1">#REF!</definedName>
    <definedName name="Z_445AA90F_6D9B_40F5_8E1D_CE1EF57CF450_.wvu.FilterData" hidden="1">#REF!</definedName>
    <definedName name="Z_454E0C40_F84F_42A3_A371_6F23C1F38595_.wvu.FilterData" hidden="1">#REF!</definedName>
    <definedName name="Z_4608FCB3_3552_4D58_B6CE_B8F34D78221E_.wvu.FilterData" hidden="1">#REF!</definedName>
    <definedName name="Z_46E47F7C_9185_4E39_BED5_B4A69FF64CC1_.wvu.FilterData" hidden="1">#REF!</definedName>
    <definedName name="Z_48202D5D_77CB_41DE_8C59_9325C98D7C97_.wvu.FilterData" hidden="1">#REF!</definedName>
    <definedName name="Z_48824DFE_B714_4D0B_9E95_F01C5BAD5D1F_.wvu.FilterData" hidden="1">#REF!</definedName>
    <definedName name="Z_4C45D885_33EE_4DA9_BF96_6B10CFBA5596_.wvu.FilterData" hidden="1">#REF!</definedName>
    <definedName name="Z_4CA4BF7C_65C1_4E25_8563_22DF58586D2C_.wvu.PrintArea" hidden="1">#REF!</definedName>
    <definedName name="Z_4CA4BF7C_65C1_4E25_8563_22DF58586D2C_.wvu.PrintTitles" hidden="1">#REF!</definedName>
    <definedName name="Z_4CA4BF7C_65C1_4E25_8563_22DF58586D2C_.wvu.Rows" hidden="1">#REF!</definedName>
    <definedName name="Z_4D344757_9064_4D2F_A3A5_69132D23B7B9_.wvu.FilterData" hidden="1">#REF!</definedName>
    <definedName name="Z_4E773EE1_0A5B_43A9_9C28_FFB0A27D19C3_.wvu.FilterData" hidden="1">#REF!</definedName>
    <definedName name="Z_5122F04C_91B2_4031_BAE2_43203D520992_.wvu.FilterData" hidden="1">#REF!</definedName>
    <definedName name="Z_52B8D0B0_5872_4367_8D38_9AA5A4B975B3_.wvu.FilterData" hidden="1">#REF!</definedName>
    <definedName name="Z_532423B2_94C7_44C1_9A2A_9712DAE92CE9_.wvu.FilterData" hidden="1">#REF!</definedName>
    <definedName name="Z_53F31130_5EA7_42BA_93EB_88A7CB743782_.wvu.FilterData" hidden="1">#REF!</definedName>
    <definedName name="Z_55213581_1831_4A94_AB4D_23E4F8BC8085_.wvu.FilterData" hidden="1">#REF!</definedName>
    <definedName name="Z_552B9204_1C85_45BC_B148_AF3E206BDAA2_.wvu.FilterData" hidden="1">#REF!</definedName>
    <definedName name="Z_566671FC_5910_47FD_B961_1065A17D262D_.wvu.FilterData" hidden="1">#REF!</definedName>
    <definedName name="Z_569D17FA_30FE_42CA_8D65_E126C1C01EC2_.wvu.FilterData" hidden="1">#REF!</definedName>
    <definedName name="Z_573E904E_5C2F_4CA2_AFCF_918B916322E4_.wvu.FilterData" hidden="1">#REF!</definedName>
    <definedName name="Z_58DA6172_DC47_4A5F_B420_207BB6987764_.wvu.FilterData" hidden="1">#REF!</definedName>
    <definedName name="Z_58FCB891_F6F4_46F2_BF6B_861E585C9231_.wvu.FilterData" hidden="1">#REF!</definedName>
    <definedName name="Z_59A87EBA_E018_40E8_A580_AB2176E95D7E_.wvu.FilterData" hidden="1">#REF!</definedName>
    <definedName name="Z_5A3E740D_87C0_4F85_AB6D_B402AD860D04_.wvu.FilterData" hidden="1">#REF!</definedName>
    <definedName name="Z_5B42E6B5_40AA_4D3F_B932_EF1583491CDE_.wvu.FilterData" hidden="1">#REF!</definedName>
    <definedName name="Z_5B7B4951_7310_4C66_B906_4D046076272E_.wvu.FilterData" hidden="1">#REF!</definedName>
    <definedName name="Z_5D41F4B9_83DF_4509_9C07_453BA5A62846_.wvu.FilterData" hidden="1">#REF!</definedName>
    <definedName name="Z_5DB05E9F_8F3B_4886_A6CB_2CC53331BA7A_.wvu.FilterData" hidden="1">#REF!</definedName>
    <definedName name="Z_5F096896_2CB8_4B96_A0FE_9AB50EEEEFAB_.wvu.FilterData" hidden="1">#REF!</definedName>
    <definedName name="Z_60DF8B29_1C1F_4B50_BDA8_B8E0C7DD04C3_.wvu.Cols" hidden="1">#REF!,#REF!</definedName>
    <definedName name="Z_60DF8B29_1C1F_4B50_BDA8_B8E0C7DD04C3_.wvu.FilterData" hidden="1">#REF!</definedName>
    <definedName name="Z_615F4A4D_D5AB_4A04_81F5_F436484247A5_.wvu.FilterData" hidden="1">#REF!</definedName>
    <definedName name="Z_616443B5_6F0D_4082_9223_F71B54305366_.wvu.FilterData" hidden="1">#REF!</definedName>
    <definedName name="Z_631F0312_B404_409F_AF2B_39FB2D25040B_.wvu.FilterData" hidden="1">#REF!</definedName>
    <definedName name="Z_632CF316_8294_4588_87E1_2B69E184A62B_.wvu.FilterData" hidden="1">#REF!</definedName>
    <definedName name="Z_66D1BA5F_F4AE_443C_8583_CE89D6674A73_.wvu.FilterData" hidden="1">#REF!</definedName>
    <definedName name="Z_66DD4806_8039_438A_B1CE_46CC5B464050_.wvu.FilterData" hidden="1">#REF!</definedName>
    <definedName name="Z_67B65FDF_FF67_490E_B8E5_92DC66C9FC9D_.wvu.FilterData" hidden="1">#REF!</definedName>
    <definedName name="Z_68B709DF_9429_4090_9106_386C5F16C4D7_.wvu.FilterData" hidden="1">#REF!</definedName>
    <definedName name="Z_690BC25F_5AA3_4B4B_9507_8C197E768E98_.wvu.FilterData" hidden="1">#REF!</definedName>
    <definedName name="Z_6A66B8A7_491B_4A29_94A1_39F4FDA32C48_.wvu.FilterData" hidden="1">#REF!</definedName>
    <definedName name="Z_6A6F36C8_24A1_4147_9C63_27B7978935DD_.wvu.FilterData" hidden="1">#REF!</definedName>
    <definedName name="Z_6C2050D3_ABE5_4B48_B2A7_DDDD21669987_.wvu.FilterData" hidden="1">#REF!</definedName>
    <definedName name="Z_6CD84A0B_C00D_4BC8_A655_6383CCA4B296_.wvu.FilterData" hidden="1">#REF!</definedName>
    <definedName name="Z_6D5E5F42_E924_48A0_A50F_5BB481AFD1D5_.wvu.FilterData" hidden="1">#REF!</definedName>
    <definedName name="Z_6D789842_F56B_40C4_8907_F36C02855F76_.wvu.FilterData" hidden="1">#REF!</definedName>
    <definedName name="Z_6E345713_0818_471C_B54B_D890B987A0BC_.wvu.FilterData" hidden="1">#REF!</definedName>
    <definedName name="Z_701DEAE4_9CF1_491A_A54B_A6AE3235639D_.wvu.FilterData" hidden="1">#REF!</definedName>
    <definedName name="Z_7319B1DA_C8AE_4D1D_AB4C_B14141921483_.wvu.FilterData" hidden="1">#REF!</definedName>
    <definedName name="Z_75A1B66F_9EE1_4406_8264_C9BF12113183_.wvu.FilterData" hidden="1">#REF!</definedName>
    <definedName name="Z_7651BD63_D75B_41A5_B133_06AE6A84AE8F_.wvu.FilterData" hidden="1">#REF!</definedName>
    <definedName name="Z_767B7DB4_B657_4E6E_831B_84CA933FFCBE_.wvu.FilterData" hidden="1">#REF!</definedName>
    <definedName name="Z_76FA93EF_40A9_4929_9B4A_2213742C1620_.wvu.FilterData" hidden="1">#REF!</definedName>
    <definedName name="Z_78A33412_D032_45F7_9C2D_D4A31DB937D9_.wvu.FilterData" hidden="1">#REF!</definedName>
    <definedName name="Z_796E4E5E_16C3_474D_B1D5_F6D39CD34051_.wvu.FilterData" hidden="1">#REF!</definedName>
    <definedName name="Z_7BFA9C41_C881_48A8_90C2_F93F8E16E599_.wvu.FilterData" hidden="1">#REF!</definedName>
    <definedName name="Z_7BFBCE1E_B6C5_4BAC_AD95_2B50D2ED28AB_.wvu.FilterData" hidden="1">#REF!</definedName>
    <definedName name="Z_7C6FEBF3_4382_4282_BBB0_E0269BEE42DE_.wvu.FilterData" hidden="1">#REF!</definedName>
    <definedName name="Z_7D057642_92FA_4DD6_84C5_B10B17893E1F_.wvu.FilterData" hidden="1">#REF!</definedName>
    <definedName name="Z_7ED5F3D1_B838_492E_9467_7E7CE6B348ED_.wvu.FilterData" hidden="1">#REF!</definedName>
    <definedName name="Z_8090FD3B_94DF_4ACF_9708_D5B9ADEFD29C_.wvu.FilterData" hidden="1">#REF!</definedName>
    <definedName name="Z_8149A5A7_8307_4FA6_B457_A66B8A6DFABD_.wvu.FilterData" hidden="1">#REF!</definedName>
    <definedName name="Z_819A0FD3_B678_47E8_9DFB_641B3990B590_.wvu.FilterData" hidden="1">#REF!</definedName>
    <definedName name="Z_82999604_BD48_4054_BDCB_CB8B074A34A3_.wvu.FilterData" hidden="1">#REF!</definedName>
    <definedName name="Z_8473B3F0_0740_4E9F_9BAE_9113E5077DE8_.wvu.FilterData" hidden="1">#REF!</definedName>
    <definedName name="Z_85A83A94_71B4_44C8_8B5A_68CAA2461241_.wvu.FilterData" hidden="1">#REF!</definedName>
    <definedName name="Z_86E0C273_91AF_11D7_9C1E_0004231B06E7_.wvu.FilterData" hidden="1">#REF!</definedName>
    <definedName name="Z_87F04A72_68BF_497D_8569_47D1A3B89590_.wvu.FilterData" hidden="1">#REF!</definedName>
    <definedName name="Z_893CBEFD_F317_41F0_BA87_CC1860E1F73B_.wvu.FilterData" hidden="1">#REF!</definedName>
    <definedName name="Z_89D83FA2_2F4F_4275_9074_3A6247C2CDA6_.wvu.FilterData" hidden="1">#REF!</definedName>
    <definedName name="Z_8B2E8E84_1A68_4B75_A867_04E8EAC8E685_.wvu.FilterData" hidden="1">#REF!</definedName>
    <definedName name="Z_8B5FADF8_BAFC_44E0_9D1D_DE21657D83CA_.wvu.FilterData" hidden="1">#REF!</definedName>
    <definedName name="Z_8CBA7976_3F45_4926_8F5C_251343B1DCDB_.wvu.FilterData" hidden="1">#REF!</definedName>
    <definedName name="Z_8D213052_8AFD_4E06_B410_DCB431062572_.wvu.FilterData" hidden="1">#REF!</definedName>
    <definedName name="Z_8EA755F4_0515_4AA0_970C_55F473C7FD9B_.wvu.FilterData" hidden="1">#REF!</definedName>
    <definedName name="Z_8F33F4E3_A14E_4DD4_ADD4_B19023A45B10_.wvu.FilterData" hidden="1">#REF!</definedName>
    <definedName name="Z_901BF8EA_CA8A_411C_8FD3_BCB793FCF48A_.wvu.FilterData" hidden="1">#REF!</definedName>
    <definedName name="Z_9066F505_4944_4582_AAF9_B40B49D59413_.wvu.PrintArea" hidden="1">#REF!</definedName>
    <definedName name="Z_9066F505_4944_4582_AAF9_B40B49D59413_.wvu.PrintTitles" hidden="1">#REF!</definedName>
    <definedName name="Z_9066F505_4944_4582_AAF9_B40B49D59413_.wvu.Rows" hidden="1">#REF!</definedName>
    <definedName name="Z_91488B6D_F045_4050_BA1B_41C2E3B3B10A_.wvu.FilterData" hidden="1">#REF!</definedName>
    <definedName name="Z_92919032_3A1D_4E0A_A8D8_FD23494D13A8_.wvu.FilterData" hidden="1">#REF!</definedName>
    <definedName name="Z_9587B38A_B060_410B_8598_4B23623A371C_.wvu.FilterData" hidden="1">#REF!</definedName>
    <definedName name="Z_96EB0306_BB94_45E8_9D0D_4C07A6623010_.wvu.FilterData" hidden="1">#REF!</definedName>
    <definedName name="Z_97666733_8666_4F9D_9588_AF9B6CF9224C_.wvu.FilterData" hidden="1">#REF!</definedName>
    <definedName name="Z_98599B4F_1D05_4040_9183_E1D7A1DDEB9C_.wvu.FilterData" hidden="1">#REF!</definedName>
    <definedName name="Z_98C8BF36_C172_45C3_8EFB_521E6ACCA0D3_.wvu.FilterData" hidden="1">#REF!</definedName>
    <definedName name="Z_9A372634_7C2D_4502_BF44_0C63FD1FB6D2_.wvu.FilterData" hidden="1">#REF!</definedName>
    <definedName name="Z_9A5CC0D4_28E7_4461_BE2E_802002496535_.wvu.FilterData" hidden="1">#REF!</definedName>
    <definedName name="Z_9C86BF25_210A_4B5C_9F2A_856CA801294A_.wvu.FilterData" hidden="1">#REF!</definedName>
    <definedName name="Z_9C8AF864_7E20_415C_848E_C2849E8CBF0C_.wvu.FilterData" hidden="1">#REF!</definedName>
    <definedName name="Z_9E7B61E2_2701_4257_A261_86548A6D7D7C_.wvu.FilterData" hidden="1">#REF!</definedName>
    <definedName name="Z_A0276843_5A14_4A7A_AD1C_583475FE9ED2_.wvu.FilterData" hidden="1">#REF!</definedName>
    <definedName name="Z_A2CB926C_E33A_4E38_9626_682814771DB1_.wvu.FilterData" hidden="1">#REF!</definedName>
    <definedName name="Z_A320C8A7_8D87_4204_85D4_AE25493D1363_.wvu.FilterData" hidden="1">#REF!</definedName>
    <definedName name="Z_A5F4C2AC_640B_40D9_88C9_69B3215DBE96_.wvu.FilterData" hidden="1">#REF!</definedName>
    <definedName name="Z_A686C168_1672_48B1_ADFD_481A1276CC81_.wvu.FilterData" hidden="1">#REF!</definedName>
    <definedName name="Z_A933351F_4BD3_4901_98D5_53D192BD61DC_.wvu.FilterData" hidden="1">#REF!</definedName>
    <definedName name="Z_AA0BD2F5_1513_40DB_B224_CC27CA57E181_.wvu.FilterData" hidden="1">#REF!</definedName>
    <definedName name="Z_AA329A38_94E6_4014_8D54_EFB48C7FA433_.wvu.FilterData" hidden="1">#REF!</definedName>
    <definedName name="Z_AC5679A6_5A24_441C_BBA3_F0C9D8E8E441_.wvu.FilterData" hidden="1">#REF!</definedName>
    <definedName name="Z_ACE528A7_3516_429C_8E77_FA07F86ED2D8_.wvu.Cols" hidden="1">#REF!</definedName>
    <definedName name="Z_AE302359_F16A_4874_8921_3865B0ECD878_.wvu.FilterData" hidden="1">#REF!</definedName>
    <definedName name="Z_AF0BF736_181F_4A59_8FB9_D3BCA8E591F7_.wvu.FilterData" hidden="1">#REF!</definedName>
    <definedName name="Z_AF12B415_1D2E_4088_9C86_BB0173951217_.wvu.FilterData" hidden="1">#REF!</definedName>
    <definedName name="Z_AF537E87_E5DE_4792_8C82_FFA1FC35463A_.wvu.FilterData" hidden="1">#REF!</definedName>
    <definedName name="Z_B1269BAB_A618_45E5_8379_9ECE98405A14_.wvu.FilterData" hidden="1">#REF!</definedName>
    <definedName name="Z_B20EEB3D_E9E6_496E_8678_B417DDC74718_.wvu.FilterData" hidden="1">#REF!</definedName>
    <definedName name="Z_B3255642_8A6B_11D5_916F_005004920FCB_.wvu.PrintTitles" hidden="1">#REF!</definedName>
    <definedName name="Z_B4864B96_AD18_4114_8AFA_A8BAA8915737_.wvu.FilterData" hidden="1">#REF!</definedName>
    <definedName name="Z_B645C4A8_1830_42C7_9DBF_0F519499A6CE_.wvu.FilterData" hidden="1">#REF!</definedName>
    <definedName name="Z_B7475313_60A1_440E_A07B_6B97978B34F2_.wvu.FilterData" hidden="1">#REF!</definedName>
    <definedName name="Z_B891B51F_1CA2_435F_A819_8A494B08D3EE_.wvu.FilterData" hidden="1">#REF!</definedName>
    <definedName name="Z_B8CE2FA5_D3F2_48A0_8603_A3FBA2808CB4_.wvu.FilterData" hidden="1">#REF!</definedName>
    <definedName name="Z_B9837360_94DA_11D7_9C1E_0004231B06E7_.wvu.FilterData" hidden="1">#REF!</definedName>
    <definedName name="Z_BBE1AFA0_C6F6_4019_9D53_075DA4654337_.wvu.FilterData" hidden="1">#REF!</definedName>
    <definedName name="Z_BC0EED6A_3F15_49FF_A48F_B40AC74B528A_.wvu.FilterData" hidden="1">#REF!</definedName>
    <definedName name="Z_BC4212E8_2D54_48E9_A2B4_66875F86EBEF_.wvu.FilterData" hidden="1">#REF!</definedName>
    <definedName name="Z_BE48B5BF_102F_4FB8_8807_DA126440E01B_.wvu.FilterData" hidden="1">#REF!</definedName>
    <definedName name="Z_BE949522_4A35_4352_9A91_0CE0E28D3461_.wvu.FilterData" hidden="1">#REF!</definedName>
    <definedName name="Z_C1310828_8567_4952_A9D3_7183F1221321_.wvu.FilterData" hidden="1">#REF!</definedName>
    <definedName name="Z_C581774C_2FCD_4906_B930_CCB3F9F9A50B_.wvu.FilterData" hidden="1">#REF!</definedName>
    <definedName name="Z_C67C9A44_7556_4756_AC39_E00F137116ED_.wvu.FilterData" hidden="1">#REF!</definedName>
    <definedName name="Z_C908089F_9A5A_11D7_9C1E_0004231B06E7_.wvu.FilterData" hidden="1">#REF!</definedName>
    <definedName name="Z_C942EE3A_8DBF_41D7_ADAF_F43C01F31E23_.wvu.FilterData" hidden="1">#REF!</definedName>
    <definedName name="Z_CB8FB7EE_B771_11D7_9C1E_0004231B06E7_.wvu.FilterData" hidden="1">#REF!</definedName>
    <definedName name="Z_CB8FB7F1_B771_11D7_9C1E_0004231B06E7_.wvu.FilterData" hidden="1">#REF!</definedName>
    <definedName name="Z_CD48E0DF_E307_492A_9CFD_ADF6DE6ECCFB_.wvu.FilterData" hidden="1">#REF!</definedName>
    <definedName name="Z_CDAD3BC7_95B1_4949_91B3_EAB234D2A550_.wvu.FilterData" hidden="1">#REF!</definedName>
    <definedName name="Z_CE1A6073_4007_44EE_88D3_3C79CF746C78_.wvu.FilterData" hidden="1">#REF!</definedName>
    <definedName name="Z_D0500033_B90B_46E5_BD62_60D0DA033A55_.wvu.FilterData" hidden="1">#REF!</definedName>
    <definedName name="Z_D11C04A2_606C_4EF4_9AD3_4865E5EFAE70_.wvu.FilterData" hidden="1">#REF!</definedName>
    <definedName name="Z_D1371C66_ADFD_11D7_9C1E_0004231B06E7_.wvu.FilterData" hidden="1">#REF!</definedName>
    <definedName name="Z_D1371C82_ADFD_11D7_9C1E_0004231B06E7_.wvu.FilterData" hidden="1">#REF!</definedName>
    <definedName name="Z_D1371C98_ADFD_11D7_9C1E_0004231B06E7_.wvu.FilterData" hidden="1">#REF!</definedName>
    <definedName name="Z_D15727E9_9BC2_420E_AC98_E8E9B60BD754_.wvu.FilterData" hidden="1">#REF!</definedName>
    <definedName name="Z_D371D622_5497_46A4_826D_01F2F492E39D_.wvu.FilterData" hidden="1">#REF!</definedName>
    <definedName name="Z_D3FF2053_BD11_4CA8_9648_A06F387C0C79_.wvu.FilterData" hidden="1">#REF!</definedName>
    <definedName name="Z_D4D6DC3A_302F_4BF4_8221_EFB7EA05B30F_.wvu.FilterData" hidden="1">#REF!</definedName>
    <definedName name="Z_D4FF4BA0_F9BE_4CEE_B334_FBD19DA86BF4_.wvu.FilterData" hidden="1">#REF!</definedName>
    <definedName name="Z_D5810466_54E3_455B_B341_3E7B86FB72D3_.wvu.FilterData" hidden="1">#REF!</definedName>
    <definedName name="Z_D60B1DF7_D653_4F01_B5AD_6A66E578C24F_.wvu.FilterData" hidden="1">#REF!</definedName>
    <definedName name="Z_D684BA0E_B94B_4BF7_8F27_4E3A1924425C_.wvu.FilterData" hidden="1">#REF!</definedName>
    <definedName name="Z_D9443332_B48E_4E65_8F23_AC96FB75A5A9_.wvu.FilterData" hidden="1">#REF!</definedName>
    <definedName name="Z_DAA35AF8_874B_4671_A195_994D9700CFB0_.wvu.FilterData" hidden="1">#REF!</definedName>
    <definedName name="Z_DB31579F_8662_40C5_BB19_660F0F7B70E5_.wvu.FilterData" hidden="1">#REF!</definedName>
    <definedName name="Z_DB349C77_BBCF_4BF0_8906_770DC9CEB279_.wvu.FilterData" hidden="1">#REF!</definedName>
    <definedName name="Z_DBA9A16F_C863_43D6_BEF6_4907AD7FF11A_.wvu.FilterData" hidden="1">#REF!</definedName>
    <definedName name="Z_DC39DC03_5BF1_41DE_A26D_8DA774859990_.wvu.FilterData" hidden="1">#REF!</definedName>
    <definedName name="Z_DC4BE57B_E9B6_4823_AAB5_0B4AD0A1C9F8_.wvu.FilterData" hidden="1">#REF!</definedName>
    <definedName name="Z_DD40B456_B833_4D7B_A3C9_47AA2D6A0830_.wvu.FilterData" hidden="1">#REF!</definedName>
    <definedName name="Z_DDC9046D_2716_4CA3_9471_7091058B3C12_.wvu.FilterData" hidden="1">#REF!</definedName>
    <definedName name="Z_DF3B204A_F509_4DA0_BCB7_F89536B5FEBF_.wvu.FilterData" hidden="1">#REF!</definedName>
    <definedName name="Z_E3FFE9E0_6C4F_4FB4_A56E_FBE96871B5C8_.wvu.Cols" hidden="1">#REF!,#REF!</definedName>
    <definedName name="Z_E3FFE9E0_6C4F_4FB4_A56E_FBE96871B5C8_.wvu.FilterData" hidden="1">#REF!</definedName>
    <definedName name="Z_E42D429F_E4E8_41D2_9176_83C726BAF8E3_.wvu.FilterData" hidden="1">#REF!</definedName>
    <definedName name="Z_E491B72F_902A_11D7_9C1E_0004231B06E7_.wvu.FilterData" hidden="1">#REF!</definedName>
    <definedName name="Z_E491B77E_902A_11D7_9C1E_0004231B06E7_.wvu.FilterData" hidden="1">#REF!</definedName>
    <definedName name="Z_E4A534A8_CD89_4423_9F3F_8134353F3CAC_.wvu.FilterData" hidden="1">#REF!</definedName>
    <definedName name="Z_E4E1532E_DC25_47E7_8CAC_8E70342889F1_.wvu.FilterData" hidden="1">#REF!</definedName>
    <definedName name="Z_E74731A0_5CEF_4B97_AFDD_B1DCA3953478_.wvu.FilterData" hidden="1">#REF!</definedName>
    <definedName name="Z_E7582842_0D7F_4174_A223_2AB1DD8C9047_.wvu.FilterData" hidden="1">#REF!</definedName>
    <definedName name="Z_E7E3B215_0D2B_424B_B9A9_091ABF42A9B2_.wvu.FilterData" hidden="1">#REF!</definedName>
    <definedName name="Z_E833D806_B408_4951_8EA0_84873DD98CC6_.wvu.FilterData" hidden="1">#REF!</definedName>
    <definedName name="Z_E84FA520_D8B7_472A_9913_1B62E15D532D_.wvu.FilterData" hidden="1">#REF!</definedName>
    <definedName name="Z_E856A7FB_F0DE_4CE8_85BE_FBD78193AF0B_.wvu.FilterData" hidden="1">#REF!</definedName>
    <definedName name="Z_E8B81FC8_C17A_451A_B505_641DE5886245_.wvu.FilterData" hidden="1">#REF!</definedName>
    <definedName name="Z_EA900FC6_5EC3_4E18_9ED9_37FAC8862A4C_.wvu.FilterData" hidden="1">#REF!</definedName>
    <definedName name="Z_EC12F0CE_807C_4CF2_B52D_1E5945238C05_.wvu.FilterData" hidden="1">#REF!</definedName>
    <definedName name="Z_EC74CDC8_4C91_4C55_BE9F_24DF0A9793FF_.wvu.FilterData" hidden="1">#REF!</definedName>
    <definedName name="Z_ED3E33DB_FBFA_4FDE_929F_AD12074101A3_.wvu.FilterData" hidden="1">#REF!</definedName>
    <definedName name="Z_EE21DFC7_81AA_40DA_B313_9BC83DA41DD6_.wvu.FilterData" hidden="1">#REF!</definedName>
    <definedName name="Z_EE5311D7_3149_40F1_82F5_7EEC6ACB6C85_.wvu.FilterData" hidden="1">#REF!</definedName>
    <definedName name="Z_EEE8CD21_C3A5_4786_B8BE_B9E68F0A5347_.wvu.FilterData" hidden="1">#REF!</definedName>
    <definedName name="Z_F0522591_4E2E_4AD6_B99B_B69551272A68_.wvu.FilterData" hidden="1">#REF!</definedName>
    <definedName name="Z_F1326E0B_5376_4D6E_9BC8_214AA525DE83_.wvu.FilterData" hidden="1">#REF!</definedName>
    <definedName name="Z_F2145668_4090_4220_8C3C_9C4DCC7A01D1_.wvu.Cols" hidden="1">#REF!</definedName>
    <definedName name="Z_F2145668_4090_4220_8C3C_9C4DCC7A01D1_.wvu.FilterData" hidden="1">#REF!</definedName>
    <definedName name="Z_F300E2D5_C458_4E4B_AB71_FF06367EF684_.wvu.FilterData" hidden="1">#REF!</definedName>
    <definedName name="Z_F3F443DB_8EE1_48F9_9BF4_EAF21EDD719F_.wvu.FilterData" hidden="1">#REF!</definedName>
    <definedName name="Z_F6923408_DB58_4A59_8717_D0133A922204_.wvu.FilterData" hidden="1">#REF!</definedName>
    <definedName name="Z_F9CB3A99_6D24_412C_93C4_575819594890_.wvu.FilterData" hidden="1">#REF!</definedName>
    <definedName name="Z_FA40CB26_17FE_4901_96A4_2176E8FA5EEE_.wvu.FilterData" hidden="1">#REF!</definedName>
    <definedName name="Z_FC4D1412_4B52_4393_A184_1BAD70B9C231_.wvu.FilterData" hidden="1">#REF!</definedName>
    <definedName name="Z_FD259A29_AD61_4284_9BC7_5C3B20DD002B_.wvu.FilterData" hidden="1">#REF!</definedName>
    <definedName name="Z_FDFF93A6_D487_497C_8FA1_B8636451E74C_.wvu.FilterData" hidden="1">#REF!</definedName>
    <definedName name="Z_FE37516D_56E4_424C_8DE6_6B2719F76EF4_.wvu.FilterData" hidden="1">#REF!</definedName>
    <definedName name="Z_FEBB3479_FB57_4CDC_BCCD_5D8B83257FC7_.wvu.FilterData" hidden="1">#REF!</definedName>
    <definedName name="zcdçskld" hidden="1">{#N/A,#N/A,FALSE,"Plan1";#N/A,#N/A,FALSE,"Plan2"}</definedName>
    <definedName name="zcsdrfrt" hidden="1">{#N/A,#N/A,FALSE,"Plan1";#N/A,#N/A,FALSE,"Plan2"}</definedName>
    <definedName name="ZDRE" hidden="1">{#N/A,#N/A,FALSE,"Plan1";#N/A,#N/A,FALSE,"Plan2"}</definedName>
    <definedName name="ZEZE">#REF!</definedName>
    <definedName name="ZIN">#REF!</definedName>
    <definedName name="ZINS">#REF!</definedName>
    <definedName name="ZSADF" hidden="1">{#N/A,#N/A,FALSE,"Plan1";#N/A,#N/A,FALSE,"Plan2"}</definedName>
    <definedName name="zsads" hidden="1">{#N/A,#N/A,FALSE,"Plan1";#N/A,#N/A,FALSE,"Plan2"}</definedName>
    <definedName name="ZSDFSETR" hidden="1">#REF!</definedName>
    <definedName name="zsds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ccdf" hidden="1">{#N/A,#N/A,FALSE,"Plan1";#N/A,#N/A,FALSE,"Plan2"}</definedName>
    <definedName name="zxcdsf" hidden="1">#REF!</definedName>
    <definedName name="zxcfdstrrt" hidden="1">{#N/A,#N/A,FALSE,"Plan1";#N/A,#N/A,FALSE,"Plan2"}</definedName>
    <definedName name="zxcx" hidden="1">{#N/A,#N/A,FALSE,"Plan1";#N/A,#N/A,FALSE,"Plan2"}</definedName>
    <definedName name="ZXFCR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HDFRHDF" hidden="1">{#N/A,#N/A,FALSE,"Plan1";#N/A,#N/A,FALSE,"Plan2"}</definedName>
    <definedName name="ZZ">#REF!</definedName>
    <definedName name="zzdftr" hidden="1">{#N/A,#N/A,FALSE,"Plan1";#N/A,#N/A,FALSE,"Plan2"}</definedName>
    <definedName name="zzz">#REF!</definedName>
    <definedName name="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 hidden="1">{"'장비'!$A$3:$M$12"}</definedName>
    <definedName name="가나다" hidden="1">#REF!</definedName>
    <definedName name="검증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조건" hidden="1">#REF!</definedName>
    <definedName name="계약고햔황2" hidden="1">#REF!</definedName>
    <definedName name="계약고현황2" hidden="1">#REF!</definedName>
    <definedName name="고문" hidden="1">{#N/A,#N/A,FALSE,"현장 NCR 분석";#N/A,#N/A,FALSE,"현장품질감사";#N/A,#N/A,FALSE,"현장품질감사"}</definedName>
    <definedName name="고문2" hidden="1">{#N/A,#N/A,FALSE,"현장 NCR 분석";#N/A,#N/A,FALSE,"현장품질감사";#N/A,#N/A,FALSE,"현장품질감사"}</definedName>
    <definedName name="공공공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 hidden="1">{#N/A,#N/A,FALSE,"ENG'G(보호계전기)"}</definedName>
    <definedName name="공급표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ㄴㄴ" hidden="1">#REF!</definedName>
    <definedName name="내역" hidden="1">{#N/A,#N/A,FALSE,"CCTV"}</definedName>
    <definedName name="ㄷㄳ" hidden="1">{"'장비'!$A$3:$M$12"}</definedName>
    <definedName name="ㄷㄷㄷㄷ" hidden="1">{"'장비'!$A$3:$M$12"}</definedName>
    <definedName name="ㄷㅈㅂㄷ" hidden="1">{"'장비'!$A$3:$M$12"}</definedName>
    <definedName name="당초계획" hidden="1">#REF!</definedName>
    <definedName name="도면외주" hidden="1">#REF!</definedName>
    <definedName name="도면용역비" hidden="1">#REF!</definedName>
    <definedName name="ㄹㄹ" hidden="1">{"'장비'!$A$3:$M$12"}</definedName>
    <definedName name="ㄹㄹㄹ" hidden="1">#REF!</definedName>
    <definedName name="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러러러" hidden="1">{#N/A,#N/A,FALSE,"현장 NCR 분석";#N/A,#N/A,FALSE,"현장품질감사";#N/A,#N/A,FALSE,"현장품질감사"}</definedName>
    <definedName name="ㅁ" hidden="1">{#N/A,#N/A,FALSE,"명세표"}</definedName>
    <definedName name="ㅁㄱ해ㅜ5" hidden="1">#REF!</definedName>
    <definedName name="ㅁ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" hidden="1">{#N/A,#N/A,FALSE,"명세표"}</definedName>
    <definedName name="ㅁㅁㅁ" hidden="1">#REF!</definedName>
    <definedName name="ㅁㅁㅁㅁㅁㅁㅁㅁㅁㅁㅁ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머" hidden="1">{#N/A,#N/A,FALSE,"명세표"}</definedName>
    <definedName name="ㅂㅂㅂㅂ" hidden="1">{#N/A,#N/A,FALSE,"명세표"}</definedName>
    <definedName name="ㅂㅂㅂㅂㅂㅂㅂ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 hidden="1">{"'장비'!$A$3:$M$12"}</definedName>
    <definedName name="ㅂㅈㄷ" hidden="1">{"'장비'!$A$3:$M$12"}</definedName>
    <definedName name="ㅂㅈㄷㄷㅂㅈㅈㅂ" hidden="1">{"'장비'!$A$3:$M$12"}</definedName>
    <definedName name="ㅂㅈㄷㅂㅈ" hidden="1">{"'장비'!$A$3:$M$12"}</definedName>
    <definedName name="ㅂㅈㄷㅂㅈㅈㅂㄷ" hidden="1">{"'장비'!$A$3:$M$12"}</definedName>
    <definedName name="ㅂㅈㄷㅈㅂㄷ" hidden="1">{"'장비'!$A$3:$M$12"}</definedName>
    <definedName name="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충" hidden="1">#REF!</definedName>
    <definedName name="보호" hidden="1">{#N/A,#N/A,FALSE,"ENG'G(보호계전기)"}</definedName>
    <definedName name="본공사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대공사" hidden="1">#REF!</definedName>
    <definedName name="부손익" hidden="1">{#N/A,#N/A,FALSE,"현장 NCR 분석";#N/A,#N/A,FALSE,"현장품질감사";#N/A,#N/A,FALSE,"현장품질감사"}</definedName>
    <definedName name="분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ㄱㄱㄷ" hidden="1">{"'장비'!$A$3:$M$12"}</definedName>
    <definedName name="ㅅㅅㅅㅅㅅ" hidden="1">{"'장비'!$A$3:$M$12"}</definedName>
    <definedName name="사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계획수정" hidden="1">#REF!</definedName>
    <definedName name="사업관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부양식2" hidden="1">#REF!</definedName>
    <definedName name="산출" hidden="1">#REF!</definedName>
    <definedName name="새안" hidden="1">{#N/A,#N/A,FALSE,"TABLE"}</definedName>
    <definedName name="석항" hidden="1">{#N/A,#N/A,FALSE,"명세표"}</definedName>
    <definedName name="설계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손익계산서" hidden="1">#REF!</definedName>
    <definedName name="쇼ㅗㅎ로" hidden="1">{"'장비'!$A$3:$M$12"}</definedName>
    <definedName name="수" hidden="1">#REF!</definedName>
    <definedName name="수당" hidden="1">#N/A</definedName>
    <definedName name="신설" hidden="1">{#N/A,#N/A,FALSE,"명세표"}</definedName>
    <definedName name="실적총괄1" hidden="1">#REF!</definedName>
    <definedName name="실총" hidden="1">#REF!</definedName>
    <definedName name="ㅇㄹㄹ" hidden="1">#REF!</definedName>
    <definedName name="ㅇ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ㅇㅇ" hidden="1">#REF!</definedName>
    <definedName name="양식변경1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월" hidden="1">#REF!</definedName>
    <definedName name="이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ㅈ" hidden="1">{#N/A,#N/A,FALSE,"명세표"}</definedName>
    <definedName name="ㅈㅈㅈㅈ" hidden="1">{#N/A,#N/A,FALSE,"명세표"}</definedName>
    <definedName name="자미" hidden="1">{#N/A,#N/A,FALSE,"명세표"}</definedName>
    <definedName name="자운" hidden="1">#REF!</definedName>
    <definedName name="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계장금액" hidden="1">#REF!</definedName>
    <definedName name="전기사양_SAMPL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선조장" hidden="1">#REF!</definedName>
    <definedName name="조직표현장" hidden="1">#REF!</definedName>
    <definedName name="종합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중량비교검토" hidden="1">{#N/A,#N/A,FALSE,"ENG'G(보호계전기)"}</definedName>
    <definedName name="집계" hidden="1">{#N/A,#N/A,FALSE,"명세표"}</definedName>
    <definedName name="철골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ㅋㅁ" hidden="1">{#N/A,#N/A,FALSE,"명세표"}</definedName>
    <definedName name="ㅋㅋㅋ" hidden="1">{#N/A,#N/A,FALSE,"명세표"}</definedName>
    <definedName name="ㅌㅌ" hidden="1">{#N/A,#N/A,FALSE,"명세표"}</definedName>
    <definedName name="토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 hidden="1">{"'장비'!$A$3:$M$12"}</definedName>
    <definedName name="하하하" hidden="1">{#N/A,#N/A,FALSE,"명세표"}</definedName>
    <definedName name="한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호호" hidden="1">{#N/A,#N/A,FALSE,"명세표"}</definedName>
    <definedName name="ㅏㅏㅏ" hidden="1">{#N/A,#N/A,FALSE,"명세표"}</definedName>
    <definedName name="ㅔㅔ" hidden="1">{#N/A,#N/A,FALSE,"명세표"}</definedName>
    <definedName name="ㅔㅔㅔㅔ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홓ㅎ로" hidden="1">{"'장비'!$A$3:$M$12"}</definedName>
    <definedName name="ㅗㅗ" hidden="1">{#N/A,#N/A,FALSE,"명세표"}</definedName>
    <definedName name="ㅗㅗㅗㅗㅗ" hidden="1">{"'장비'!$A$3:$M$12"}</definedName>
    <definedName name="ㅛ" hidden="1">{"'장비'!$A$3:$M$12"}</definedName>
    <definedName name="ㅛㅕㅛㅕㅛ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 hidden="1">{"'장비'!$A$3:$M$12"}</definedName>
    <definedName name="ㅜ" hidden="1">{#N/A,#N/A,FALSE,"명세표"}</definedName>
    <definedName name="ㅠㅠ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ㅡㅡ" hidden="1">{#N/A,#N/A,FALSE,"명세표"}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101" l="1"/>
  <c r="B19" i="95"/>
  <c r="B20" i="78"/>
  <c r="B4" i="95"/>
  <c r="B5" i="95"/>
  <c r="B6" i="95"/>
  <c r="B7" i="95"/>
  <c r="B8" i="95"/>
  <c r="B9" i="95"/>
  <c r="B10" i="95"/>
  <c r="B11" i="95"/>
  <c r="B12" i="95"/>
  <c r="B13" i="95"/>
  <c r="B14" i="95"/>
  <c r="B15" i="95"/>
  <c r="B16" i="95"/>
  <c r="B17" i="95"/>
  <c r="B18" i="95"/>
  <c r="B3" i="95"/>
  <c r="B2" i="95"/>
  <c r="E5" i="101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19" i="101"/>
  <c r="E4" i="101"/>
  <c r="E3" i="101"/>
  <c r="C3" i="101"/>
  <c r="C19" i="101" s="1"/>
  <c r="C6" i="101"/>
  <c r="C7" i="101"/>
  <c r="C8" i="101"/>
  <c r="C9" i="101"/>
  <c r="C10" i="101"/>
  <c r="C11" i="101"/>
  <c r="C12" i="101"/>
  <c r="C13" i="101"/>
  <c r="C14" i="101"/>
  <c r="C15" i="101"/>
  <c r="C16" i="101"/>
  <c r="C17" i="101"/>
  <c r="C18" i="101"/>
  <c r="C5" i="101"/>
  <c r="C4" i="101"/>
  <c r="H3" i="101"/>
  <c r="H4" i="101"/>
  <c r="T4" i="101" s="1"/>
  <c r="H5" i="101"/>
  <c r="T5" i="101" s="1"/>
  <c r="H6" i="101"/>
  <c r="H7" i="101"/>
  <c r="H8" i="101"/>
  <c r="H9" i="101"/>
  <c r="T9" i="101" s="1"/>
  <c r="H10" i="101"/>
  <c r="T10" i="101" s="1"/>
  <c r="H11" i="101"/>
  <c r="H12" i="101"/>
  <c r="T12" i="101" s="1"/>
  <c r="H13" i="101"/>
  <c r="T13" i="101" s="1"/>
  <c r="H14" i="101"/>
  <c r="H15" i="101"/>
  <c r="T15" i="101" s="1"/>
  <c r="H16" i="101"/>
  <c r="H17" i="101"/>
  <c r="T17" i="101" s="1"/>
  <c r="H18" i="101"/>
  <c r="T18" i="101" s="1"/>
  <c r="T8" i="101"/>
  <c r="T7" i="101"/>
  <c r="Z3" i="101"/>
  <c r="F15" i="21"/>
  <c r="G25" i="48"/>
  <c r="G23" i="48"/>
  <c r="D10" i="101" l="1"/>
  <c r="H19" i="101"/>
  <c r="H20" i="101" s="1"/>
  <c r="I13" i="101" s="1"/>
  <c r="E20" i="101"/>
  <c r="E21" i="101" s="1"/>
  <c r="J15" i="101"/>
  <c r="V15" i="101" s="1"/>
  <c r="J12" i="101"/>
  <c r="V12" i="101" s="1"/>
  <c r="J5" i="101"/>
  <c r="V5" i="101" s="1"/>
  <c r="J6" i="101"/>
  <c r="V6" i="101" s="1"/>
  <c r="J18" i="101"/>
  <c r="V18" i="101" s="1"/>
  <c r="T6" i="101"/>
  <c r="J16" i="101"/>
  <c r="V16" i="101" s="1"/>
  <c r="J4" i="101"/>
  <c r="V4" i="101" s="1"/>
  <c r="J14" i="101"/>
  <c r="V14" i="101" s="1"/>
  <c r="J11" i="101"/>
  <c r="V11" i="101" s="1"/>
  <c r="T14" i="101"/>
  <c r="J8" i="101"/>
  <c r="V8" i="101" s="1"/>
  <c r="T11" i="101"/>
  <c r="T3" i="101"/>
  <c r="J13" i="101"/>
  <c r="V13" i="101" s="1"/>
  <c r="T16" i="101"/>
  <c r="J10" i="101"/>
  <c r="V10" i="101" s="1"/>
  <c r="J9" i="101"/>
  <c r="V9" i="101" s="1"/>
  <c r="J3" i="101"/>
  <c r="J7" i="101"/>
  <c r="V7" i="101" s="1"/>
  <c r="J17" i="101"/>
  <c r="V17" i="101" s="1"/>
  <c r="D21" i="100"/>
  <c r="G21" i="100" s="1"/>
  <c r="F20" i="100"/>
  <c r="D20" i="100"/>
  <c r="F17" i="100"/>
  <c r="D17" i="100"/>
  <c r="D19" i="100" s="1"/>
  <c r="G19" i="100" s="1"/>
  <c r="F16" i="100"/>
  <c r="D16" i="100"/>
  <c r="D18" i="100" s="1"/>
  <c r="G18" i="100" s="1"/>
  <c r="J15" i="100"/>
  <c r="F15" i="100"/>
  <c r="D14" i="100"/>
  <c r="G14" i="100" s="1"/>
  <c r="D13" i="100"/>
  <c r="G13" i="100" s="1"/>
  <c r="D12" i="100"/>
  <c r="G12" i="100" s="1"/>
  <c r="D10" i="100"/>
  <c r="D8" i="100" s="1"/>
  <c r="G8" i="100" s="1"/>
  <c r="D9" i="100"/>
  <c r="G9" i="100" s="1"/>
  <c r="D17" i="101" l="1"/>
  <c r="D14" i="101"/>
  <c r="D3" i="101"/>
  <c r="D9" i="101"/>
  <c r="D8" i="101"/>
  <c r="D13" i="101"/>
  <c r="D18" i="101"/>
  <c r="D6" i="101"/>
  <c r="D11" i="101"/>
  <c r="D16" i="101"/>
  <c r="D5" i="101"/>
  <c r="D12" i="101"/>
  <c r="D15" i="101"/>
  <c r="D7" i="101"/>
  <c r="D4" i="101"/>
  <c r="D19" i="101"/>
  <c r="I9" i="101"/>
  <c r="I17" i="101"/>
  <c r="I4" i="101"/>
  <c r="I14" i="101"/>
  <c r="I10" i="101"/>
  <c r="I7" i="101"/>
  <c r="I5" i="101"/>
  <c r="I18" i="101"/>
  <c r="I12" i="101"/>
  <c r="R23" i="101"/>
  <c r="I15" i="101"/>
  <c r="I11" i="101"/>
  <c r="I16" i="101"/>
  <c r="V3" i="101"/>
  <c r="T19" i="101"/>
  <c r="J19" i="101"/>
  <c r="V19" i="101" s="1"/>
  <c r="I19" i="101"/>
  <c r="I8" i="101"/>
  <c r="I6" i="101"/>
  <c r="I3" i="101"/>
  <c r="D11" i="100"/>
  <c r="G11" i="100" s="1"/>
  <c r="G20" i="100"/>
  <c r="G10" i="100"/>
  <c r="G17" i="100"/>
  <c r="G16" i="100"/>
  <c r="J10" i="100"/>
  <c r="D15" i="100"/>
  <c r="G15" i="100" s="1"/>
  <c r="D20" i="101" l="1"/>
  <c r="J20" i="101"/>
  <c r="J21" i="101" s="1"/>
  <c r="I20" i="101"/>
  <c r="G22" i="100"/>
  <c r="G24" i="100" s="1"/>
  <c r="H24" i="100" s="1"/>
  <c r="D8" i="48" l="1"/>
  <c r="G8" i="48" s="1"/>
  <c r="B8" i="48"/>
  <c r="B16" i="58" l="1"/>
  <c r="B17" i="53"/>
  <c r="B15" i="53"/>
  <c r="B16" i="53" s="1"/>
  <c r="G19" i="54"/>
  <c r="F18" i="21"/>
  <c r="N15" i="78" l="1"/>
  <c r="G15" i="53"/>
  <c r="B19" i="54"/>
  <c r="F432" i="86"/>
  <c r="F374" i="86"/>
  <c r="F294" i="86"/>
  <c r="F218" i="86"/>
  <c r="F145" i="86"/>
  <c r="F88" i="86"/>
  <c r="F31" i="86"/>
  <c r="J16" i="48"/>
  <c r="B3" i="78" l="1"/>
  <c r="N3" i="78" s="1"/>
  <c r="B10" i="61" l="1"/>
  <c r="C33" i="61" l="1"/>
  <c r="D33" i="61" s="1"/>
  <c r="D25" i="54" l="1"/>
  <c r="H25" i="54"/>
  <c r="I8" i="62"/>
  <c r="I9" i="62"/>
  <c r="D8" i="62" l="1"/>
  <c r="F8" i="62" s="1"/>
  <c r="B10" i="62"/>
  <c r="D19" i="61"/>
  <c r="G17" i="51"/>
  <c r="B17" i="51"/>
  <c r="F25" i="49"/>
  <c r="F26" i="49"/>
  <c r="G28" i="49"/>
  <c r="B16" i="79" l="1"/>
  <c r="P30" i="80" l="1"/>
  <c r="Q30" i="80"/>
  <c r="E42" i="49"/>
  <c r="B42" i="49"/>
  <c r="C42" i="49"/>
  <c r="C37" i="49"/>
  <c r="C40" i="49"/>
  <c r="B40" i="49"/>
  <c r="B46" i="49"/>
  <c r="B45" i="49"/>
  <c r="B44" i="49"/>
  <c r="B31" i="61" l="1"/>
  <c r="C28" i="61"/>
  <c r="D28" i="61" s="1"/>
  <c r="B15" i="51" l="1"/>
  <c r="K21" i="57"/>
  <c r="F13" i="62" l="1"/>
  <c r="F14" i="62"/>
  <c r="F12" i="62"/>
  <c r="F9" i="62"/>
  <c r="D7" i="62"/>
  <c r="G28" i="56"/>
  <c r="G22" i="56"/>
  <c r="G16" i="56"/>
  <c r="G15" i="56"/>
  <c r="B16" i="56"/>
  <c r="B15" i="56"/>
  <c r="D12" i="75"/>
  <c r="D11" i="75"/>
  <c r="G25" i="57"/>
  <c r="G24" i="57"/>
  <c r="G23" i="57"/>
  <c r="G21" i="57"/>
  <c r="G20" i="57"/>
  <c r="G19" i="57"/>
  <c r="G18" i="57"/>
  <c r="G16" i="57"/>
  <c r="G15" i="57"/>
  <c r="B17" i="52"/>
  <c r="G17" i="52" s="1"/>
  <c r="G16" i="53"/>
  <c r="D35" i="61"/>
  <c r="D29" i="61"/>
  <c r="D27" i="61"/>
  <c r="D21" i="61"/>
  <c r="D18" i="61"/>
  <c r="D20" i="61"/>
  <c r="D17" i="61"/>
  <c r="G15" i="51"/>
  <c r="B18" i="51"/>
  <c r="B27" i="21"/>
  <c r="D24" i="21"/>
  <c r="D8" i="21"/>
  <c r="D26" i="49"/>
  <c r="D25" i="49" l="1"/>
  <c r="G25" i="49" s="1"/>
  <c r="D10" i="62" l="1"/>
  <c r="D15" i="57"/>
  <c r="G18" i="55"/>
  <c r="G17" i="55"/>
  <c r="D17" i="48"/>
  <c r="B16" i="51"/>
  <c r="I18" i="51" s="1"/>
  <c r="D27" i="21" l="1"/>
  <c r="D26" i="21"/>
  <c r="G24" i="21"/>
  <c r="D11" i="21"/>
  <c r="D12" i="21" s="1"/>
  <c r="G18" i="21"/>
  <c r="D32" i="47"/>
  <c r="D25" i="21" l="1"/>
  <c r="G12" i="21"/>
  <c r="D9" i="21"/>
  <c r="D10" i="21" s="1"/>
  <c r="G10" i="21" s="1"/>
  <c r="D13" i="21"/>
  <c r="D14" i="21" s="1"/>
  <c r="G14" i="21" s="1"/>
  <c r="D15" i="21" l="1"/>
  <c r="G15" i="21" l="1"/>
  <c r="D26" i="47"/>
  <c r="D16" i="21"/>
  <c r="G16" i="21" s="1"/>
  <c r="D17" i="21"/>
  <c r="G17" i="21" s="1"/>
  <c r="G19" i="21" l="1"/>
  <c r="C10" i="47"/>
  <c r="B8" i="47"/>
  <c r="B7" i="47"/>
  <c r="B10" i="47" s="1"/>
  <c r="D32" i="60"/>
  <c r="D31" i="60"/>
  <c r="D30" i="60"/>
  <c r="D24" i="60"/>
  <c r="D23" i="60"/>
  <c r="D22" i="60"/>
  <c r="D21" i="60"/>
  <c r="D20" i="60"/>
  <c r="D19" i="60"/>
  <c r="D13" i="60"/>
  <c r="D12" i="60"/>
  <c r="D11" i="60"/>
  <c r="D10" i="60"/>
  <c r="D9" i="60"/>
  <c r="D8" i="60"/>
  <c r="D7" i="60"/>
  <c r="F11" i="74"/>
  <c r="B15" i="57"/>
  <c r="D8" i="47" l="1"/>
  <c r="F8" i="47" s="1"/>
  <c r="B9" i="47"/>
  <c r="D11" i="47" s="1"/>
  <c r="F11" i="47" s="1"/>
  <c r="D21" i="57"/>
  <c r="D24" i="57"/>
  <c r="I19" i="72"/>
  <c r="B25" i="57"/>
  <c r="D25" i="57"/>
  <c r="B24" i="57"/>
  <c r="L33" i="52" l="1"/>
  <c r="L34" i="52"/>
  <c r="L36" i="52"/>
  <c r="J32" i="52"/>
  <c r="L32" i="52" s="1"/>
  <c r="F18" i="48"/>
  <c r="L37" i="52" l="1"/>
  <c r="L39" i="52" s="1"/>
  <c r="C43" i="52" s="1"/>
  <c r="J35" i="52"/>
  <c r="J37" i="52" s="1"/>
  <c r="J39" i="52" s="1"/>
  <c r="D17" i="79" l="1"/>
  <c r="D16" i="79"/>
  <c r="D15" i="79"/>
  <c r="D14" i="79"/>
  <c r="D13" i="79"/>
  <c r="D12" i="79"/>
  <c r="D11" i="79"/>
  <c r="D10" i="79"/>
  <c r="D9" i="79"/>
  <c r="D8" i="79"/>
  <c r="D7" i="79"/>
  <c r="D6" i="79"/>
  <c r="D5" i="79"/>
  <c r="D4" i="79"/>
  <c r="A5" i="79"/>
  <c r="D3" i="79"/>
  <c r="D29" i="49"/>
  <c r="G29" i="49" s="1"/>
  <c r="D27" i="49"/>
  <c r="G27" i="49" s="1"/>
  <c r="D18" i="79" l="1"/>
  <c r="B24" i="95"/>
  <c r="G2" i="95" s="1"/>
  <c r="D2" i="95" l="1"/>
  <c r="E32" i="47" l="1"/>
  <c r="D23" i="47"/>
  <c r="F23" i="47" s="1"/>
  <c r="B17" i="47"/>
  <c r="F17" i="47" s="1"/>
  <c r="D10" i="47"/>
  <c r="F10" i="47" s="1"/>
  <c r="B8" i="61"/>
  <c r="D8" i="61" s="1"/>
  <c r="D9" i="47" l="1"/>
  <c r="F9" i="47" s="1"/>
  <c r="G26" i="49" l="1"/>
  <c r="D17" i="57" l="1"/>
  <c r="G17" i="57" s="1"/>
  <c r="D18" i="57"/>
  <c r="B16" i="57"/>
  <c r="B17" i="57"/>
  <c r="B18" i="57"/>
  <c r="D21" i="48"/>
  <c r="D19" i="48"/>
  <c r="G19" i="48" s="1"/>
  <c r="D18" i="48"/>
  <c r="G18" i="48" s="1"/>
  <c r="D15" i="48"/>
  <c r="G15" i="48" s="1"/>
  <c r="D13" i="48"/>
  <c r="G13" i="48" s="1"/>
  <c r="D14" i="48"/>
  <c r="G14" i="48" s="1"/>
  <c r="D10" i="48"/>
  <c r="F17" i="48"/>
  <c r="G17" i="48" s="1"/>
  <c r="F26" i="21"/>
  <c r="G26" i="21" s="1"/>
  <c r="G10" i="48" l="1"/>
  <c r="G21" i="48"/>
  <c r="D12" i="48"/>
  <c r="D20" i="48"/>
  <c r="G20" i="48" s="1"/>
  <c r="G23" i="58"/>
  <c r="G19" i="58"/>
  <c r="G18" i="58"/>
  <c r="G16" i="58"/>
  <c r="B21" i="58"/>
  <c r="G21" i="58" s="1"/>
  <c r="B20" i="58"/>
  <c r="G20" i="58" s="1"/>
  <c r="B19" i="58"/>
  <c r="G12" i="48" l="1"/>
  <c r="F11" i="62"/>
  <c r="B34" i="61"/>
  <c r="D34" i="61" s="1"/>
  <c r="C36" i="61"/>
  <c r="D36" i="61" s="1"/>
  <c r="G25" i="21"/>
  <c r="F27" i="21"/>
  <c r="G27" i="21" s="1"/>
  <c r="G28" i="21" s="1"/>
  <c r="D39" i="21"/>
  <c r="D35" i="21"/>
  <c r="B17" i="58" l="1"/>
  <c r="G17" i="58" s="1"/>
  <c r="E50" i="93" l="1"/>
  <c r="E36" i="93"/>
  <c r="E35" i="93"/>
  <c r="E34" i="93"/>
  <c r="E37" i="93" s="1"/>
  <c r="E29" i="93"/>
  <c r="E28" i="93"/>
  <c r="E27" i="93"/>
  <c r="E26" i="93"/>
  <c r="E25" i="93"/>
  <c r="E30" i="93" s="1"/>
  <c r="E20" i="93"/>
  <c r="E19" i="93"/>
  <c r="E18" i="93"/>
  <c r="E17" i="93"/>
  <c r="E16" i="93"/>
  <c r="E21" i="93" s="1"/>
  <c r="D42" i="61" l="1"/>
  <c r="B11" i="61" l="1"/>
  <c r="D11" i="61" s="1"/>
  <c r="D10" i="61"/>
  <c r="J12" i="92"/>
  <c r="B9" i="61" s="1"/>
  <c r="D9" i="61" s="1"/>
  <c r="J11" i="92"/>
  <c r="I34" i="86"/>
  <c r="L34" i="86"/>
  <c r="I33" i="86"/>
  <c r="I15" i="86"/>
  <c r="I32" i="86"/>
  <c r="L31" i="86"/>
  <c r="J469" i="92" l="1"/>
  <c r="J33" i="92"/>
  <c r="J32" i="92"/>
  <c r="J31" i="92"/>
  <c r="J30" i="92"/>
  <c r="J29" i="92"/>
  <c r="J28" i="92"/>
  <c r="J27" i="92"/>
  <c r="J26" i="92"/>
  <c r="J25" i="92"/>
  <c r="J24" i="92"/>
  <c r="J21" i="92"/>
  <c r="J23" i="92"/>
  <c r="A16" i="92"/>
  <c r="J18" i="92"/>
  <c r="J20" i="92" l="1"/>
  <c r="J16" i="92"/>
  <c r="J19" i="92"/>
  <c r="J22" i="92"/>
  <c r="J17" i="92"/>
  <c r="D30" i="61"/>
  <c r="B32" i="61" l="1"/>
  <c r="D32" i="61" s="1"/>
  <c r="D31" i="61"/>
  <c r="D17" i="52"/>
  <c r="B2" i="66" l="1"/>
  <c r="B1" i="66"/>
  <c r="B8" i="67"/>
  <c r="B7" i="67"/>
  <c r="H15" i="56"/>
  <c r="H16" i="56"/>
  <c r="D16" i="56"/>
  <c r="I15" i="73"/>
  <c r="F13" i="77"/>
  <c r="F12" i="77"/>
  <c r="G14" i="75"/>
  <c r="G13" i="75"/>
  <c r="G13" i="74"/>
  <c r="G12" i="74"/>
  <c r="G11" i="74"/>
  <c r="I11" i="73"/>
  <c r="I16" i="72"/>
  <c r="I15" i="72"/>
  <c r="I14" i="72"/>
  <c r="I13" i="72"/>
  <c r="I12" i="72"/>
  <c r="I11" i="72"/>
  <c r="D22" i="57"/>
  <c r="G22" i="57" s="1"/>
  <c r="B22" i="57"/>
  <c r="D19" i="57"/>
  <c r="B19" i="57"/>
  <c r="G12" i="75" l="1"/>
  <c r="D22" i="62"/>
  <c r="C22" i="62"/>
  <c r="C21" i="62"/>
  <c r="E21" i="62" l="1"/>
  <c r="F10" i="62"/>
  <c r="E22" i="62"/>
  <c r="F7" i="62"/>
  <c r="R20" i="77"/>
  <c r="J11" i="77" s="1"/>
  <c r="T3" i="78"/>
  <c r="O5" i="52"/>
  <c r="I20" i="77"/>
  <c r="K20" i="77" s="1"/>
  <c r="I19" i="77"/>
  <c r="K19" i="77" s="1"/>
  <c r="I18" i="77"/>
  <c r="K18" i="77" s="1"/>
  <c r="I17" i="77"/>
  <c r="K17" i="77" s="1"/>
  <c r="I16" i="77"/>
  <c r="K16" i="77" s="1"/>
  <c r="I15" i="77"/>
  <c r="K15" i="77" s="1"/>
  <c r="H11" i="77" a="1"/>
  <c r="H11" i="77" s="1"/>
  <c r="F36" i="77"/>
  <c r="D35" i="77"/>
  <c r="F35" i="77" s="1"/>
  <c r="E34" i="77"/>
  <c r="F34" i="77" s="1"/>
  <c r="E25" i="77"/>
  <c r="E33" i="77"/>
  <c r="D29" i="77"/>
  <c r="F29" i="77" s="1"/>
  <c r="E28" i="77"/>
  <c r="F28" i="77" s="1"/>
  <c r="D24" i="77"/>
  <c r="F24" i="77" s="1"/>
  <c r="E23" i="77"/>
  <c r="F23" i="77" s="1"/>
  <c r="D19" i="77"/>
  <c r="F19" i="77" s="1"/>
  <c r="E20" i="77"/>
  <c r="E15" i="77"/>
  <c r="F15" i="62" l="1"/>
  <c r="I12" i="77"/>
  <c r="K12" i="77" l="1"/>
  <c r="F15" i="77"/>
  <c r="E11" i="77"/>
  <c r="F11" i="77" s="1"/>
  <c r="I11" i="77" s="1"/>
  <c r="E18" i="77"/>
  <c r="F18" i="77" s="1"/>
  <c r="F14" i="77"/>
  <c r="I13" i="77" s="1"/>
  <c r="F16" i="77"/>
  <c r="I14" i="77" s="1"/>
  <c r="K14" i="77" s="1"/>
  <c r="F17" i="77"/>
  <c r="F20" i="77"/>
  <c r="F21" i="77"/>
  <c r="F22" i="77"/>
  <c r="F25" i="77"/>
  <c r="F26" i="77"/>
  <c r="F27" i="77"/>
  <c r="F30" i="77"/>
  <c r="F31" i="77"/>
  <c r="F32" i="77"/>
  <c r="F33" i="77"/>
  <c r="F37" i="77"/>
  <c r="F38" i="77"/>
  <c r="F39" i="77"/>
  <c r="F40" i="77"/>
  <c r="F41" i="77"/>
  <c r="F42" i="77"/>
  <c r="F43" i="77"/>
  <c r="F44" i="77"/>
  <c r="F45" i="77"/>
  <c r="F46" i="77"/>
  <c r="F47" i="77"/>
  <c r="F48" i="77"/>
  <c r="F49" i="77"/>
  <c r="F50" i="77"/>
  <c r="F51" i="77"/>
  <c r="F52" i="77"/>
  <c r="F53" i="77"/>
  <c r="F54" i="77"/>
  <c r="F55" i="77"/>
  <c r="F56" i="77"/>
  <c r="F57" i="77"/>
  <c r="F58" i="77"/>
  <c r="F59" i="77"/>
  <c r="F60" i="77"/>
  <c r="F61" i="77"/>
  <c r="F62" i="77"/>
  <c r="F63" i="77"/>
  <c r="F64" i="77"/>
  <c r="F65" i="77"/>
  <c r="F66" i="77"/>
  <c r="F67" i="77"/>
  <c r="F68" i="77"/>
  <c r="F69" i="77"/>
  <c r="F70" i="77"/>
  <c r="F71" i="77"/>
  <c r="F72" i="77"/>
  <c r="F73" i="77"/>
  <c r="F74" i="77"/>
  <c r="F75" i="77"/>
  <c r="F76" i="77"/>
  <c r="F77" i="77"/>
  <c r="F78" i="77"/>
  <c r="F79" i="77"/>
  <c r="F80" i="77"/>
  <c r="F81" i="77"/>
  <c r="F82" i="77"/>
  <c r="F83" i="77"/>
  <c r="F84" i="77"/>
  <c r="F85" i="77"/>
  <c r="F86" i="77"/>
  <c r="F87" i="77"/>
  <c r="F88" i="77"/>
  <c r="F89" i="77"/>
  <c r="F90" i="77"/>
  <c r="F91" i="77"/>
  <c r="F92" i="77"/>
  <c r="F93" i="77"/>
  <c r="F94" i="77"/>
  <c r="F95" i="77"/>
  <c r="F96" i="77"/>
  <c r="F97" i="77"/>
  <c r="F98" i="77"/>
  <c r="F99" i="77"/>
  <c r="F100" i="77"/>
  <c r="F101" i="77"/>
  <c r="F102" i="77"/>
  <c r="F103" i="77"/>
  <c r="F104" i="77"/>
  <c r="F105" i="77"/>
  <c r="F106" i="77"/>
  <c r="F107" i="77"/>
  <c r="F108" i="77"/>
  <c r="F109" i="77"/>
  <c r="F110" i="77"/>
  <c r="F111" i="77"/>
  <c r="F112" i="77"/>
  <c r="F113" i="77"/>
  <c r="F114" i="77"/>
  <c r="F115" i="77"/>
  <c r="F116" i="77"/>
  <c r="F117" i="77"/>
  <c r="F118" i="77"/>
  <c r="F119" i="77"/>
  <c r="F120" i="77"/>
  <c r="F121" i="77"/>
  <c r="F122" i="77"/>
  <c r="F123" i="77"/>
  <c r="F124" i="77"/>
  <c r="F125" i="77"/>
  <c r="F126" i="77"/>
  <c r="F127" i="77"/>
  <c r="F128" i="77"/>
  <c r="F129" i="77"/>
  <c r="F130" i="77"/>
  <c r="F131" i="77"/>
  <c r="F132" i="77"/>
  <c r="F133" i="77"/>
  <c r="F134" i="77"/>
  <c r="F135" i="77"/>
  <c r="F136" i="77"/>
  <c r="F137" i="77"/>
  <c r="F138" i="77"/>
  <c r="F139" i="77"/>
  <c r="F140" i="77"/>
  <c r="F141" i="77"/>
  <c r="F142" i="77"/>
  <c r="F143" i="77"/>
  <c r="F144" i="77"/>
  <c r="F145" i="77"/>
  <c r="F146" i="77"/>
  <c r="F147" i="77"/>
  <c r="F148" i="77"/>
  <c r="F149" i="77"/>
  <c r="F150" i="77"/>
  <c r="F151" i="77"/>
  <c r="F152" i="77"/>
  <c r="F153" i="77"/>
  <c r="F154" i="77"/>
  <c r="F155" i="77"/>
  <c r="F156" i="77"/>
  <c r="F157" i="77"/>
  <c r="F158" i="77"/>
  <c r="F159" i="77"/>
  <c r="F160" i="77"/>
  <c r="F161" i="77"/>
  <c r="F162" i="77"/>
  <c r="F163" i="77"/>
  <c r="F164" i="77"/>
  <c r="F165" i="77"/>
  <c r="F166" i="77"/>
  <c r="F167" i="77"/>
  <c r="F168" i="77"/>
  <c r="F169" i="77"/>
  <c r="F170" i="77"/>
  <c r="F171" i="77"/>
  <c r="F172" i="77"/>
  <c r="F173" i="77"/>
  <c r="F174" i="77"/>
  <c r="F175" i="77"/>
  <c r="F176" i="77"/>
  <c r="F177" i="77"/>
  <c r="F178" i="77"/>
  <c r="F179" i="77"/>
  <c r="F180" i="77"/>
  <c r="F181" i="77"/>
  <c r="F182" i="77"/>
  <c r="F183" i="77"/>
  <c r="F184" i="77"/>
  <c r="F185" i="77"/>
  <c r="F186" i="77"/>
  <c r="F187" i="77"/>
  <c r="F188" i="77"/>
  <c r="F189" i="77"/>
  <c r="F190" i="77"/>
  <c r="F191" i="77"/>
  <c r="F192" i="77"/>
  <c r="F193" i="77"/>
  <c r="F194" i="77"/>
  <c r="F195" i="77"/>
  <c r="F196" i="77"/>
  <c r="F197" i="77"/>
  <c r="F198" i="77"/>
  <c r="F199" i="77"/>
  <c r="F200" i="77"/>
  <c r="F201" i="77"/>
  <c r="F202" i="77"/>
  <c r="F203" i="77"/>
  <c r="F204" i="77"/>
  <c r="F205" i="77"/>
  <c r="F206" i="77"/>
  <c r="F207" i="77"/>
  <c r="F208" i="77"/>
  <c r="F209" i="77"/>
  <c r="F210" i="77"/>
  <c r="F211" i="77"/>
  <c r="F212" i="77"/>
  <c r="F213" i="77"/>
  <c r="F214" i="77"/>
  <c r="F215" i="77"/>
  <c r="F216" i="77"/>
  <c r="F217" i="77"/>
  <c r="F218" i="77"/>
  <c r="F219" i="77"/>
  <c r="F220" i="77"/>
  <c r="F221" i="77"/>
  <c r="F222" i="77"/>
  <c r="F223" i="77"/>
  <c r="F224" i="77"/>
  <c r="K13" i="77" l="1"/>
  <c r="B17" i="78" s="1"/>
  <c r="N17" i="78" s="1"/>
  <c r="B28" i="56"/>
  <c r="G17" i="56"/>
  <c r="G11" i="75"/>
  <c r="B21" i="57"/>
  <c r="K11" i="77"/>
  <c r="G16" i="72" l="1"/>
  <c r="B2" i="77" l="1"/>
  <c r="B1" i="77"/>
  <c r="G15" i="74" l="1"/>
  <c r="G14" i="74"/>
  <c r="I14" i="73"/>
  <c r="I17" i="72"/>
  <c r="I18" i="72"/>
  <c r="H11" i="72"/>
  <c r="H13" i="72"/>
  <c r="H15" i="72"/>
  <c r="H14" i="72"/>
  <c r="H12" i="72"/>
  <c r="I11" i="75" l="1" a="1"/>
  <c r="I11" i="75" s="1"/>
  <c r="G17" i="75"/>
  <c r="G16" i="75"/>
  <c r="G15" i="75"/>
  <c r="B2" i="75"/>
  <c r="B1" i="75"/>
  <c r="D12" i="74"/>
  <c r="I11" i="74" a="1"/>
  <c r="I11" i="74" s="1"/>
  <c r="K11" i="72" a="1"/>
  <c r="K11" i="72" s="1"/>
  <c r="F14" i="72"/>
  <c r="F11" i="72"/>
  <c r="K11" i="73" a="1"/>
  <c r="K11" i="73" s="1"/>
  <c r="B2" i="72"/>
  <c r="B1" i="72"/>
  <c r="B2" i="74"/>
  <c r="B1" i="74"/>
  <c r="B2" i="73"/>
  <c r="B1" i="73"/>
  <c r="J14" i="75" l="1"/>
  <c r="J12" i="75"/>
  <c r="J13" i="75"/>
  <c r="L16" i="72"/>
  <c r="J14" i="74"/>
  <c r="J12" i="74"/>
  <c r="J13" i="74"/>
  <c r="G16" i="51" l="1"/>
  <c r="G18" i="51"/>
  <c r="C36" i="52"/>
  <c r="C37" i="52" s="1"/>
  <c r="E33" i="52"/>
  <c r="E35" i="52" s="1"/>
  <c r="B20" i="51" l="1"/>
  <c r="C39" i="52"/>
  <c r="D43" i="52" s="1"/>
  <c r="D19" i="52" s="1"/>
  <c r="G19" i="52" s="1"/>
  <c r="B32" i="52"/>
  <c r="G20" i="51" l="1"/>
  <c r="B21" i="51"/>
  <c r="G21" i="51" s="1"/>
  <c r="B35" i="52"/>
  <c r="B37" i="52" s="1"/>
  <c r="B39" i="52" s="1"/>
  <c r="B43" i="52" s="1"/>
  <c r="B8" i="52"/>
  <c r="B7" i="52"/>
  <c r="B8" i="53"/>
  <c r="B7" i="53"/>
  <c r="B8" i="56"/>
  <c r="B7" i="56"/>
  <c r="B8" i="57"/>
  <c r="B7" i="57"/>
  <c r="B8" i="58"/>
  <c r="B7" i="58"/>
  <c r="Q11" i="88"/>
  <c r="Q10" i="88"/>
  <c r="Q9" i="88"/>
  <c r="K163" i="91"/>
  <c r="K160" i="91"/>
  <c r="K162" i="91"/>
  <c r="K170" i="91"/>
  <c r="A17" i="86" l="1"/>
  <c r="A16" i="86"/>
  <c r="I473" i="89" l="1"/>
  <c r="I472" i="89"/>
  <c r="I471" i="89"/>
  <c r="F470" i="89"/>
  <c r="I470" i="89" s="1"/>
  <c r="I469" i="89"/>
  <c r="I468" i="89"/>
  <c r="I467" i="89"/>
  <c r="I466" i="89"/>
  <c r="I465" i="89"/>
  <c r="I464" i="89"/>
  <c r="I463" i="89"/>
  <c r="I462" i="89"/>
  <c r="I461" i="89"/>
  <c r="I460" i="89"/>
  <c r="I459" i="89"/>
  <c r="I458" i="89"/>
  <c r="I457" i="89"/>
  <c r="I456" i="89"/>
  <c r="I455" i="89"/>
  <c r="I454" i="89"/>
  <c r="I453" i="89"/>
  <c r="I452" i="89"/>
  <c r="I451" i="89"/>
  <c r="I450" i="89"/>
  <c r="I449" i="89"/>
  <c r="I448" i="89"/>
  <c r="I447" i="89"/>
  <c r="I446" i="89"/>
  <c r="I445" i="89"/>
  <c r="I444" i="89"/>
  <c r="I443" i="89"/>
  <c r="I442" i="89"/>
  <c r="I441" i="89"/>
  <c r="I440" i="89"/>
  <c r="I439" i="89"/>
  <c r="I438" i="89"/>
  <c r="I437" i="89"/>
  <c r="I436" i="89"/>
  <c r="I435" i="89"/>
  <c r="I434" i="89"/>
  <c r="I433" i="89"/>
  <c r="I432" i="89"/>
  <c r="I431" i="89"/>
  <c r="I430" i="89"/>
  <c r="I429" i="89"/>
  <c r="I428" i="89"/>
  <c r="I427" i="89"/>
  <c r="I426" i="89"/>
  <c r="I425" i="89"/>
  <c r="I424" i="89"/>
  <c r="I423" i="89"/>
  <c r="I422" i="89"/>
  <c r="I421" i="89"/>
  <c r="I420" i="89"/>
  <c r="I419" i="89"/>
  <c r="I418" i="89"/>
  <c r="I417" i="89"/>
  <c r="I416" i="89"/>
  <c r="I415" i="89"/>
  <c r="I414" i="89"/>
  <c r="I413" i="89"/>
  <c r="I412" i="89"/>
  <c r="I411" i="89"/>
  <c r="I410" i="89"/>
  <c r="I409" i="89"/>
  <c r="I408" i="89"/>
  <c r="I407" i="89"/>
  <c r="I406" i="89"/>
  <c r="I405" i="89"/>
  <c r="I404" i="89"/>
  <c r="I403" i="89"/>
  <c r="I402" i="89"/>
  <c r="I401" i="89"/>
  <c r="I400" i="89"/>
  <c r="I399" i="89"/>
  <c r="I398" i="89"/>
  <c r="I397" i="89"/>
  <c r="I396" i="89"/>
  <c r="I395" i="89"/>
  <c r="I394" i="89"/>
  <c r="I393" i="89"/>
  <c r="I392" i="89"/>
  <c r="I391" i="89"/>
  <c r="I390" i="89"/>
  <c r="I389" i="89"/>
  <c r="I388" i="89"/>
  <c r="I387" i="89"/>
  <c r="I386" i="89"/>
  <c r="I385" i="89"/>
  <c r="I384" i="89"/>
  <c r="I383" i="89"/>
  <c r="I382" i="89"/>
  <c r="I381" i="89"/>
  <c r="I380" i="89"/>
  <c r="I379" i="89"/>
  <c r="I378" i="89"/>
  <c r="I377" i="89"/>
  <c r="I376" i="89"/>
  <c r="I375" i="89"/>
  <c r="I374" i="89"/>
  <c r="I373" i="89"/>
  <c r="I372" i="89"/>
  <c r="I371" i="89"/>
  <c r="I370" i="89"/>
  <c r="I369" i="89"/>
  <c r="I368" i="89"/>
  <c r="I367" i="89"/>
  <c r="I366" i="89"/>
  <c r="I365" i="89"/>
  <c r="I364" i="89"/>
  <c r="I363" i="89"/>
  <c r="I362" i="89"/>
  <c r="I361" i="89"/>
  <c r="I360" i="89"/>
  <c r="I359" i="89"/>
  <c r="I358" i="89"/>
  <c r="I357" i="89"/>
  <c r="I356" i="89"/>
  <c r="I355" i="89"/>
  <c r="I354" i="89"/>
  <c r="I353" i="89"/>
  <c r="I352" i="89"/>
  <c r="I351" i="89"/>
  <c r="I350" i="89"/>
  <c r="I349" i="89"/>
  <c r="I348" i="89"/>
  <c r="I347" i="89"/>
  <c r="I346" i="89"/>
  <c r="I345" i="89"/>
  <c r="I344" i="89"/>
  <c r="I343" i="89"/>
  <c r="I342" i="89"/>
  <c r="I341" i="89"/>
  <c r="I340" i="89"/>
  <c r="I339" i="89"/>
  <c r="I338" i="89"/>
  <c r="I337" i="89"/>
  <c r="I336" i="89"/>
  <c r="I335" i="89"/>
  <c r="I334" i="89"/>
  <c r="I333" i="89"/>
  <c r="I332" i="89"/>
  <c r="I331" i="89"/>
  <c r="I330" i="89"/>
  <c r="I329" i="89"/>
  <c r="I328" i="89"/>
  <c r="I327" i="89"/>
  <c r="I326" i="89"/>
  <c r="I325" i="89"/>
  <c r="I324" i="89"/>
  <c r="I323" i="89"/>
  <c r="I322" i="89"/>
  <c r="I321" i="89"/>
  <c r="I320" i="89"/>
  <c r="I319" i="89"/>
  <c r="I318" i="89"/>
  <c r="I317" i="89"/>
  <c r="I316" i="89"/>
  <c r="I315" i="89"/>
  <c r="I314" i="89"/>
  <c r="I313" i="89"/>
  <c r="I312" i="89"/>
  <c r="I311" i="89"/>
  <c r="I310" i="89"/>
  <c r="I309" i="89"/>
  <c r="I308" i="89"/>
  <c r="I307" i="89"/>
  <c r="I306" i="89"/>
  <c r="I305" i="89"/>
  <c r="I304" i="89"/>
  <c r="I303" i="89"/>
  <c r="I302" i="89"/>
  <c r="I301" i="89"/>
  <c r="I300" i="89"/>
  <c r="I299" i="89"/>
  <c r="I298" i="89"/>
  <c r="I297" i="89"/>
  <c r="I296" i="89"/>
  <c r="I295" i="89"/>
  <c r="I294" i="89"/>
  <c r="I293" i="89"/>
  <c r="I292" i="89"/>
  <c r="I291" i="89"/>
  <c r="I290" i="89"/>
  <c r="I289" i="89"/>
  <c r="I288" i="89"/>
  <c r="I287" i="89"/>
  <c r="I286" i="89"/>
  <c r="I285" i="89"/>
  <c r="I284" i="89"/>
  <c r="I283" i="89"/>
  <c r="I282" i="89"/>
  <c r="I281" i="89"/>
  <c r="I280" i="89"/>
  <c r="I279" i="89"/>
  <c r="I278" i="89"/>
  <c r="I277" i="89"/>
  <c r="I276" i="89"/>
  <c r="I275" i="89"/>
  <c r="I274" i="89"/>
  <c r="I273" i="89"/>
  <c r="I272" i="89"/>
  <c r="I271" i="89"/>
  <c r="I270" i="89"/>
  <c r="I269" i="89"/>
  <c r="I268" i="89"/>
  <c r="I267" i="89"/>
  <c r="I266" i="89"/>
  <c r="I265" i="89"/>
  <c r="I264" i="89"/>
  <c r="I263" i="89"/>
  <c r="I262" i="89"/>
  <c r="I261" i="89"/>
  <c r="I260" i="89"/>
  <c r="I259" i="89"/>
  <c r="I258" i="89"/>
  <c r="I257" i="89"/>
  <c r="I256" i="89"/>
  <c r="I255" i="89"/>
  <c r="I254" i="89"/>
  <c r="I253" i="89"/>
  <c r="I252" i="89"/>
  <c r="I251" i="89"/>
  <c r="I250" i="89"/>
  <c r="I249" i="89"/>
  <c r="I248" i="89"/>
  <c r="I247" i="89"/>
  <c r="I246" i="89"/>
  <c r="I245" i="89"/>
  <c r="I244" i="89"/>
  <c r="I243" i="89"/>
  <c r="I242" i="89"/>
  <c r="I241" i="89"/>
  <c r="I240" i="89"/>
  <c r="I239" i="89"/>
  <c r="I238" i="89"/>
  <c r="I237" i="89"/>
  <c r="I236" i="89"/>
  <c r="I235" i="89"/>
  <c r="I234" i="89"/>
  <c r="I233" i="89"/>
  <c r="I232" i="89"/>
  <c r="I231" i="89"/>
  <c r="I230" i="89"/>
  <c r="I229" i="89"/>
  <c r="I228" i="89"/>
  <c r="I227" i="89"/>
  <c r="I226" i="89"/>
  <c r="I225" i="89"/>
  <c r="I224" i="89"/>
  <c r="I223" i="89"/>
  <c r="I222" i="89"/>
  <c r="I221" i="89"/>
  <c r="I220" i="89"/>
  <c r="I219" i="89"/>
  <c r="I218" i="89"/>
  <c r="I217" i="89"/>
  <c r="I216" i="89"/>
  <c r="I215" i="89"/>
  <c r="I214" i="89"/>
  <c r="I213" i="89"/>
  <c r="I212" i="89"/>
  <c r="I211" i="89"/>
  <c r="I210" i="89"/>
  <c r="I209" i="89"/>
  <c r="I208" i="89"/>
  <c r="I207" i="89"/>
  <c r="I206" i="89"/>
  <c r="I205" i="89"/>
  <c r="I204" i="89"/>
  <c r="I203" i="89"/>
  <c r="I202" i="89"/>
  <c r="I201" i="89"/>
  <c r="I200" i="89"/>
  <c r="I199" i="89"/>
  <c r="I198" i="89"/>
  <c r="I197" i="89"/>
  <c r="I196" i="89"/>
  <c r="I195" i="89"/>
  <c r="I194" i="89"/>
  <c r="I193" i="89"/>
  <c r="I192" i="89"/>
  <c r="I191" i="89"/>
  <c r="I190" i="89"/>
  <c r="I189" i="89"/>
  <c r="I188" i="89"/>
  <c r="I187" i="89"/>
  <c r="I186" i="89"/>
  <c r="I185" i="89"/>
  <c r="I184" i="89"/>
  <c r="I183" i="89"/>
  <c r="I182" i="89"/>
  <c r="I181" i="89"/>
  <c r="I180" i="89"/>
  <c r="I179" i="89"/>
  <c r="I178" i="89"/>
  <c r="I177" i="89"/>
  <c r="I176" i="89"/>
  <c r="I175" i="89"/>
  <c r="I174" i="89"/>
  <c r="I173" i="89"/>
  <c r="I172" i="89"/>
  <c r="I171" i="89"/>
  <c r="I170" i="89"/>
  <c r="I169" i="89"/>
  <c r="I168" i="89"/>
  <c r="I167" i="89"/>
  <c r="I166" i="89"/>
  <c r="I165" i="89"/>
  <c r="I164" i="89"/>
  <c r="I163" i="89"/>
  <c r="I162" i="89"/>
  <c r="I161" i="89"/>
  <c r="I160" i="89"/>
  <c r="I159" i="89"/>
  <c r="I158" i="89"/>
  <c r="I157" i="89"/>
  <c r="I156" i="89"/>
  <c r="I155" i="89"/>
  <c r="I154" i="89"/>
  <c r="I153" i="89"/>
  <c r="I152" i="89"/>
  <c r="I151" i="89"/>
  <c r="I150" i="89"/>
  <c r="I149" i="89"/>
  <c r="I148" i="89"/>
  <c r="I147" i="89"/>
  <c r="I146" i="89"/>
  <c r="I145" i="89"/>
  <c r="I144" i="89"/>
  <c r="I143" i="89"/>
  <c r="I142" i="89"/>
  <c r="I141" i="89"/>
  <c r="I140" i="89"/>
  <c r="I139" i="89"/>
  <c r="I138" i="89"/>
  <c r="I137" i="89"/>
  <c r="I136" i="89"/>
  <c r="I135" i="89"/>
  <c r="I134" i="89"/>
  <c r="I133" i="89"/>
  <c r="I132" i="89"/>
  <c r="I131" i="89"/>
  <c r="I130" i="89"/>
  <c r="I129" i="89"/>
  <c r="I128" i="89"/>
  <c r="I127" i="89"/>
  <c r="I126" i="89"/>
  <c r="I125" i="89"/>
  <c r="I124" i="89"/>
  <c r="I123" i="89"/>
  <c r="I122" i="89"/>
  <c r="I121" i="89"/>
  <c r="I120" i="89"/>
  <c r="I119" i="89"/>
  <c r="I118" i="89"/>
  <c r="I117" i="89"/>
  <c r="I116" i="89"/>
  <c r="I115" i="89"/>
  <c r="I114" i="89"/>
  <c r="I113" i="89"/>
  <c r="I112" i="89"/>
  <c r="I111" i="89"/>
  <c r="I110" i="89"/>
  <c r="I109" i="89"/>
  <c r="I108" i="89"/>
  <c r="I107" i="89"/>
  <c r="I106" i="89"/>
  <c r="I105" i="89"/>
  <c r="I104" i="89"/>
  <c r="I103" i="89"/>
  <c r="I102" i="89"/>
  <c r="I101" i="89"/>
  <c r="I100" i="89"/>
  <c r="I99" i="89"/>
  <c r="I98" i="89"/>
  <c r="I97" i="89"/>
  <c r="I96" i="89"/>
  <c r="I95" i="89"/>
  <c r="I94" i="89"/>
  <c r="I93" i="89"/>
  <c r="I92" i="89"/>
  <c r="I91" i="89"/>
  <c r="I90" i="89"/>
  <c r="I89" i="89"/>
  <c r="I88" i="89"/>
  <c r="I87" i="89"/>
  <c r="I86" i="89"/>
  <c r="I85" i="89"/>
  <c r="I84" i="89"/>
  <c r="I83" i="89"/>
  <c r="I82" i="89"/>
  <c r="I81" i="89"/>
  <c r="I80" i="89"/>
  <c r="I79" i="89"/>
  <c r="I78" i="89"/>
  <c r="I77" i="89"/>
  <c r="I76" i="89"/>
  <c r="I75" i="89"/>
  <c r="I74" i="89"/>
  <c r="I73" i="89"/>
  <c r="I72" i="89"/>
  <c r="I71" i="89"/>
  <c r="I70" i="89"/>
  <c r="I69" i="89"/>
  <c r="I68" i="89"/>
  <c r="I67" i="89"/>
  <c r="I66" i="89"/>
  <c r="I65" i="89"/>
  <c r="I64" i="89"/>
  <c r="I63" i="89"/>
  <c r="I62" i="89"/>
  <c r="I61" i="89"/>
  <c r="I60" i="89"/>
  <c r="I59" i="89"/>
  <c r="I58" i="89"/>
  <c r="I57" i="89"/>
  <c r="I56" i="89"/>
  <c r="I55" i="89"/>
  <c r="I54" i="89"/>
  <c r="I53" i="89"/>
  <c r="I52" i="89"/>
  <c r="I51" i="89"/>
  <c r="I50" i="89"/>
  <c r="I49" i="89"/>
  <c r="I48" i="89"/>
  <c r="I47" i="89"/>
  <c r="I46" i="89"/>
  <c r="I45" i="89"/>
  <c r="I44" i="89"/>
  <c r="I43" i="89"/>
  <c r="I42" i="89"/>
  <c r="I41" i="89"/>
  <c r="I40" i="89"/>
  <c r="I39" i="89"/>
  <c r="I38" i="89"/>
  <c r="I37" i="89"/>
  <c r="I36" i="89"/>
  <c r="I35" i="89"/>
  <c r="I34" i="89"/>
  <c r="I33" i="89"/>
  <c r="I32" i="89"/>
  <c r="I31" i="89"/>
  <c r="I30" i="89"/>
  <c r="I29" i="89"/>
  <c r="I28" i="89"/>
  <c r="I27" i="89"/>
  <c r="I26" i="89"/>
  <c r="I25" i="89"/>
  <c r="I24" i="89"/>
  <c r="I23" i="89"/>
  <c r="I22" i="89"/>
  <c r="I21" i="89"/>
  <c r="I20" i="89"/>
  <c r="I19" i="89"/>
  <c r="I18" i="89"/>
  <c r="I17" i="89"/>
  <c r="I16" i="89"/>
  <c r="I15" i="89"/>
  <c r="I14" i="89"/>
  <c r="I13" i="89"/>
  <c r="I12" i="89"/>
  <c r="I11" i="89"/>
  <c r="D47" i="54"/>
  <c r="D48" i="54"/>
  <c r="G29" i="54"/>
  <c r="D22" i="54"/>
  <c r="B27" i="54"/>
  <c r="B18" i="52"/>
  <c r="G18" i="52" s="1"/>
  <c r="G24" i="52" s="1"/>
  <c r="J467" i="69"/>
  <c r="J455" i="69"/>
  <c r="J449" i="69"/>
  <c r="J434" i="69"/>
  <c r="J427" i="69"/>
  <c r="J403" i="69"/>
  <c r="J388" i="69"/>
  <c r="J370" i="69"/>
  <c r="J361" i="69"/>
  <c r="J349" i="69"/>
  <c r="J343" i="69"/>
  <c r="J328" i="69"/>
  <c r="J322" i="69"/>
  <c r="J310" i="69"/>
  <c r="J304" i="69"/>
  <c r="J289" i="69"/>
  <c r="J281" i="69"/>
  <c r="J269" i="69"/>
  <c r="J250" i="69"/>
  <c r="J235" i="69"/>
  <c r="J218" i="69"/>
  <c r="J196" i="69"/>
  <c r="J178" i="69"/>
  <c r="J163" i="69"/>
  <c r="J145" i="69"/>
  <c r="J123" i="69"/>
  <c r="J111" i="69"/>
  <c r="J96" i="69"/>
  <c r="J89" i="69"/>
  <c r="J71" i="69"/>
  <c r="J56" i="69"/>
  <c r="J37" i="69"/>
  <c r="J19" i="69"/>
  <c r="I477" i="86"/>
  <c r="I476" i="86"/>
  <c r="I475" i="86"/>
  <c r="F474" i="86"/>
  <c r="I474" i="86" s="1"/>
  <c r="I472" i="86"/>
  <c r="I376" i="86"/>
  <c r="F17" i="46"/>
  <c r="E17" i="46"/>
  <c r="K44" i="46"/>
  <c r="L44" i="46" s="1"/>
  <c r="K48" i="46"/>
  <c r="B19" i="51"/>
  <c r="G19" i="51" s="1"/>
  <c r="T5" i="88"/>
  <c r="T6" i="88"/>
  <c r="R5" i="88"/>
  <c r="R6" i="88"/>
  <c r="Q6" i="88"/>
  <c r="S5" i="88"/>
  <c r="Q5" i="88"/>
  <c r="T4" i="88"/>
  <c r="R4" i="88"/>
  <c r="S4" i="88"/>
  <c r="Q4" i="88"/>
  <c r="R3" i="88"/>
  <c r="Q3" i="88"/>
  <c r="S3" i="88"/>
  <c r="T3" i="88" s="1"/>
  <c r="D16" i="53" l="1"/>
  <c r="B8" i="51"/>
  <c r="B7" i="51"/>
  <c r="I471" i="86"/>
  <c r="I470" i="86"/>
  <c r="I469" i="86"/>
  <c r="I468" i="86"/>
  <c r="I467" i="86"/>
  <c r="I466" i="86"/>
  <c r="I465" i="86"/>
  <c r="I464" i="86"/>
  <c r="I463" i="86"/>
  <c r="I462" i="86"/>
  <c r="I461" i="86"/>
  <c r="I460" i="86"/>
  <c r="I459" i="86"/>
  <c r="I458" i="86"/>
  <c r="I457" i="86"/>
  <c r="I456" i="86"/>
  <c r="I455" i="86"/>
  <c r="I454" i="86"/>
  <c r="I453" i="86"/>
  <c r="I452" i="86"/>
  <c r="I451" i="86"/>
  <c r="I450" i="86"/>
  <c r="I449" i="86"/>
  <c r="I448" i="86"/>
  <c r="I447" i="86"/>
  <c r="I446" i="86"/>
  <c r="I445" i="86"/>
  <c r="I444" i="86"/>
  <c r="I443" i="86"/>
  <c r="I442" i="86"/>
  <c r="I441" i="86"/>
  <c r="I440" i="86"/>
  <c r="I439" i="86"/>
  <c r="I438" i="86"/>
  <c r="I437" i="86"/>
  <c r="I436" i="86"/>
  <c r="I435" i="86"/>
  <c r="I434" i="86"/>
  <c r="I433" i="86"/>
  <c r="I432" i="86"/>
  <c r="I431" i="86"/>
  <c r="I430" i="86"/>
  <c r="I429" i="86"/>
  <c r="I428" i="86"/>
  <c r="I427" i="86"/>
  <c r="I426" i="86"/>
  <c r="I425" i="86"/>
  <c r="I424" i="86"/>
  <c r="I423" i="86"/>
  <c r="I422" i="86"/>
  <c r="I421" i="86"/>
  <c r="I420" i="86"/>
  <c r="I419" i="86"/>
  <c r="I275" i="86"/>
  <c r="I274" i="86"/>
  <c r="I273" i="86"/>
  <c r="I272" i="86"/>
  <c r="I271" i="86"/>
  <c r="I270" i="86"/>
  <c r="I269" i="86"/>
  <c r="I268" i="86"/>
  <c r="I267" i="86"/>
  <c r="I418" i="86"/>
  <c r="I417" i="86"/>
  <c r="I416" i="86"/>
  <c r="I415" i="86"/>
  <c r="I414" i="86"/>
  <c r="I413" i="86"/>
  <c r="I412" i="86"/>
  <c r="I411" i="86"/>
  <c r="I410" i="86"/>
  <c r="I409" i="86"/>
  <c r="I408" i="86"/>
  <c r="I407" i="86"/>
  <c r="I406" i="86"/>
  <c r="I405" i="86"/>
  <c r="I404" i="86"/>
  <c r="I403" i="86"/>
  <c r="I402" i="86"/>
  <c r="I401" i="86"/>
  <c r="I400" i="86"/>
  <c r="I399" i="86"/>
  <c r="I398" i="86"/>
  <c r="I397" i="86"/>
  <c r="I396" i="86"/>
  <c r="I395" i="86"/>
  <c r="I394" i="86"/>
  <c r="I393" i="86"/>
  <c r="I392" i="86"/>
  <c r="I391" i="86"/>
  <c r="I390" i="86"/>
  <c r="I389" i="86"/>
  <c r="I388" i="86"/>
  <c r="I387" i="86"/>
  <c r="I386" i="86"/>
  <c r="I385" i="86"/>
  <c r="I384" i="86"/>
  <c r="I383" i="86"/>
  <c r="I382" i="86"/>
  <c r="I381" i="86"/>
  <c r="I380" i="86"/>
  <c r="I379" i="86"/>
  <c r="I378" i="86"/>
  <c r="I377" i="86"/>
  <c r="I375" i="86"/>
  <c r="I374" i="86"/>
  <c r="I373" i="86"/>
  <c r="I372" i="86"/>
  <c r="I371" i="86"/>
  <c r="I370" i="86"/>
  <c r="I369" i="86"/>
  <c r="I368" i="86"/>
  <c r="I367" i="86"/>
  <c r="I366" i="86"/>
  <c r="I365" i="86"/>
  <c r="I364" i="86"/>
  <c r="I363" i="86"/>
  <c r="I362" i="86"/>
  <c r="I361" i="86"/>
  <c r="I360" i="86"/>
  <c r="I359" i="86"/>
  <c r="I358" i="86"/>
  <c r="I357" i="86"/>
  <c r="I356" i="86"/>
  <c r="I355" i="86"/>
  <c r="I354" i="86"/>
  <c r="I353" i="86"/>
  <c r="I352" i="86"/>
  <c r="I351" i="86"/>
  <c r="I350" i="86"/>
  <c r="I349" i="86"/>
  <c r="I348" i="86"/>
  <c r="I347" i="86"/>
  <c r="I346" i="86"/>
  <c r="I345" i="86"/>
  <c r="I344" i="86"/>
  <c r="I343" i="86"/>
  <c r="I342" i="86"/>
  <c r="I341" i="86"/>
  <c r="I340" i="86"/>
  <c r="I339" i="86"/>
  <c r="I338" i="86"/>
  <c r="I337" i="86"/>
  <c r="I336" i="86"/>
  <c r="I335" i="86"/>
  <c r="I334" i="86"/>
  <c r="I333" i="86"/>
  <c r="I332" i="86"/>
  <c r="I331" i="86"/>
  <c r="I330" i="86"/>
  <c r="I329" i="86"/>
  <c r="I328" i="86"/>
  <c r="I327" i="86"/>
  <c r="I326" i="86"/>
  <c r="I325" i="86"/>
  <c r="I324" i="86"/>
  <c r="I323" i="86"/>
  <c r="I322" i="86"/>
  <c r="I321" i="86"/>
  <c r="I320" i="86"/>
  <c r="I319" i="86"/>
  <c r="I318" i="86"/>
  <c r="I317" i="86"/>
  <c r="I316" i="86"/>
  <c r="I315" i="86"/>
  <c r="I314" i="86"/>
  <c r="I313" i="86"/>
  <c r="I312" i="86"/>
  <c r="I311" i="86"/>
  <c r="I310" i="86"/>
  <c r="I309" i="86"/>
  <c r="I308" i="86"/>
  <c r="I307" i="86"/>
  <c r="I306" i="86"/>
  <c r="I305" i="86"/>
  <c r="I304" i="86"/>
  <c r="I303" i="86"/>
  <c r="I302" i="86"/>
  <c r="I301" i="86"/>
  <c r="I300" i="86"/>
  <c r="I299" i="86"/>
  <c r="I298" i="86"/>
  <c r="I297" i="86"/>
  <c r="I296" i="86"/>
  <c r="I295" i="86"/>
  <c r="I294" i="86"/>
  <c r="I293" i="86"/>
  <c r="I292" i="86"/>
  <c r="I291" i="86"/>
  <c r="I290" i="86"/>
  <c r="I289" i="86"/>
  <c r="I288" i="86"/>
  <c r="I287" i="86"/>
  <c r="I286" i="86"/>
  <c r="I285" i="86"/>
  <c r="I284" i="86"/>
  <c r="I283" i="86"/>
  <c r="I282" i="86"/>
  <c r="I281" i="86"/>
  <c r="I280" i="86"/>
  <c r="I279" i="86"/>
  <c r="I278" i="86"/>
  <c r="I277" i="86"/>
  <c r="I276" i="86"/>
  <c r="I266" i="86"/>
  <c r="I265" i="86"/>
  <c r="I129" i="86"/>
  <c r="I128" i="86"/>
  <c r="I127" i="86"/>
  <c r="I126" i="86"/>
  <c r="I125" i="86"/>
  <c r="I124" i="86"/>
  <c r="I123" i="86"/>
  <c r="I122" i="86"/>
  <c r="I121" i="86"/>
  <c r="I264" i="86"/>
  <c r="I263" i="86"/>
  <c r="I262" i="86"/>
  <c r="I261" i="86"/>
  <c r="I260" i="86"/>
  <c r="I259" i="86"/>
  <c r="I258" i="86"/>
  <c r="I257" i="86"/>
  <c r="I256" i="86"/>
  <c r="I255" i="86"/>
  <c r="I254" i="86"/>
  <c r="I253" i="86"/>
  <c r="I252" i="86"/>
  <c r="I251" i="86"/>
  <c r="I250" i="86"/>
  <c r="I249" i="86"/>
  <c r="I248" i="86"/>
  <c r="I247" i="86"/>
  <c r="I246" i="86"/>
  <c r="I245" i="86"/>
  <c r="I244" i="86"/>
  <c r="I243" i="86"/>
  <c r="I242" i="86"/>
  <c r="I241" i="86"/>
  <c r="I240" i="86"/>
  <c r="I239" i="86"/>
  <c r="I238" i="86"/>
  <c r="I237" i="86"/>
  <c r="I236" i="86"/>
  <c r="I235" i="86"/>
  <c r="I234" i="86"/>
  <c r="I233" i="86"/>
  <c r="I232" i="86"/>
  <c r="I231" i="86"/>
  <c r="I230" i="86"/>
  <c r="I229" i="86"/>
  <c r="I228" i="86"/>
  <c r="I227" i="86"/>
  <c r="I226" i="86"/>
  <c r="I225" i="86"/>
  <c r="I224" i="86"/>
  <c r="I223" i="86"/>
  <c r="B26" i="54" s="1"/>
  <c r="I222" i="86"/>
  <c r="I221" i="86"/>
  <c r="I220" i="86"/>
  <c r="I219" i="86"/>
  <c r="I218" i="86"/>
  <c r="I217" i="86"/>
  <c r="I216" i="86"/>
  <c r="I215" i="86"/>
  <c r="I214" i="86"/>
  <c r="I213" i="86"/>
  <c r="I212" i="86"/>
  <c r="I211" i="86"/>
  <c r="I210" i="86"/>
  <c r="I209" i="86"/>
  <c r="I208" i="86"/>
  <c r="I207" i="86"/>
  <c r="I206" i="86"/>
  <c r="I205" i="86"/>
  <c r="I204" i="86"/>
  <c r="I203" i="86"/>
  <c r="I202" i="86"/>
  <c r="I201" i="86"/>
  <c r="I200" i="86"/>
  <c r="I199" i="86"/>
  <c r="I198" i="86"/>
  <c r="I197" i="86"/>
  <c r="I196" i="86"/>
  <c r="I195" i="86"/>
  <c r="I194" i="86"/>
  <c r="I193" i="86"/>
  <c r="I192" i="86"/>
  <c r="I191" i="86"/>
  <c r="I190" i="86"/>
  <c r="I189" i="86"/>
  <c r="I188" i="86"/>
  <c r="I187" i="86"/>
  <c r="I186" i="86"/>
  <c r="I185" i="86"/>
  <c r="I184" i="86"/>
  <c r="I183" i="86"/>
  <c r="I182" i="86"/>
  <c r="I181" i="86"/>
  <c r="I180" i="86"/>
  <c r="I179" i="86"/>
  <c r="I178" i="86"/>
  <c r="I177" i="86"/>
  <c r="I176" i="86"/>
  <c r="I175" i="86"/>
  <c r="I174" i="86"/>
  <c r="I173" i="86"/>
  <c r="I172" i="86"/>
  <c r="I171" i="86"/>
  <c r="I170" i="86"/>
  <c r="I169" i="86"/>
  <c r="I168" i="86"/>
  <c r="I167" i="86"/>
  <c r="I166" i="86"/>
  <c r="I165" i="86"/>
  <c r="I164" i="86"/>
  <c r="I163" i="86"/>
  <c r="I162" i="86"/>
  <c r="I161" i="86"/>
  <c r="I160" i="86"/>
  <c r="I159" i="86"/>
  <c r="I158" i="86"/>
  <c r="I157" i="86"/>
  <c r="I156" i="86"/>
  <c r="I155" i="86"/>
  <c r="I154" i="86"/>
  <c r="I153" i="86"/>
  <c r="I152" i="86"/>
  <c r="I151" i="86"/>
  <c r="I150" i="86"/>
  <c r="I149" i="86"/>
  <c r="I148" i="86"/>
  <c r="I147" i="86"/>
  <c r="I146" i="86"/>
  <c r="I145" i="86"/>
  <c r="I144" i="86"/>
  <c r="I143" i="86"/>
  <c r="I142" i="86"/>
  <c r="I141" i="86"/>
  <c r="I140" i="86"/>
  <c r="I139" i="86"/>
  <c r="I138" i="86"/>
  <c r="I137" i="86"/>
  <c r="I136" i="86"/>
  <c r="I135" i="86"/>
  <c r="I134" i="86"/>
  <c r="I133" i="86"/>
  <c r="I132" i="86"/>
  <c r="I131" i="86"/>
  <c r="I130" i="86"/>
  <c r="I120" i="86"/>
  <c r="I119" i="86"/>
  <c r="I118" i="86"/>
  <c r="I117" i="86"/>
  <c r="I116" i="86"/>
  <c r="I115" i="86"/>
  <c r="I114" i="86"/>
  <c r="I113" i="86"/>
  <c r="I112" i="86"/>
  <c r="I111" i="86"/>
  <c r="I110" i="86"/>
  <c r="I109" i="86"/>
  <c r="I108" i="86"/>
  <c r="I107" i="86"/>
  <c r="I106" i="86"/>
  <c r="I105" i="86"/>
  <c r="I104" i="86"/>
  <c r="I103" i="86"/>
  <c r="I102" i="86"/>
  <c r="I101" i="86"/>
  <c r="I100" i="86"/>
  <c r="I99" i="86"/>
  <c r="I98" i="86"/>
  <c r="I97" i="86"/>
  <c r="I96" i="86"/>
  <c r="I95" i="86"/>
  <c r="I94" i="86"/>
  <c r="I93" i="86"/>
  <c r="I92" i="86"/>
  <c r="I91" i="86"/>
  <c r="I90" i="86"/>
  <c r="I89" i="86"/>
  <c r="I88" i="86"/>
  <c r="I87" i="86"/>
  <c r="I86" i="86"/>
  <c r="I85" i="86"/>
  <c r="I84" i="86"/>
  <c r="I83" i="86"/>
  <c r="I82" i="86"/>
  <c r="I81" i="86"/>
  <c r="I80" i="86"/>
  <c r="I79" i="86"/>
  <c r="I78" i="86"/>
  <c r="I77" i="86"/>
  <c r="I76" i="86"/>
  <c r="I75" i="86"/>
  <c r="I74" i="86"/>
  <c r="I73" i="86"/>
  <c r="I72" i="86"/>
  <c r="I71" i="86"/>
  <c r="I70" i="86"/>
  <c r="I69" i="86"/>
  <c r="I68" i="86"/>
  <c r="I67" i="86"/>
  <c r="I66" i="86"/>
  <c r="I65" i="86"/>
  <c r="I64" i="86"/>
  <c r="I63" i="86"/>
  <c r="I62" i="86"/>
  <c r="I61" i="86"/>
  <c r="I60" i="86"/>
  <c r="I59" i="86"/>
  <c r="I58" i="86"/>
  <c r="I57" i="86"/>
  <c r="I56" i="86"/>
  <c r="I55" i="86"/>
  <c r="I54" i="86"/>
  <c r="I53" i="86"/>
  <c r="I52" i="86"/>
  <c r="I51" i="86"/>
  <c r="I50" i="86"/>
  <c r="I49" i="86"/>
  <c r="I48" i="86"/>
  <c r="I47" i="86"/>
  <c r="I46" i="86"/>
  <c r="I45" i="86"/>
  <c r="I44" i="86"/>
  <c r="I43" i="86"/>
  <c r="I42" i="86"/>
  <c r="I41" i="86"/>
  <c r="I40" i="86"/>
  <c r="I39" i="86"/>
  <c r="I38" i="86"/>
  <c r="L35" i="86"/>
  <c r="I37" i="86"/>
  <c r="L33" i="86"/>
  <c r="I36" i="86"/>
  <c r="L32" i="86"/>
  <c r="I35" i="86"/>
  <c r="L471" i="86"/>
  <c r="I473" i="86"/>
  <c r="B23" i="54" s="1"/>
  <c r="L30" i="86"/>
  <c r="I31" i="86"/>
  <c r="L29" i="86"/>
  <c r="I30" i="86"/>
  <c r="L28" i="86"/>
  <c r="I29" i="86"/>
  <c r="L27" i="86"/>
  <c r="I28" i="86"/>
  <c r="L26" i="86"/>
  <c r="I27" i="86"/>
  <c r="L25" i="86"/>
  <c r="I26" i="86"/>
  <c r="I25" i="86"/>
  <c r="L23" i="86"/>
  <c r="I24" i="86"/>
  <c r="I23" i="86"/>
  <c r="I22" i="86"/>
  <c r="I21" i="86"/>
  <c r="I20" i="86"/>
  <c r="I19" i="86"/>
  <c r="I18" i="86"/>
  <c r="I17" i="86"/>
  <c r="I16" i="86"/>
  <c r="I14" i="86"/>
  <c r="B15" i="55" s="1"/>
  <c r="G15" i="55" s="1"/>
  <c r="I13" i="86"/>
  <c r="I12" i="86"/>
  <c r="I11" i="86"/>
  <c r="M25" i="69"/>
  <c r="J469" i="69"/>
  <c r="J468" i="69"/>
  <c r="J466" i="69"/>
  <c r="J465" i="69"/>
  <c r="J464" i="69"/>
  <c r="J463" i="69"/>
  <c r="J462" i="69"/>
  <c r="J461" i="69"/>
  <c r="J460" i="69"/>
  <c r="J459" i="69"/>
  <c r="J458" i="69"/>
  <c r="J457" i="69"/>
  <c r="J456" i="69"/>
  <c r="J454" i="69"/>
  <c r="J453" i="69"/>
  <c r="J452" i="69"/>
  <c r="J451" i="69"/>
  <c r="J450" i="69"/>
  <c r="J448" i="69"/>
  <c r="J447" i="69"/>
  <c r="J446" i="69"/>
  <c r="J445" i="69"/>
  <c r="J444" i="69"/>
  <c r="J443" i="69"/>
  <c r="J442" i="69"/>
  <c r="J441" i="69"/>
  <c r="J440" i="69"/>
  <c r="J439" i="69"/>
  <c r="J438" i="69"/>
  <c r="J437" i="69"/>
  <c r="J436" i="69"/>
  <c r="J435" i="69"/>
  <c r="J433" i="69"/>
  <c r="J432" i="69"/>
  <c r="J431" i="69"/>
  <c r="J430" i="69"/>
  <c r="J429" i="69"/>
  <c r="J428" i="69"/>
  <c r="J426" i="69"/>
  <c r="J425" i="69"/>
  <c r="J424" i="69"/>
  <c r="J423" i="69"/>
  <c r="J422" i="69"/>
  <c r="J421" i="69"/>
  <c r="J420" i="69"/>
  <c r="J419" i="69"/>
  <c r="J418" i="69"/>
  <c r="J417" i="69"/>
  <c r="J416" i="69"/>
  <c r="J415" i="69"/>
  <c r="J414" i="69"/>
  <c r="J413" i="69"/>
  <c r="J412" i="69"/>
  <c r="J411" i="69"/>
  <c r="J410" i="69"/>
  <c r="J409" i="69"/>
  <c r="J408" i="69"/>
  <c r="J407" i="69"/>
  <c r="J406" i="69"/>
  <c r="J405" i="69"/>
  <c r="J404" i="69"/>
  <c r="J402" i="69"/>
  <c r="J401" i="69"/>
  <c r="J400" i="69"/>
  <c r="J399" i="69"/>
  <c r="J398" i="69"/>
  <c r="J397" i="69"/>
  <c r="J396" i="69"/>
  <c r="J395" i="69"/>
  <c r="J394" i="69"/>
  <c r="J393" i="69"/>
  <c r="J392" i="69"/>
  <c r="J391" i="69"/>
  <c r="J390" i="69"/>
  <c r="J389" i="69"/>
  <c r="J387" i="69"/>
  <c r="J386" i="69"/>
  <c r="J385" i="69"/>
  <c r="J384" i="69"/>
  <c r="J383" i="69"/>
  <c r="J382" i="69"/>
  <c r="J381" i="69"/>
  <c r="J380" i="69"/>
  <c r="J379" i="69"/>
  <c r="J378" i="69"/>
  <c r="J377" i="69"/>
  <c r="J376" i="69"/>
  <c r="J375" i="69"/>
  <c r="J374" i="69"/>
  <c r="J373" i="69"/>
  <c r="J372" i="69"/>
  <c r="J371" i="69"/>
  <c r="J369" i="69"/>
  <c r="J368" i="69"/>
  <c r="J367" i="69"/>
  <c r="J366" i="69"/>
  <c r="J365" i="69"/>
  <c r="J364" i="69"/>
  <c r="J363" i="69"/>
  <c r="J362" i="69"/>
  <c r="J360" i="69"/>
  <c r="J359" i="69"/>
  <c r="J358" i="69"/>
  <c r="J357" i="69"/>
  <c r="J356" i="69"/>
  <c r="J355" i="69"/>
  <c r="J354" i="69"/>
  <c r="J353" i="69"/>
  <c r="J352" i="69"/>
  <c r="J351" i="69"/>
  <c r="J350" i="69"/>
  <c r="J348" i="69"/>
  <c r="J347" i="69"/>
  <c r="J346" i="69"/>
  <c r="J345" i="69"/>
  <c r="J344" i="69"/>
  <c r="J342" i="69"/>
  <c r="J341" i="69"/>
  <c r="J340" i="69"/>
  <c r="J339" i="69"/>
  <c r="J338" i="69"/>
  <c r="J337" i="69"/>
  <c r="J336" i="69"/>
  <c r="J335" i="69"/>
  <c r="J334" i="69"/>
  <c r="J333" i="69"/>
  <c r="J332" i="69"/>
  <c r="J331" i="69"/>
  <c r="J330" i="69"/>
  <c r="J329" i="69"/>
  <c r="J327" i="69"/>
  <c r="J326" i="69"/>
  <c r="J325" i="69"/>
  <c r="J324" i="69"/>
  <c r="J323" i="69"/>
  <c r="J321" i="69"/>
  <c r="J320" i="69"/>
  <c r="J319" i="69"/>
  <c r="J318" i="69"/>
  <c r="J317" i="69"/>
  <c r="J316" i="69"/>
  <c r="J315" i="69"/>
  <c r="J314" i="69"/>
  <c r="J313" i="69"/>
  <c r="J312" i="69"/>
  <c r="J311" i="69"/>
  <c r="J309" i="69"/>
  <c r="J308" i="69"/>
  <c r="J307" i="69"/>
  <c r="J306" i="69"/>
  <c r="J305" i="69"/>
  <c r="J303" i="69"/>
  <c r="J302" i="69"/>
  <c r="J301" i="69"/>
  <c r="J300" i="69"/>
  <c r="J299" i="69"/>
  <c r="J298" i="69"/>
  <c r="J297" i="69"/>
  <c r="J296" i="69"/>
  <c r="J295" i="69"/>
  <c r="J294" i="69"/>
  <c r="J293" i="69"/>
  <c r="J292" i="69"/>
  <c r="J291" i="69"/>
  <c r="J290" i="69"/>
  <c r="J288" i="69"/>
  <c r="J287" i="69"/>
  <c r="J286" i="69"/>
  <c r="J285" i="69"/>
  <c r="J284" i="69"/>
  <c r="J283" i="69"/>
  <c r="J282" i="69"/>
  <c r="J280" i="69"/>
  <c r="J279" i="69"/>
  <c r="J278" i="69"/>
  <c r="J277" i="69"/>
  <c r="J276" i="69"/>
  <c r="J275" i="69"/>
  <c r="J274" i="69"/>
  <c r="J273" i="69"/>
  <c r="J272" i="69"/>
  <c r="J271" i="69"/>
  <c r="J270" i="69"/>
  <c r="J268" i="69"/>
  <c r="J267" i="69"/>
  <c r="J266" i="69"/>
  <c r="J265" i="69"/>
  <c r="J264" i="69"/>
  <c r="J263" i="69"/>
  <c r="J262" i="69"/>
  <c r="J261" i="69"/>
  <c r="J260" i="69"/>
  <c r="J259" i="69"/>
  <c r="J258" i="69"/>
  <c r="J257" i="69"/>
  <c r="J256" i="69"/>
  <c r="J255" i="69"/>
  <c r="J254" i="69"/>
  <c r="J253" i="69"/>
  <c r="J252" i="69"/>
  <c r="J251" i="69"/>
  <c r="J249" i="69"/>
  <c r="J248" i="69"/>
  <c r="J247" i="69"/>
  <c r="J246" i="69"/>
  <c r="J245" i="69"/>
  <c r="J244" i="69"/>
  <c r="J243" i="69"/>
  <c r="J242" i="69"/>
  <c r="J241" i="69"/>
  <c r="J240" i="69"/>
  <c r="J239" i="69"/>
  <c r="J238" i="69"/>
  <c r="J237" i="69"/>
  <c r="J236" i="69"/>
  <c r="J234" i="69"/>
  <c r="J233" i="69"/>
  <c r="J232" i="69"/>
  <c r="J231" i="69"/>
  <c r="J230" i="69"/>
  <c r="J229" i="69"/>
  <c r="J228" i="69"/>
  <c r="J227" i="69"/>
  <c r="J226" i="69"/>
  <c r="J225" i="69"/>
  <c r="J224" i="69"/>
  <c r="J223" i="69"/>
  <c r="J222" i="69"/>
  <c r="J221" i="69"/>
  <c r="J220" i="69"/>
  <c r="J219" i="69"/>
  <c r="J217" i="69"/>
  <c r="J216" i="69"/>
  <c r="J215" i="69"/>
  <c r="J214" i="69"/>
  <c r="J213" i="69"/>
  <c r="J212" i="69"/>
  <c r="J211" i="69"/>
  <c r="J210" i="69"/>
  <c r="J209" i="69"/>
  <c r="J208" i="69"/>
  <c r="J207" i="69"/>
  <c r="J206" i="69"/>
  <c r="J205" i="69"/>
  <c r="J204" i="69"/>
  <c r="J203" i="69"/>
  <c r="J202" i="69"/>
  <c r="J201" i="69"/>
  <c r="J200" i="69"/>
  <c r="J199" i="69"/>
  <c r="J198" i="69"/>
  <c r="J197" i="69"/>
  <c r="J195" i="69"/>
  <c r="J194" i="69"/>
  <c r="J193" i="69"/>
  <c r="J192" i="69"/>
  <c r="J191" i="69"/>
  <c r="J190" i="69"/>
  <c r="J189" i="69"/>
  <c r="J188" i="69"/>
  <c r="J187" i="69"/>
  <c r="J186" i="69"/>
  <c r="J185" i="69"/>
  <c r="J184" i="69"/>
  <c r="J183" i="69"/>
  <c r="J182" i="69"/>
  <c r="J181" i="69"/>
  <c r="J180" i="69"/>
  <c r="J179" i="69"/>
  <c r="J177" i="69"/>
  <c r="J176" i="69"/>
  <c r="J175" i="69"/>
  <c r="J174" i="69"/>
  <c r="J173" i="69"/>
  <c r="J172" i="69"/>
  <c r="J171" i="69"/>
  <c r="J170" i="69"/>
  <c r="J169" i="69"/>
  <c r="J168" i="69"/>
  <c r="J167" i="69"/>
  <c r="J166" i="69"/>
  <c r="J165" i="69"/>
  <c r="J164" i="69"/>
  <c r="J162" i="69"/>
  <c r="J161" i="69"/>
  <c r="J160" i="69"/>
  <c r="J159" i="69"/>
  <c r="J158" i="69"/>
  <c r="J157" i="69"/>
  <c r="J156" i="69"/>
  <c r="J155" i="69"/>
  <c r="J154" i="69"/>
  <c r="J153" i="69"/>
  <c r="J152" i="69"/>
  <c r="J151" i="69"/>
  <c r="J150" i="69"/>
  <c r="J149" i="69"/>
  <c r="J148" i="69"/>
  <c r="J147" i="69"/>
  <c r="J146" i="69"/>
  <c r="J144" i="69"/>
  <c r="J143" i="69"/>
  <c r="J142" i="69"/>
  <c r="J141" i="69"/>
  <c r="J140" i="69"/>
  <c r="J139" i="69"/>
  <c r="J138" i="69"/>
  <c r="J137" i="69"/>
  <c r="J136" i="69"/>
  <c r="J135" i="69"/>
  <c r="J134" i="69"/>
  <c r="J133" i="69"/>
  <c r="J132" i="69"/>
  <c r="J131" i="69"/>
  <c r="J130" i="69"/>
  <c r="J129" i="69"/>
  <c r="J128" i="69"/>
  <c r="J127" i="69"/>
  <c r="J126" i="69"/>
  <c r="J125" i="69"/>
  <c r="J124" i="69"/>
  <c r="J122" i="69"/>
  <c r="J121" i="69"/>
  <c r="J120" i="69"/>
  <c r="J119" i="69"/>
  <c r="J118" i="69"/>
  <c r="J117" i="69"/>
  <c r="J116" i="69"/>
  <c r="J115" i="69"/>
  <c r="J114" i="69"/>
  <c r="J113" i="69"/>
  <c r="J112" i="69"/>
  <c r="J110" i="69"/>
  <c r="J109" i="69"/>
  <c r="J108" i="69"/>
  <c r="J107" i="69"/>
  <c r="J106" i="69"/>
  <c r="J105" i="69"/>
  <c r="J104" i="69"/>
  <c r="J103" i="69"/>
  <c r="J102" i="69"/>
  <c r="J101" i="69"/>
  <c r="J100" i="69"/>
  <c r="J99" i="69"/>
  <c r="J98" i="69"/>
  <c r="J97" i="69"/>
  <c r="J95" i="69"/>
  <c r="J94" i="69"/>
  <c r="J93" i="69"/>
  <c r="J92" i="69"/>
  <c r="J91" i="69"/>
  <c r="J90" i="69"/>
  <c r="J88" i="69"/>
  <c r="J87" i="69"/>
  <c r="J86" i="69"/>
  <c r="J85" i="69"/>
  <c r="J84" i="69"/>
  <c r="J83" i="69"/>
  <c r="J82" i="69"/>
  <c r="J81" i="69"/>
  <c r="J80" i="69"/>
  <c r="J79" i="69"/>
  <c r="J78" i="69"/>
  <c r="J77" i="69"/>
  <c r="J76" i="69"/>
  <c r="J75" i="69"/>
  <c r="J74" i="69"/>
  <c r="J73" i="69"/>
  <c r="J72" i="69"/>
  <c r="J70" i="69"/>
  <c r="J69" i="69"/>
  <c r="J68" i="69"/>
  <c r="J67" i="69"/>
  <c r="J66" i="69"/>
  <c r="J65" i="69"/>
  <c r="J64" i="69"/>
  <c r="J63" i="69"/>
  <c r="J62" i="69"/>
  <c r="J61" i="69"/>
  <c r="J60" i="69"/>
  <c r="J59" i="69"/>
  <c r="J58" i="69"/>
  <c r="J57" i="69"/>
  <c r="J55" i="69"/>
  <c r="J54" i="69"/>
  <c r="J53" i="69"/>
  <c r="J52" i="69"/>
  <c r="J51" i="69"/>
  <c r="J50" i="69"/>
  <c r="J49" i="69"/>
  <c r="J48" i="69"/>
  <c r="J47" i="69"/>
  <c r="J46" i="69"/>
  <c r="J45" i="69"/>
  <c r="J44" i="69"/>
  <c r="J43" i="69"/>
  <c r="J42" i="69"/>
  <c r="J41" i="69"/>
  <c r="J40" i="69"/>
  <c r="J39" i="69"/>
  <c r="J38" i="69"/>
  <c r="J36" i="69"/>
  <c r="J35" i="69"/>
  <c r="J34" i="69"/>
  <c r="J33" i="69"/>
  <c r="J32" i="69"/>
  <c r="J31" i="69"/>
  <c r="J30" i="69"/>
  <c r="J29" i="69"/>
  <c r="J28" i="69"/>
  <c r="J27" i="69"/>
  <c r="J26" i="69"/>
  <c r="J25" i="69"/>
  <c r="J24" i="69"/>
  <c r="J23" i="69"/>
  <c r="J22" i="69"/>
  <c r="J21" i="69"/>
  <c r="J20" i="69"/>
  <c r="J18" i="69"/>
  <c r="J17" i="69"/>
  <c r="J16" i="69"/>
  <c r="J15" i="69"/>
  <c r="J14" i="69"/>
  <c r="J13" i="69"/>
  <c r="J12" i="69"/>
  <c r="J11" i="69"/>
  <c r="B15" i="54" l="1"/>
  <c r="G15" i="54" s="1"/>
  <c r="L12" i="86"/>
  <c r="B18" i="54" s="1"/>
  <c r="G18" i="54" s="1"/>
  <c r="B16" i="55"/>
  <c r="B25" i="54"/>
  <c r="B22" i="58" s="1"/>
  <c r="G22" i="58" s="1"/>
  <c r="B21" i="54"/>
  <c r="L22" i="86"/>
  <c r="L24" i="86"/>
  <c r="B24" i="54"/>
  <c r="B20" i="54"/>
  <c r="L18" i="86"/>
  <c r="L20" i="86"/>
  <c r="B22" i="54"/>
  <c r="L17" i="86"/>
  <c r="L16" i="86"/>
  <c r="L11" i="86"/>
  <c r="B17" i="54" s="1"/>
  <c r="G17" i="54" s="1"/>
  <c r="L21" i="86"/>
  <c r="L19" i="86"/>
  <c r="B16" i="54" l="1"/>
  <c r="G16" i="54" s="1"/>
  <c r="G16" i="55"/>
  <c r="G17" i="53"/>
  <c r="D17" i="54"/>
  <c r="D18" i="54"/>
  <c r="G33" i="54" l="1"/>
  <c r="N17" i="84"/>
  <c r="N16" i="84"/>
  <c r="N14" i="84"/>
  <c r="N15" i="84"/>
  <c r="O15" i="84" s="1"/>
  <c r="O13" i="84"/>
  <c r="O14" i="84"/>
  <c r="O16" i="84"/>
  <c r="O17" i="84"/>
  <c r="O18" i="84"/>
  <c r="O19" i="84"/>
  <c r="O20" i="84"/>
  <c r="O21" i="84"/>
  <c r="O22" i="84"/>
  <c r="O23" i="84"/>
  <c r="O24" i="84"/>
  <c r="O25" i="84"/>
  <c r="O26" i="84"/>
  <c r="O27" i="84"/>
  <c r="O28" i="84"/>
  <c r="O29" i="84"/>
  <c r="F15" i="84"/>
  <c r="F14" i="84"/>
  <c r="D14" i="84"/>
  <c r="H33" i="54" l="1"/>
  <c r="M29" i="84"/>
  <c r="K29" i="84"/>
  <c r="I29" i="84"/>
  <c r="G29" i="84"/>
  <c r="E29" i="84"/>
  <c r="M28" i="84"/>
  <c r="K28" i="84"/>
  <c r="I28" i="84"/>
  <c r="G28" i="84"/>
  <c r="E28" i="84"/>
  <c r="M27" i="84"/>
  <c r="K27" i="84"/>
  <c r="I27" i="84"/>
  <c r="G27" i="84"/>
  <c r="E27" i="84"/>
  <c r="M26" i="84"/>
  <c r="K26" i="84"/>
  <c r="I26" i="84"/>
  <c r="G26" i="84"/>
  <c r="E26" i="84"/>
  <c r="M25" i="84"/>
  <c r="K25" i="84"/>
  <c r="I25" i="84"/>
  <c r="G25" i="84"/>
  <c r="E25" i="84"/>
  <c r="M24" i="84"/>
  <c r="K24" i="84"/>
  <c r="I24" i="84"/>
  <c r="G24" i="84"/>
  <c r="E24" i="84"/>
  <c r="M23" i="84"/>
  <c r="K23" i="84"/>
  <c r="I23" i="84"/>
  <c r="G23" i="84"/>
  <c r="E23" i="84"/>
  <c r="M22" i="84"/>
  <c r="K22" i="84"/>
  <c r="I22" i="84"/>
  <c r="G22" i="84"/>
  <c r="E22" i="84"/>
  <c r="M21" i="84"/>
  <c r="K21" i="84"/>
  <c r="I21" i="84"/>
  <c r="G21" i="84"/>
  <c r="E21" i="84"/>
  <c r="M20" i="84"/>
  <c r="K20" i="84"/>
  <c r="I20" i="84"/>
  <c r="G20" i="84"/>
  <c r="E20" i="84"/>
  <c r="M19" i="84"/>
  <c r="K19" i="84"/>
  <c r="I19" i="84"/>
  <c r="G19" i="84"/>
  <c r="E19" i="84"/>
  <c r="M18" i="84"/>
  <c r="K18" i="84"/>
  <c r="I18" i="84"/>
  <c r="G18" i="84"/>
  <c r="E18" i="84"/>
  <c r="M17" i="84"/>
  <c r="K17" i="84"/>
  <c r="I17" i="84"/>
  <c r="G17" i="84"/>
  <c r="E17" i="84"/>
  <c r="M16" i="84"/>
  <c r="K16" i="84"/>
  <c r="I16" i="84"/>
  <c r="G16" i="84"/>
  <c r="E16" i="84"/>
  <c r="M15" i="84"/>
  <c r="K15" i="84"/>
  <c r="I15" i="84"/>
  <c r="G15" i="84"/>
  <c r="E15" i="84"/>
  <c r="M14" i="84"/>
  <c r="K14" i="84"/>
  <c r="I14" i="84"/>
  <c r="G14" i="84"/>
  <c r="E14" i="84"/>
  <c r="M13" i="84"/>
  <c r="K13" i="84"/>
  <c r="I13" i="84"/>
  <c r="G13" i="84"/>
  <c r="E13" i="84"/>
  <c r="G27" i="54"/>
  <c r="G21" i="54"/>
  <c r="G20" i="54"/>
  <c r="G26" i="54"/>
  <c r="G25" i="54"/>
  <c r="G23" i="54"/>
  <c r="G24" i="54"/>
  <c r="I37" i="51"/>
  <c r="J36" i="51" s="1"/>
  <c r="B8" i="55"/>
  <c r="B7" i="55"/>
  <c r="G22" i="54"/>
  <c r="B8" i="54"/>
  <c r="B7" i="54"/>
  <c r="F29" i="80"/>
  <c r="F28" i="80"/>
  <c r="F27" i="80"/>
  <c r="F26" i="80"/>
  <c r="F25" i="80"/>
  <c r="F24" i="80"/>
  <c r="F23" i="80"/>
  <c r="F22" i="80"/>
  <c r="F21" i="80"/>
  <c r="F20" i="80"/>
  <c r="F19" i="80"/>
  <c r="F18" i="80"/>
  <c r="F17" i="80"/>
  <c r="F15" i="80"/>
  <c r="F14" i="80"/>
  <c r="F13" i="80"/>
  <c r="G30" i="80"/>
  <c r="H29" i="80"/>
  <c r="H28" i="80"/>
  <c r="H27" i="80"/>
  <c r="H26" i="80"/>
  <c r="H25" i="80"/>
  <c r="H24" i="80"/>
  <c r="H23" i="80"/>
  <c r="H22" i="80"/>
  <c r="H21" i="80"/>
  <c r="H20" i="80"/>
  <c r="H19" i="80"/>
  <c r="H18" i="80"/>
  <c r="H17" i="80"/>
  <c r="H15" i="80"/>
  <c r="H14" i="80"/>
  <c r="H13" i="80"/>
  <c r="I30" i="80"/>
  <c r="J29" i="80"/>
  <c r="J28" i="80"/>
  <c r="J27" i="80"/>
  <c r="J26" i="80"/>
  <c r="J25" i="80"/>
  <c r="J24" i="80"/>
  <c r="J23" i="80"/>
  <c r="J22" i="80"/>
  <c r="J21" i="80"/>
  <c r="J20" i="80"/>
  <c r="J19" i="80"/>
  <c r="J18" i="80"/>
  <c r="J17" i="80"/>
  <c r="J15" i="80"/>
  <c r="J14" i="80"/>
  <c r="J13" i="80"/>
  <c r="K30" i="80"/>
  <c r="L29" i="80"/>
  <c r="L28" i="80"/>
  <c r="L27" i="80"/>
  <c r="L26" i="80"/>
  <c r="L25" i="80"/>
  <c r="L24" i="80"/>
  <c r="L23" i="80"/>
  <c r="L22" i="80"/>
  <c r="L21" i="80"/>
  <c r="L20" i="80"/>
  <c r="L19" i="80"/>
  <c r="L18" i="80"/>
  <c r="L17" i="80"/>
  <c r="L15" i="80"/>
  <c r="L14" i="80"/>
  <c r="L13" i="80"/>
  <c r="E30" i="80"/>
  <c r="D21" i="80"/>
  <c r="D28" i="80"/>
  <c r="D14" i="80"/>
  <c r="D15" i="80"/>
  <c r="D17" i="80"/>
  <c r="D18" i="80"/>
  <c r="D19" i="80"/>
  <c r="D20" i="80"/>
  <c r="D22" i="80"/>
  <c r="D23" i="80"/>
  <c r="D24" i="80"/>
  <c r="D25" i="80"/>
  <c r="D26" i="80"/>
  <c r="D27" i="80"/>
  <c r="D29" i="80"/>
  <c r="C30" i="80"/>
  <c r="D49" i="54" l="1"/>
  <c r="D28" i="54" s="1"/>
  <c r="J35" i="51"/>
  <c r="D15" i="52" s="1"/>
  <c r="B15" i="52" s="1"/>
  <c r="F30" i="80"/>
  <c r="L30" i="80"/>
  <c r="J30" i="80"/>
  <c r="H30" i="80"/>
  <c r="D13" i="80"/>
  <c r="G28" i="54" l="1"/>
  <c r="E49" i="54"/>
  <c r="D16" i="52"/>
  <c r="B16" i="52" s="1"/>
  <c r="G15" i="52"/>
  <c r="M30" i="80"/>
  <c r="N29" i="80"/>
  <c r="G34" i="54" l="1"/>
  <c r="G30" i="54"/>
  <c r="G16" i="52"/>
  <c r="G23" i="52" s="1"/>
  <c r="B12" i="78" s="1"/>
  <c r="N12" i="78" s="1"/>
  <c r="O6" i="52"/>
  <c r="N28" i="80"/>
  <c r="N27" i="80"/>
  <c r="N26" i="80"/>
  <c r="N25" i="80"/>
  <c r="N24" i="80"/>
  <c r="N23" i="80"/>
  <c r="N22" i="80"/>
  <c r="N21" i="80"/>
  <c r="N20" i="80"/>
  <c r="N19" i="80"/>
  <c r="N18" i="80"/>
  <c r="N17" i="80"/>
  <c r="N15" i="80"/>
  <c r="N14" i="80"/>
  <c r="N13" i="80"/>
  <c r="D30" i="80"/>
  <c r="B24" i="79"/>
  <c r="A17" i="79"/>
  <c r="D16" i="95"/>
  <c r="A16" i="79"/>
  <c r="A15" i="79"/>
  <c r="A14" i="79"/>
  <c r="A13" i="79"/>
  <c r="A12" i="79"/>
  <c r="A11" i="79"/>
  <c r="A10" i="79"/>
  <c r="A9" i="79"/>
  <c r="A8" i="79"/>
  <c r="A7" i="79"/>
  <c r="A6" i="79"/>
  <c r="A4" i="79"/>
  <c r="A3" i="79"/>
  <c r="D17" i="78"/>
  <c r="D3" i="78"/>
  <c r="P3" i="78" s="1"/>
  <c r="C16" i="79" l="1"/>
  <c r="P17" i="78"/>
  <c r="I34" i="54"/>
  <c r="H34" i="54"/>
  <c r="B14" i="78"/>
  <c r="N14" i="78" s="1"/>
  <c r="B11" i="79"/>
  <c r="D11" i="95" s="1"/>
  <c r="D12" i="78"/>
  <c r="N30" i="80"/>
  <c r="C11" i="79" l="1"/>
  <c r="P12" i="78"/>
  <c r="B13" i="79"/>
  <c r="D13" i="95" s="1"/>
  <c r="D14" i="78"/>
  <c r="H220" i="76"/>
  <c r="H219" i="76"/>
  <c r="H218" i="76"/>
  <c r="H217" i="76"/>
  <c r="H216" i="76"/>
  <c r="H215" i="76"/>
  <c r="H214" i="76"/>
  <c r="H213" i="76"/>
  <c r="H212" i="76"/>
  <c r="H211" i="76"/>
  <c r="H210" i="76"/>
  <c r="H209" i="76"/>
  <c r="H208" i="76"/>
  <c r="H207" i="76"/>
  <c r="H206" i="76"/>
  <c r="H205" i="76"/>
  <c r="H204" i="76"/>
  <c r="H203" i="76"/>
  <c r="H202" i="76"/>
  <c r="H201" i="76"/>
  <c r="H200" i="76"/>
  <c r="H199" i="76"/>
  <c r="H198" i="76"/>
  <c r="H197" i="76"/>
  <c r="H196" i="76"/>
  <c r="H195" i="76"/>
  <c r="H194" i="76"/>
  <c r="H193" i="76"/>
  <c r="H192" i="76"/>
  <c r="H191" i="76"/>
  <c r="H190" i="76"/>
  <c r="H189" i="76"/>
  <c r="H188" i="76"/>
  <c r="H187" i="76"/>
  <c r="H186" i="76"/>
  <c r="H185" i="76"/>
  <c r="H184" i="76"/>
  <c r="H183" i="76"/>
  <c r="H182" i="76"/>
  <c r="H181" i="76"/>
  <c r="H180" i="76"/>
  <c r="H179" i="76"/>
  <c r="H178" i="76"/>
  <c r="H177" i="76"/>
  <c r="H176" i="76"/>
  <c r="H175" i="76"/>
  <c r="H174" i="76"/>
  <c r="H173" i="76"/>
  <c r="H172" i="76"/>
  <c r="H171" i="76"/>
  <c r="H170" i="76"/>
  <c r="H169" i="76"/>
  <c r="H168" i="76"/>
  <c r="H167" i="76"/>
  <c r="H166" i="76"/>
  <c r="H165" i="76"/>
  <c r="H164" i="76"/>
  <c r="H163" i="76"/>
  <c r="H162" i="76"/>
  <c r="H161" i="76"/>
  <c r="H160" i="76"/>
  <c r="H159" i="76"/>
  <c r="H158" i="76"/>
  <c r="H157" i="76"/>
  <c r="H156" i="76"/>
  <c r="H155" i="76"/>
  <c r="H154" i="76"/>
  <c r="H153" i="76"/>
  <c r="H152" i="76"/>
  <c r="H151" i="76"/>
  <c r="H150" i="76"/>
  <c r="H149" i="76"/>
  <c r="H148" i="76"/>
  <c r="H147" i="76"/>
  <c r="H146" i="76"/>
  <c r="H145" i="76"/>
  <c r="H144" i="76"/>
  <c r="H143" i="76"/>
  <c r="H142" i="76"/>
  <c r="H141" i="76"/>
  <c r="H140" i="76"/>
  <c r="H139" i="76"/>
  <c r="H138" i="76"/>
  <c r="H137" i="76"/>
  <c r="H136" i="76"/>
  <c r="H135" i="76"/>
  <c r="H134" i="76"/>
  <c r="H133" i="76"/>
  <c r="H132" i="76"/>
  <c r="H131" i="76"/>
  <c r="H130" i="76"/>
  <c r="H129" i="76"/>
  <c r="H128" i="76"/>
  <c r="H127" i="76"/>
  <c r="H126" i="76"/>
  <c r="H125" i="76"/>
  <c r="H124" i="76"/>
  <c r="H123" i="76"/>
  <c r="H122" i="76"/>
  <c r="H121" i="76"/>
  <c r="H120" i="76"/>
  <c r="H119" i="76"/>
  <c r="H118" i="76"/>
  <c r="H117" i="76"/>
  <c r="H116" i="76"/>
  <c r="H115" i="76"/>
  <c r="H114" i="76"/>
  <c r="H113" i="76"/>
  <c r="H112" i="76"/>
  <c r="H111" i="76"/>
  <c r="H110" i="76"/>
  <c r="H109" i="76"/>
  <c r="H108" i="76"/>
  <c r="H107" i="76"/>
  <c r="H106" i="76"/>
  <c r="H105" i="76"/>
  <c r="H104" i="76"/>
  <c r="H103" i="76"/>
  <c r="H102" i="76"/>
  <c r="H101" i="76"/>
  <c r="H100" i="76"/>
  <c r="H99" i="76"/>
  <c r="H98" i="76"/>
  <c r="H97" i="76"/>
  <c r="H96" i="76"/>
  <c r="H95" i="76"/>
  <c r="H94" i="76"/>
  <c r="H93" i="76"/>
  <c r="H92" i="76"/>
  <c r="H91" i="76"/>
  <c r="H90" i="76"/>
  <c r="H89" i="76"/>
  <c r="H88" i="76"/>
  <c r="H87" i="76"/>
  <c r="H86" i="76"/>
  <c r="H85" i="76"/>
  <c r="H84" i="76"/>
  <c r="H83" i="76"/>
  <c r="H82" i="76"/>
  <c r="H81" i="76"/>
  <c r="H80" i="76"/>
  <c r="H79" i="76"/>
  <c r="H78" i="76"/>
  <c r="H77" i="76"/>
  <c r="H76" i="76"/>
  <c r="H75" i="76"/>
  <c r="H74" i="76"/>
  <c r="H73" i="76"/>
  <c r="H72" i="76"/>
  <c r="H71" i="76"/>
  <c r="H70" i="76"/>
  <c r="H69" i="76"/>
  <c r="H68" i="76"/>
  <c r="H67" i="76"/>
  <c r="H66" i="76"/>
  <c r="H65" i="76"/>
  <c r="H64" i="76"/>
  <c r="H63" i="76"/>
  <c r="H62" i="76"/>
  <c r="H61" i="76"/>
  <c r="H60" i="76"/>
  <c r="H59" i="76"/>
  <c r="H58" i="76"/>
  <c r="H57" i="76"/>
  <c r="H56" i="76"/>
  <c r="H55" i="76"/>
  <c r="H54" i="76"/>
  <c r="H53" i="76"/>
  <c r="H52" i="76"/>
  <c r="H51" i="76"/>
  <c r="H50" i="76"/>
  <c r="H49" i="76"/>
  <c r="H48" i="76"/>
  <c r="H47" i="76"/>
  <c r="H46" i="76"/>
  <c r="H45" i="76"/>
  <c r="H44" i="76"/>
  <c r="H43" i="76"/>
  <c r="H42" i="76"/>
  <c r="H41" i="76"/>
  <c r="H40" i="76"/>
  <c r="H39" i="76"/>
  <c r="H38" i="76"/>
  <c r="H37" i="76"/>
  <c r="H36" i="76"/>
  <c r="H35" i="76"/>
  <c r="H34" i="76"/>
  <c r="H33" i="76"/>
  <c r="H32" i="76"/>
  <c r="H31" i="76"/>
  <c r="H30" i="76"/>
  <c r="H29" i="76"/>
  <c r="H28" i="76"/>
  <c r="H27" i="76"/>
  <c r="H26" i="76"/>
  <c r="H25" i="76"/>
  <c r="H24" i="76"/>
  <c r="H23" i="76"/>
  <c r="H22" i="76"/>
  <c r="H21" i="76"/>
  <c r="H20" i="76"/>
  <c r="H19" i="76"/>
  <c r="H18" i="76"/>
  <c r="H17" i="76"/>
  <c r="H16" i="76"/>
  <c r="H15" i="76"/>
  <c r="H14" i="76"/>
  <c r="H13" i="76"/>
  <c r="H12" i="76"/>
  <c r="J11" i="76"/>
  <c r="K11" i="76" s="1"/>
  <c r="H11" i="76"/>
  <c r="J11" i="75"/>
  <c r="J19" i="75" s="1"/>
  <c r="I13" i="73"/>
  <c r="I12" i="73"/>
  <c r="L11" i="73"/>
  <c r="L15" i="72"/>
  <c r="L14" i="72"/>
  <c r="L13" i="72"/>
  <c r="L12" i="72"/>
  <c r="L11" i="72"/>
  <c r="M35" i="69"/>
  <c r="M34" i="69"/>
  <c r="M33" i="69"/>
  <c r="M32" i="69"/>
  <c r="M31" i="69"/>
  <c r="M30" i="69"/>
  <c r="M29" i="69"/>
  <c r="M28" i="69"/>
  <c r="M27" i="69"/>
  <c r="M26" i="69"/>
  <c r="M24" i="69"/>
  <c r="M23" i="69"/>
  <c r="M22" i="69"/>
  <c r="M21" i="69"/>
  <c r="M20" i="69"/>
  <c r="M19" i="69"/>
  <c r="M18" i="69"/>
  <c r="M17" i="69"/>
  <c r="M16" i="69"/>
  <c r="F75" i="67"/>
  <c r="F74" i="67"/>
  <c r="F73" i="67"/>
  <c r="D73" i="67"/>
  <c r="E72" i="67"/>
  <c r="F72" i="67" s="1"/>
  <c r="F71" i="67" s="1"/>
  <c r="F70" i="67"/>
  <c r="F69" i="67"/>
  <c r="F68" i="67"/>
  <c r="F67" i="67"/>
  <c r="F66" i="67"/>
  <c r="F65" i="67"/>
  <c r="D64" i="67"/>
  <c r="F64" i="67" s="1"/>
  <c r="F63" i="67"/>
  <c r="E63" i="67"/>
  <c r="D52" i="67"/>
  <c r="F52" i="67" s="1"/>
  <c r="F51" i="67" s="1"/>
  <c r="D50" i="67"/>
  <c r="F50" i="67" s="1"/>
  <c r="F49" i="67" s="1"/>
  <c r="D48" i="67"/>
  <c r="E47" i="67"/>
  <c r="D47" i="67"/>
  <c r="F47" i="67" s="1"/>
  <c r="E46" i="67"/>
  <c r="D46" i="67"/>
  <c r="F46" i="67" s="1"/>
  <c r="E45" i="67"/>
  <c r="D45" i="67"/>
  <c r="E44" i="67"/>
  <c r="D44" i="67"/>
  <c r="E43" i="67"/>
  <c r="D43" i="67"/>
  <c r="F43" i="67" s="1"/>
  <c r="E42" i="67"/>
  <c r="D42" i="67"/>
  <c r="F42" i="67" s="1"/>
  <c r="E41" i="67"/>
  <c r="D41" i="67"/>
  <c r="E40" i="67"/>
  <c r="D40" i="67"/>
  <c r="F40" i="67" s="1"/>
  <c r="E31" i="67"/>
  <c r="D29" i="67"/>
  <c r="F29" i="67" s="1"/>
  <c r="E27" i="67"/>
  <c r="D27" i="67"/>
  <c r="D44" i="66"/>
  <c r="D58" i="67" s="1"/>
  <c r="F58" i="67" s="1"/>
  <c r="D36" i="66"/>
  <c r="D37" i="66" s="1"/>
  <c r="D32" i="67" s="1"/>
  <c r="F32" i="67" s="1"/>
  <c r="D29" i="66"/>
  <c r="D34" i="67" s="1"/>
  <c r="F34" i="67" s="1"/>
  <c r="D23" i="66"/>
  <c r="D31" i="67" s="1"/>
  <c r="D33" i="67" s="1"/>
  <c r="F33" i="67" s="1"/>
  <c r="D21" i="66"/>
  <c r="D16" i="66"/>
  <c r="D30" i="67" s="1"/>
  <c r="F30" i="67" s="1"/>
  <c r="D15" i="66"/>
  <c r="M40" i="65"/>
  <c r="N40" i="65" s="1"/>
  <c r="L40" i="65"/>
  <c r="K40" i="65"/>
  <c r="J40" i="65"/>
  <c r="I40" i="65"/>
  <c r="N39" i="65"/>
  <c r="M39" i="65"/>
  <c r="K39" i="65"/>
  <c r="L39" i="65" s="1"/>
  <c r="I39" i="65"/>
  <c r="J39" i="65" s="1"/>
  <c r="N38" i="65"/>
  <c r="M38" i="65"/>
  <c r="K38" i="65"/>
  <c r="L38" i="65" s="1"/>
  <c r="J38" i="65"/>
  <c r="I38" i="65"/>
  <c r="M37" i="65"/>
  <c r="N37" i="65" s="1"/>
  <c r="L37" i="65"/>
  <c r="K37" i="65"/>
  <c r="I37" i="65"/>
  <c r="J37" i="65" s="1"/>
  <c r="N36" i="65"/>
  <c r="M36" i="65"/>
  <c r="L36" i="65"/>
  <c r="K36" i="65"/>
  <c r="I36" i="65"/>
  <c r="J36" i="65" s="1"/>
  <c r="N35" i="65"/>
  <c r="L35" i="65"/>
  <c r="J35" i="65"/>
  <c r="N34" i="65"/>
  <c r="M34" i="65"/>
  <c r="L34" i="65"/>
  <c r="I34" i="65"/>
  <c r="J34" i="65" s="1"/>
  <c r="N33" i="65"/>
  <c r="M33" i="65"/>
  <c r="L33" i="65"/>
  <c r="K33" i="65"/>
  <c r="I33" i="65"/>
  <c r="J33" i="65" s="1"/>
  <c r="M31" i="65"/>
  <c r="N31" i="65" s="1"/>
  <c r="K31" i="65"/>
  <c r="L31" i="65" s="1"/>
  <c r="J31" i="65"/>
  <c r="I31" i="65"/>
  <c r="M30" i="65"/>
  <c r="K30" i="65"/>
  <c r="I30" i="65"/>
  <c r="M29" i="65"/>
  <c r="K29" i="65"/>
  <c r="I29" i="65"/>
  <c r="M28" i="65"/>
  <c r="K28" i="65"/>
  <c r="I28" i="65"/>
  <c r="M27" i="65"/>
  <c r="K27" i="65"/>
  <c r="I27" i="65"/>
  <c r="M26" i="65"/>
  <c r="K26" i="65"/>
  <c r="I26" i="65"/>
  <c r="M25" i="65"/>
  <c r="K25" i="65"/>
  <c r="I25" i="65"/>
  <c r="M24" i="65"/>
  <c r="K24" i="65"/>
  <c r="I24" i="65"/>
  <c r="M23" i="65"/>
  <c r="K23" i="65"/>
  <c r="I23" i="65"/>
  <c r="N21" i="65"/>
  <c r="M21" i="65"/>
  <c r="L21" i="65"/>
  <c r="K21" i="65"/>
  <c r="J21" i="65"/>
  <c r="I21" i="65"/>
  <c r="M20" i="65"/>
  <c r="N20" i="65" s="1"/>
  <c r="K20" i="65"/>
  <c r="L20" i="65" s="1"/>
  <c r="I20" i="65"/>
  <c r="J20" i="65" s="1"/>
  <c r="M19" i="65"/>
  <c r="N19" i="65" s="1"/>
  <c r="L19" i="65"/>
  <c r="K19" i="65"/>
  <c r="J19" i="65"/>
  <c r="M17" i="65"/>
  <c r="N17" i="65" s="1"/>
  <c r="K17" i="65"/>
  <c r="L17" i="65" s="1"/>
  <c r="I17" i="65"/>
  <c r="J17" i="65" s="1"/>
  <c r="N16" i="65"/>
  <c r="M16" i="65"/>
  <c r="L16" i="65"/>
  <c r="K16" i="65"/>
  <c r="I16" i="65"/>
  <c r="J16" i="65" s="1"/>
  <c r="M15" i="65"/>
  <c r="N15" i="65" s="1"/>
  <c r="K15" i="65"/>
  <c r="L15" i="65" s="1"/>
  <c r="I15" i="65"/>
  <c r="J15" i="65" s="1"/>
  <c r="N13" i="65"/>
  <c r="M13" i="65"/>
  <c r="L13" i="65"/>
  <c r="K13" i="65"/>
  <c r="I13" i="65"/>
  <c r="J13" i="65" s="1"/>
  <c r="M12" i="65"/>
  <c r="N12" i="65" s="1"/>
  <c r="K12" i="65"/>
  <c r="L12" i="65" s="1"/>
  <c r="I12" i="65"/>
  <c r="J12" i="65" s="1"/>
  <c r="M11" i="65"/>
  <c r="N11" i="65" s="1"/>
  <c r="L11" i="65"/>
  <c r="K11" i="65"/>
  <c r="J11" i="65"/>
  <c r="I11" i="65"/>
  <c r="N10" i="65"/>
  <c r="M10" i="65"/>
  <c r="K10" i="65"/>
  <c r="L10" i="65" s="1"/>
  <c r="I10" i="65"/>
  <c r="J10" i="65" s="1"/>
  <c r="N8" i="65"/>
  <c r="M8" i="65"/>
  <c r="L8" i="65"/>
  <c r="K8" i="65"/>
  <c r="J8" i="65"/>
  <c r="I8" i="65"/>
  <c r="D4" i="65"/>
  <c r="C4" i="65"/>
  <c r="H34" i="65" s="1"/>
  <c r="B4" i="65"/>
  <c r="H33" i="65" s="1"/>
  <c r="A4" i="65"/>
  <c r="O37" i="64"/>
  <c r="F34" i="64"/>
  <c r="E57" i="67" s="1"/>
  <c r="F57" i="67" s="1"/>
  <c r="F33" i="64"/>
  <c r="F32" i="64"/>
  <c r="F31" i="64"/>
  <c r="D31" i="64"/>
  <c r="F28" i="64"/>
  <c r="D28" i="64"/>
  <c r="F27" i="64"/>
  <c r="D27" i="64"/>
  <c r="F26" i="64"/>
  <c r="F25" i="64"/>
  <c r="D24" i="64"/>
  <c r="F24" i="64" s="1"/>
  <c r="D16" i="64"/>
  <c r="D13" i="64"/>
  <c r="D19" i="64" s="1"/>
  <c r="D11" i="64"/>
  <c r="O49" i="64"/>
  <c r="O11" i="64"/>
  <c r="B3" i="64"/>
  <c r="D43" i="61"/>
  <c r="D37" i="61"/>
  <c r="D22" i="61"/>
  <c r="D7" i="61"/>
  <c r="D33" i="60"/>
  <c r="D25" i="60"/>
  <c r="D14" i="60"/>
  <c r="C13" i="79" l="1"/>
  <c r="P14" i="78"/>
  <c r="D12" i="61"/>
  <c r="H40" i="65"/>
  <c r="F59" i="67" s="1"/>
  <c r="F27" i="67"/>
  <c r="F26" i="67" s="1"/>
  <c r="F45" i="67"/>
  <c r="K4" i="65"/>
  <c r="H15" i="65"/>
  <c r="F21" i="67" s="1"/>
  <c r="F20" i="67" s="1"/>
  <c r="H17" i="65"/>
  <c r="F23" i="67" s="1"/>
  <c r="H31" i="65"/>
  <c r="E48" i="67" s="1"/>
  <c r="F48" i="67" s="1"/>
  <c r="H20" i="65"/>
  <c r="E35" i="67" s="1"/>
  <c r="F35" i="67" s="1"/>
  <c r="F28" i="67" s="1"/>
  <c r="H39" i="65"/>
  <c r="E53" i="67" s="1"/>
  <c r="F53" i="67" s="1"/>
  <c r="H37" i="65"/>
  <c r="E55" i="67" s="1"/>
  <c r="F55" i="67" s="1"/>
  <c r="H36" i="65"/>
  <c r="E54" i="67" s="1"/>
  <c r="F54" i="67" s="1"/>
  <c r="H16" i="65"/>
  <c r="F22" i="67" s="1"/>
  <c r="H21" i="65"/>
  <c r="F37" i="67" s="1"/>
  <c r="F41" i="67"/>
  <c r="F44" i="67"/>
  <c r="H38" i="65"/>
  <c r="F17" i="62"/>
  <c r="J11" i="74"/>
  <c r="J18" i="74" s="1"/>
  <c r="D35" i="60"/>
  <c r="F29" i="64"/>
  <c r="E56" i="67" s="1"/>
  <c r="F56" i="67" s="1"/>
  <c r="F31" i="67"/>
  <c r="F39" i="67"/>
  <c r="F38" i="67" s="1"/>
  <c r="O12" i="64"/>
  <c r="O14" i="64"/>
  <c r="D15" i="64"/>
  <c r="H13" i="65"/>
  <c r="F19" i="67" s="1"/>
  <c r="O6" i="64"/>
  <c r="O39" i="64"/>
  <c r="H12" i="65"/>
  <c r="F18" i="67" s="1"/>
  <c r="D17" i="64"/>
  <c r="E62" i="67" s="1"/>
  <c r="F62" i="67" s="1"/>
  <c r="F61" i="67" s="1"/>
  <c r="F60" i="67" s="1"/>
  <c r="H11" i="65"/>
  <c r="F17" i="67" s="1"/>
  <c r="H10" i="65"/>
  <c r="F16" i="67" s="1"/>
  <c r="F15" i="67" s="1"/>
  <c r="F14" i="67" s="1"/>
  <c r="S4" i="64"/>
  <c r="D18" i="64"/>
  <c r="E36" i="67" s="1"/>
  <c r="F36" i="67" s="1"/>
  <c r="D45" i="61" l="1"/>
  <c r="J17" i="74"/>
  <c r="G26" i="57" s="1"/>
  <c r="B9" i="78"/>
  <c r="N9" i="78" s="1"/>
  <c r="E35" i="60"/>
  <c r="G17" i="62"/>
  <c r="B18" i="78"/>
  <c r="F25" i="67"/>
  <c r="F24" i="67" s="1"/>
  <c r="F76" i="67" s="1"/>
  <c r="O51" i="64"/>
  <c r="O33" i="64"/>
  <c r="O45" i="64"/>
  <c r="O17" i="64"/>
  <c r="O57" i="64"/>
  <c r="O53" i="64"/>
  <c r="O31" i="64"/>
  <c r="O34" i="64"/>
  <c r="O41" i="64" s="1"/>
  <c r="O20" i="64"/>
  <c r="D17" i="95" l="1"/>
  <c r="N18" i="78"/>
  <c r="D9" i="78"/>
  <c r="B8" i="79"/>
  <c r="D8" i="95" s="1"/>
  <c r="B10" i="78"/>
  <c r="N10" i="78" s="1"/>
  <c r="E45" i="61"/>
  <c r="D18" i="78"/>
  <c r="B17" i="79"/>
  <c r="B24" i="58"/>
  <c r="G24" i="58" s="1"/>
  <c r="G29" i="56"/>
  <c r="C17" i="79" l="1"/>
  <c r="P18" i="78"/>
  <c r="C8" i="79"/>
  <c r="P9" i="78"/>
  <c r="B9" i="79"/>
  <c r="D10" i="78"/>
  <c r="G29" i="57"/>
  <c r="H24" i="52"/>
  <c r="H23" i="52"/>
  <c r="G19" i="55"/>
  <c r="G21" i="55" s="1"/>
  <c r="B22" i="56"/>
  <c r="B15" i="58"/>
  <c r="C9" i="79" l="1"/>
  <c r="P10" i="78"/>
  <c r="G15" i="58"/>
  <c r="G25" i="58" s="1"/>
  <c r="G28" i="58" s="1"/>
  <c r="G23" i="56"/>
  <c r="G32" i="56" s="1"/>
  <c r="H32" i="56" s="1"/>
  <c r="D9" i="95"/>
  <c r="H21" i="55"/>
  <c r="B15" i="78"/>
  <c r="B16" i="78"/>
  <c r="N16" i="78" s="1"/>
  <c r="H29" i="57"/>
  <c r="G18" i="53"/>
  <c r="G21" i="53" s="1"/>
  <c r="G22" i="51"/>
  <c r="G25" i="51" s="1"/>
  <c r="G20" i="52"/>
  <c r="H28" i="58" l="1"/>
  <c r="B11" i="78"/>
  <c r="N11" i="78" s="1"/>
  <c r="H25" i="51"/>
  <c r="B8" i="78"/>
  <c r="N8" i="78" s="1"/>
  <c r="H21" i="53"/>
  <c r="B13" i="78"/>
  <c r="N13" i="78" s="1"/>
  <c r="B14" i="79"/>
  <c r="D14" i="95" s="1"/>
  <c r="D15" i="78"/>
  <c r="B15" i="79"/>
  <c r="D15" i="95" s="1"/>
  <c r="D16" i="78"/>
  <c r="P16" i="78" s="1"/>
  <c r="G35" i="54"/>
  <c r="H35" i="54" s="1"/>
  <c r="G25" i="52"/>
  <c r="H25" i="52" s="1"/>
  <c r="D11" i="78" l="1"/>
  <c r="P11" i="78" s="1"/>
  <c r="B10" i="79"/>
  <c r="D10" i="95" s="1"/>
  <c r="C14" i="79"/>
  <c r="P15" i="78"/>
  <c r="D8" i="78"/>
  <c r="B7" i="79"/>
  <c r="D7" i="95" s="1"/>
  <c r="D13" i="78"/>
  <c r="B12" i="79"/>
  <c r="D12" i="95" s="1"/>
  <c r="C15" i="79"/>
  <c r="G18" i="49"/>
  <c r="D8" i="49"/>
  <c r="D9" i="49" s="1"/>
  <c r="D10" i="49" s="1"/>
  <c r="G10" i="49" s="1"/>
  <c r="C10" i="79" l="1"/>
  <c r="C12" i="79"/>
  <c r="P13" i="78"/>
  <c r="C7" i="79"/>
  <c r="P8" i="78"/>
  <c r="D13" i="49"/>
  <c r="D14" i="49" s="1"/>
  <c r="G14" i="49" s="1"/>
  <c r="D11" i="49"/>
  <c r="D12" i="49" s="1"/>
  <c r="D11" i="48"/>
  <c r="D9" i="48" s="1"/>
  <c r="D22" i="48"/>
  <c r="G22" i="48" s="1"/>
  <c r="F32" i="47"/>
  <c r="F18" i="47"/>
  <c r="G9" i="48" l="1"/>
  <c r="J11" i="48"/>
  <c r="G11" i="48"/>
  <c r="G30" i="49"/>
  <c r="D16" i="48"/>
  <c r="G16" i="48" s="1"/>
  <c r="D15" i="49"/>
  <c r="B15" i="49"/>
  <c r="G12" i="49"/>
  <c r="F33" i="47"/>
  <c r="D24" i="47"/>
  <c r="D7" i="47"/>
  <c r="F7" i="47" s="1"/>
  <c r="F12" i="47" s="1"/>
  <c r="F24" i="47" l="1"/>
  <c r="C43" i="49"/>
  <c r="B15" i="21"/>
  <c r="D16" i="49"/>
  <c r="G16" i="49" s="1"/>
  <c r="D17" i="49"/>
  <c r="G17" i="49" s="1"/>
  <c r="G15" i="49"/>
  <c r="D25" i="47"/>
  <c r="F25" i="47" s="1"/>
  <c r="F26" i="47" l="1"/>
  <c r="F27" i="47" s="1"/>
  <c r="F35" i="47" s="1"/>
  <c r="C45" i="49"/>
  <c r="C44" i="49"/>
  <c r="C46" i="49"/>
  <c r="G19" i="49"/>
  <c r="G33" i="49" s="1"/>
  <c r="B4" i="78" l="1"/>
  <c r="G35" i="47"/>
  <c r="H33" i="49"/>
  <c r="B6" i="78"/>
  <c r="N6" i="78" s="1"/>
  <c r="K8" i="48"/>
  <c r="G31" i="21"/>
  <c r="N4" i="78" l="1"/>
  <c r="B3" i="79"/>
  <c r="D3" i="95" s="1"/>
  <c r="D4" i="78"/>
  <c r="D6" i="78"/>
  <c r="B5" i="79"/>
  <c r="D4" i="95" s="1"/>
  <c r="H25" i="48"/>
  <c r="B7" i="78"/>
  <c r="N7" i="78" s="1"/>
  <c r="B5" i="78"/>
  <c r="N5" i="78" s="1"/>
  <c r="H11" i="36"/>
  <c r="H10" i="36"/>
  <c r="H9" i="36"/>
  <c r="H8" i="36"/>
  <c r="H7" i="36"/>
  <c r="H6" i="36"/>
  <c r="H12" i="36"/>
  <c r="H5" i="36"/>
  <c r="P4" i="78" l="1"/>
  <c r="C3" i="79"/>
  <c r="C5" i="79"/>
  <c r="P6" i="78"/>
  <c r="B19" i="78"/>
  <c r="B6" i="79"/>
  <c r="D6" i="95" s="1"/>
  <c r="D7" i="78"/>
  <c r="H31" i="21"/>
  <c r="D5" i="78"/>
  <c r="P5" i="78" s="1"/>
  <c r="B4" i="79"/>
  <c r="C6" i="79" l="1"/>
  <c r="P7" i="78"/>
  <c r="D18" i="95"/>
  <c r="N19" i="78"/>
  <c r="D19" i="78"/>
  <c r="D5" i="95"/>
  <c r="B18" i="79"/>
  <c r="L23" i="78"/>
  <c r="C4" i="79"/>
  <c r="C18" i="79" l="1"/>
  <c r="C5" i="95"/>
  <c r="D19" i="95"/>
  <c r="D20" i="78"/>
  <c r="D21" i="78" s="1"/>
  <c r="P19" i="78"/>
  <c r="C5" i="78"/>
  <c r="C6" i="78"/>
  <c r="C12" i="78"/>
  <c r="C7" i="78"/>
  <c r="C3" i="78"/>
  <c r="C15" i="78"/>
  <c r="C11" i="78"/>
  <c r="C18" i="78"/>
  <c r="C4" i="78"/>
  <c r="C14" i="78"/>
  <c r="C16" i="78"/>
  <c r="C13" i="78"/>
  <c r="C17" i="78"/>
  <c r="C8" i="78"/>
  <c r="C10" i="78"/>
  <c r="C19" i="78"/>
  <c r="C9" i="78"/>
  <c r="C18" i="95" l="1"/>
  <c r="C17" i="95"/>
  <c r="C15" i="95"/>
  <c r="C16" i="95"/>
  <c r="C3" i="95"/>
  <c r="C6" i="95"/>
  <c r="C11" i="95"/>
  <c r="C7" i="95"/>
  <c r="C14" i="95"/>
  <c r="C8" i="95"/>
  <c r="D24" i="95"/>
  <c r="D28" i="95" s="1"/>
  <c r="C12" i="95"/>
  <c r="C4" i="95"/>
  <c r="C2" i="95"/>
  <c r="C9" i="95"/>
  <c r="C13" i="95"/>
  <c r="C10" i="95"/>
  <c r="C20" i="78"/>
  <c r="D35" i="95" l="1"/>
  <c r="D42" i="95"/>
  <c r="D44" i="95"/>
  <c r="D25" i="95"/>
  <c r="D27" i="95"/>
  <c r="D38" i="95"/>
  <c r="D40" i="95"/>
  <c r="D31" i="95"/>
  <c r="D41" i="95"/>
  <c r="D32" i="95"/>
  <c r="D26" i="95"/>
  <c r="D43" i="95"/>
  <c r="D29" i="95"/>
  <c r="D30" i="95"/>
  <c r="D46" i="95"/>
  <c r="D37" i="95"/>
  <c r="D36" i="95"/>
  <c r="D48" i="95"/>
  <c r="D33" i="95"/>
  <c r="D34" i="95"/>
  <c r="D45" i="95"/>
  <c r="D39" i="95"/>
  <c r="D47" i="95"/>
  <c r="C19" i="9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B25" authorId="0" shapeId="0" xr:uid="{24E26533-CC5C-4581-B306-D492C246179F}">
      <text>
        <r>
          <rPr>
            <b/>
            <sz val="9"/>
            <color indexed="81"/>
            <rFont val="Segoe UI"/>
            <family val="2"/>
          </rPr>
          <t>EMPOLAMENTO</t>
        </r>
      </text>
    </comment>
    <comment ref="B26" authorId="0" shapeId="0" xr:uid="{77AA3A1D-91F2-4999-B4DD-7C8DB331FB48}">
      <text>
        <r>
          <rPr>
            <b/>
            <sz val="9"/>
            <color indexed="81"/>
            <rFont val="Segoe UI"/>
            <family val="2"/>
          </rPr>
          <t>EMPOLAMENTO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Michelle Oliveira</author>
  </authors>
  <commentList>
    <comment ref="F18" authorId="0" shapeId="0" xr:uid="{39455641-0087-4EFB-85D9-6D636E04E26A}">
      <text>
        <r>
          <rPr>
            <b/>
            <sz val="9"/>
            <color indexed="81"/>
            <rFont val="Segoe UI"/>
            <family val="2"/>
          </rPr>
          <t>Michelle Oliveira:</t>
        </r>
        <r>
          <rPr>
            <sz val="9"/>
            <color indexed="81"/>
            <rFont val="Segoe UI"/>
            <family val="2"/>
          </rPr>
          <t xml:space="preserve">
CONSIDERANDO ADITIVO - PAREDE INCLINADA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Michelle Oliveira</author>
  </authors>
  <commentList>
    <comment ref="F17" authorId="0" shapeId="0" xr:uid="{8B230D9C-F85A-4A90-88A8-8839576F0689}">
      <text>
        <r>
          <rPr>
            <b/>
            <sz val="9"/>
            <color indexed="81"/>
            <rFont val="Segoe UI"/>
            <family val="2"/>
          </rPr>
          <t>Michelle Oliveira:</t>
        </r>
        <r>
          <rPr>
            <sz val="9"/>
            <color indexed="81"/>
            <rFont val="Segoe UI"/>
            <family val="2"/>
          </rPr>
          <t xml:space="preserve">
CONSIDERANDO ADITIVO - PAREDE INCLINADA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tc={DF0B65F5-471A-4D58-95A2-31F7849D8A7B}</author>
    <author>tc={C22C5CA9-0662-4BA5-9A9A-01DC515D7AB5}</author>
    <author>tc={CE62B859-EAD4-4BF8-A94B-737D732905C6}</author>
  </authors>
  <commentList>
    <comment ref="D15" authorId="0" shapeId="0" xr:uid="{DF0B65F5-471A-4D58-95A2-31F7849D8A7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Custo Gran Torino R$42,00 mat</t>
        </r>
      </text>
    </comment>
    <comment ref="D17" authorId="1" shapeId="0" xr:uid="{C22C5CA9-0662-4BA5-9A9A-01DC515D7AB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Malaga R$27,50</t>
        </r>
      </text>
    </comment>
    <comment ref="D20" authorId="2" shapeId="0" xr:uid="{CE62B859-EAD4-4BF8-A94B-737D732905C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Custo Gran Torino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tc={FBFB6480-BBD3-4E0C-B1E7-D80E33FAF04F}</author>
  </authors>
  <commentList>
    <comment ref="D223" authorId="0" shapeId="0" xr:uid="{FBFB6480-BBD3-4E0C-B1E7-D80E33FAF04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PROJETO PDF DIFERENTE DO DWG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tc={4B29CE10-E082-4D53-8558-DDBB3D2D102C}</author>
  </authors>
  <commentList>
    <comment ref="D210" authorId="0" shapeId="0" xr:uid="{4B29CE10-E082-4D53-8558-DDBB3D2D102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PROJETO PDF DIFERENTE DO DWG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tc={7FB527DD-43E1-41F6-B7E2-E7A9E5CD9156}</author>
  </authors>
  <commentList>
    <comment ref="D17" authorId="0" shapeId="0" xr:uid="{7FB527DD-43E1-41F6-B7E2-E7A9E5CD915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m²/área piso Zabaleta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tc={D7BDC65C-B3FA-4F91-B125-5C790CF0312A}</author>
  </authors>
  <commentList>
    <comment ref="D210" authorId="0" shapeId="0" xr:uid="{D7BDC65C-B3FA-4F91-B125-5C790CF0312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PROJETO PDF DIFERENTE DO DWG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Michelle Oliveira</author>
  </authors>
  <commentList>
    <comment ref="A20" authorId="0" shapeId="0" xr:uid="{E4FEB47A-76E3-44A9-B23D-A789A7AA2ABC}">
      <text>
        <r>
          <rPr>
            <b/>
            <sz val="9"/>
            <color indexed="81"/>
            <rFont val="Segoe UI"/>
            <family val="2"/>
          </rPr>
          <t>Michelle Oliveira:</t>
        </r>
        <r>
          <rPr>
            <sz val="9"/>
            <color indexed="81"/>
            <rFont val="Segoe UI"/>
            <family val="2"/>
          </rPr>
          <t xml:space="preserve">
Informado no kick-off que não vão utilizar manta, e sim aditivo cristalizante</t>
        </r>
      </text>
    </comment>
    <comment ref="A21" authorId="0" shapeId="0" xr:uid="{A20C2E24-1BEA-4763-87F0-5AAE6790257E}">
      <text>
        <r>
          <rPr>
            <b/>
            <sz val="9"/>
            <color indexed="81"/>
            <rFont val="Segoe UI"/>
            <family val="2"/>
          </rPr>
          <t>Michelle Oliveira:</t>
        </r>
        <r>
          <rPr>
            <sz val="9"/>
            <color indexed="81"/>
            <rFont val="Segoe UI"/>
            <family val="2"/>
          </rPr>
          <t xml:space="preserve">
Informado no kick-off que não vão utilizar manta, e sim aditivo cristalizante</t>
        </r>
      </text>
    </comment>
    <comment ref="A22" authorId="0" shapeId="0" xr:uid="{EC7B307C-664D-4E87-8A85-6137EDB2FA15}">
      <text>
        <r>
          <rPr>
            <b/>
            <sz val="9"/>
            <color indexed="81"/>
            <rFont val="Segoe UI"/>
            <family val="2"/>
          </rPr>
          <t>Michelle Oliveira:</t>
        </r>
        <r>
          <rPr>
            <sz val="9"/>
            <color indexed="81"/>
            <rFont val="Segoe UI"/>
            <family val="2"/>
          </rPr>
          <t xml:space="preserve">
Informado no kick-off que não vão utilizar manta, e sim aditivo cristalizante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tc={13DEE400-2F17-4939-AAD5-86C0EFB5AEAE}</author>
  </authors>
  <commentList>
    <comment ref="B10" authorId="0" shapeId="0" xr:uid="{13DEE400-2F17-4939-AAD5-86C0EFB5AEA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Descontando banheiros com claraboia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tc={8EAD76F2-7ECE-4532-9101-780173096B26}</author>
  </authors>
  <commentList>
    <comment ref="D15" authorId="0" shapeId="0" xr:uid="{8EAD76F2-7ECE-4532-9101-780173096B2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GOLD SLIM GERALMETE 10% MAIS CARO QUE A LINHA GOLD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tc={0EDC0034-9EB4-4479-8AD3-0531F6AB29B6}</author>
    <author>tc={C975E07C-E46F-437A-8381-90541638E997}</author>
    <author>tc={8017EB38-A35E-4E10-94F1-9F0188B2E7F8}</author>
    <author>tc={F1FA679A-3CF1-4EA9-A527-9C6AF9FC8C7D}</author>
    <author>tc={F427E36D-2B24-43ED-A416-AD54D96E8E22}</author>
    <author>tc={5516434F-6256-47CD-B272-0D9EB3C9DD1F}</author>
    <author>tc={E30859B6-DBB7-47B1-90B2-3FA84F4B1EC6}</author>
    <author>tc={CBC03247-DCA1-4361-A939-9251526136B3}</author>
    <author>tc={F073BF4D-2E0A-4569-A7E9-27CD8F99BE98}</author>
    <author>tc={763B4522-B88E-40A3-B5DD-77D2D8962BD6}</author>
    <author>tc={59F44146-4DD3-4D3B-A82E-831E29F444AB}</author>
    <author>tc={D3CC0BC0-83D1-4444-96E6-BDECA6A08314}</author>
    <author>tc={9453E025-83EF-47AA-8135-AC13F4AD1975}</author>
    <author>tc={427043A8-2FF0-4DAD-9FEB-CBD58E4541A4}</author>
    <author>tc={86DA37CB-6C0D-4DCA-8243-8F153054C375}</author>
    <author>tc={4D56870C-261D-45EF-B74B-DEC0E10456CD}</author>
    <author>tc={2B1B65FD-F702-4B5C-9885-615EBF790FB2}</author>
    <author>tc={EB94DCCB-5BE2-4E39-B3F3-D86C0B218757}</author>
    <author>tc={5EFFA6C3-657A-4875-98A5-3A5B2FF7C130}</author>
    <author>tc={FBC5262F-A7C7-400E-9D31-C358C9BE190A}</author>
    <author>tc={96270BF7-D05F-4311-AB87-108741100A37}</author>
  </authors>
  <commentList>
    <comment ref="E11" authorId="0" shapeId="0" xr:uid="{0EDC0034-9EB4-4479-8AD3-0531F6AB29B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1,15 devido a inclinação da parede de concreto</t>
        </r>
      </text>
    </comment>
    <comment ref="J12" authorId="1" shapeId="0" xr:uid="{C975E07C-E46F-437A-8381-90541638E99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CHAPISCO + REBOCO + TELA + TEXTURA</t>
        </r>
      </text>
    </comment>
    <comment ref="E15" authorId="2" shapeId="0" xr:uid="{8017EB38-A35E-4E10-94F1-9F0188B2E7F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1,15 devido a inclinação da parede de concreto</t>
        </r>
      </text>
    </comment>
    <comment ref="D18" authorId="3" shapeId="0" xr:uid="{F1FA679A-3CF1-4EA9-A527-9C6AF9FC8C7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REPETIÇÕES</t>
        </r>
      </text>
    </comment>
    <comment ref="E18" authorId="4" shapeId="0" xr:uid="{F427E36D-2B24-43ED-A416-AD54D96E8E2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ÁREA</t>
        </r>
      </text>
    </comment>
    <comment ref="E20" authorId="5" shapeId="0" xr:uid="{5516434F-6256-47CD-B272-0D9EB3C9DD1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1,15 devido a inclinação da parede de concreto</t>
        </r>
      </text>
    </comment>
    <comment ref="D23" authorId="6" shapeId="0" xr:uid="{E30859B6-DBB7-47B1-90B2-3FA84F4B1EC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REPETIÇÕES</t>
        </r>
      </text>
    </comment>
    <comment ref="E23" authorId="7" shapeId="0" xr:uid="{CBC03247-DCA1-4361-A939-9251526136B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ÁREA</t>
        </r>
      </text>
    </comment>
    <comment ref="E25" authorId="8" shapeId="0" xr:uid="{F073BF4D-2E0A-4569-A7E9-27CD8F99BE9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1,15 devido a inclinação da parede de concreto</t>
        </r>
      </text>
    </comment>
    <comment ref="D28" authorId="9" shapeId="0" xr:uid="{763B4522-B88E-40A3-B5DD-77D2D8962BD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REPETIÇÕES</t>
        </r>
      </text>
    </comment>
    <comment ref="E28" authorId="10" shapeId="0" xr:uid="{59F44146-4DD3-4D3B-A82E-831E29F444A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ÁREA</t>
        </r>
      </text>
    </comment>
    <comment ref="D31" authorId="11" shapeId="0" xr:uid="{D3CC0BC0-83D1-4444-96E6-BDECA6A0831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REPETIÇÕES</t>
        </r>
      </text>
    </comment>
    <comment ref="E31" authorId="12" shapeId="0" xr:uid="{9453E025-83EF-47AA-8135-AC13F4AD197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ÁREA</t>
        </r>
      </text>
    </comment>
    <comment ref="E33" authorId="13" shapeId="0" xr:uid="{427043A8-2FF0-4DAD-9FEB-CBD58E4541A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1,15 devido a inclinação da parede de concreto</t>
        </r>
      </text>
    </comment>
    <comment ref="D34" authorId="14" shapeId="0" xr:uid="{86DA37CB-6C0D-4DCA-8243-8F153054C37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REPETIÇÕES</t>
        </r>
      </text>
    </comment>
    <comment ref="E34" authorId="15" shapeId="0" xr:uid="{4D56870C-261D-45EF-B74B-DEC0E10456C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ÁREA</t>
        </r>
      </text>
    </comment>
    <comment ref="D36" authorId="16" shapeId="0" xr:uid="{2B1B65FD-F702-4B5C-9885-615EBF790FB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REPETIÇÕES</t>
        </r>
      </text>
    </comment>
    <comment ref="E36" authorId="17" shapeId="0" xr:uid="{EB94DCCB-5BE2-4E39-B3F3-D86C0B21875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ÁREA</t>
        </r>
      </text>
    </comment>
    <comment ref="D37" authorId="18" shapeId="0" xr:uid="{5EFFA6C3-657A-4875-98A5-3A5B2FF7C13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REPETIÇÕES</t>
        </r>
      </text>
    </comment>
    <comment ref="E37" authorId="19" shapeId="0" xr:uid="{FBC5262F-A7C7-400E-9D31-C358C9BE190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ÁREA</t>
        </r>
      </text>
    </comment>
    <comment ref="D39" authorId="20" shapeId="0" xr:uid="{96270BF7-D05F-4311-AB87-108741100A3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ÁREA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<sst xmlns="http://schemas.openxmlformats.org/spreadsheetml/2006/main" count="10464" uniqueCount="1386">
  <si>
    <t>Obra</t>
  </si>
  <si>
    <t>Revisão</t>
  </si>
  <si>
    <t>m²</t>
  </si>
  <si>
    <t>un</t>
  </si>
  <si>
    <t>m</t>
  </si>
  <si>
    <t>Parâmetro</t>
  </si>
  <si>
    <t>R$ / AC</t>
  </si>
  <si>
    <t>AT</t>
  </si>
  <si>
    <t>AC</t>
  </si>
  <si>
    <t>NP</t>
  </si>
  <si>
    <t>NPT</t>
  </si>
  <si>
    <t>APT</t>
  </si>
  <si>
    <t>PPT</t>
  </si>
  <si>
    <t>NS</t>
  </si>
  <si>
    <t>Descrição</t>
  </si>
  <si>
    <t>Identificador</t>
  </si>
  <si>
    <t>Valor total</t>
  </si>
  <si>
    <t>TOTAL</t>
  </si>
  <si>
    <t>Quantidade</t>
  </si>
  <si>
    <t>ESCAVAÇÃO E REATERRO DE VALAS</t>
  </si>
  <si>
    <t>Escavação mecanizada para blocos e baldrames</t>
  </si>
  <si>
    <t>Reaterro para blocos e baldrames</t>
  </si>
  <si>
    <t>m³</t>
  </si>
  <si>
    <t>Armação</t>
  </si>
  <si>
    <t>Concreto</t>
  </si>
  <si>
    <t>Mão de obra</t>
  </si>
  <si>
    <t>kg</t>
  </si>
  <si>
    <t>vb</t>
  </si>
  <si>
    <t>SUPRAESTRUTURA</t>
  </si>
  <si>
    <t>Fabricação forma</t>
  </si>
  <si>
    <t>Montagem de forma</t>
  </si>
  <si>
    <t>Armadura Convencional para Estrutura</t>
  </si>
  <si>
    <t>Escoramento - Torre</t>
  </si>
  <si>
    <t>Escoramento - Embasamento</t>
  </si>
  <si>
    <t>kg / m³</t>
  </si>
  <si>
    <t>m² / AC</t>
  </si>
  <si>
    <t>m³ / AC</t>
  </si>
  <si>
    <t>APE</t>
  </si>
  <si>
    <t>NPD</t>
  </si>
  <si>
    <t>ND</t>
  </si>
  <si>
    <t xml:space="preserve"> 2 Portões acesso garagem - Área: 9,2m² x 2 = 18,4m²</t>
  </si>
  <si>
    <t>2 portas corta-fogo 1 folha</t>
  </si>
  <si>
    <t>1 porta de correr alumínio 2 folhas – Área: 3,465m²</t>
  </si>
  <si>
    <t>1 porta de correr alumínio 2 folhas – Área: 1,7325m²</t>
  </si>
  <si>
    <t>2 portas de abrir alumínio 2 folhas – Área: 2,6376m² x 2 = 5,2752m²</t>
  </si>
  <si>
    <t>1 porta de abrir alumínio 2 folhas – Área: 4,1916m²</t>
  </si>
  <si>
    <t>1 porta pivotante</t>
  </si>
  <si>
    <t>19 portas de abrir madeira 1 folha</t>
  </si>
  <si>
    <t>3 portas de abrir vidro 1 folha – Área: 2,1m² x 3 = 6,3m²</t>
  </si>
  <si>
    <t>2 portas de abrir vidro 1 folha – Área: 1,89m² x 2 = 3,78m²</t>
  </si>
  <si>
    <t>1 porta de abrir alumínio 1 folha – Área: 2,0076m²</t>
  </si>
  <si>
    <t>Janelas – Área: 3,75 + 4,875 + 2,5 + 1,1 + 1,2 + 5,5402 + 4,4874 = 23,4526m²</t>
  </si>
  <si>
    <t>Muro de vidro – Área: 7,0774 + 5,485 + 3,43 + 4,8138 = 20,8062m²</t>
  </si>
  <si>
    <t>8 portas corta-fogo 1 folha</t>
  </si>
  <si>
    <t xml:space="preserve"> Janelas – Area: (1,1 + 1,2 + 28,7391) x 4 = 124,1564m²</t>
  </si>
  <si>
    <t xml:space="preserve"> 2 portas corta-fogo 1 folha</t>
  </si>
  <si>
    <t xml:space="preserve"> 2 portas de abrir alumínio 1 folha – Área: 1,47m² x 2 = 2,94m²</t>
  </si>
  <si>
    <t xml:space="preserve"> 2 portas de abrir vidro 1 folha – Área: 1,89m² x 2 = 3,78m²</t>
  </si>
  <si>
    <t xml:space="preserve"> 5 portas de abrir madeira 1 folha  </t>
  </si>
  <si>
    <t xml:space="preserve"> 1 janela-porta de correr vidro – Área: 14,7348m²</t>
  </si>
  <si>
    <t xml:space="preserve"> Janelas – Área: 1,2894 + 1,2894 + 23,46 + 1,854 + 5,562 + 5,562 + 1,854 + 1,854 + 1,1 + 1,2 = 45,0248m²</t>
  </si>
  <si>
    <t xml:space="preserve"> Guarda corpo vidro – Área: 7,5299 + 5,7955 + 6,5555 = 19,8809m²</t>
  </si>
  <si>
    <t xml:space="preserve"> 38 portas corta-fogo 1 folha</t>
  </si>
  <si>
    <t xml:space="preserve"> 171 portas de abrir madeira 1 folha</t>
  </si>
  <si>
    <t xml:space="preserve"> 19 porta de abrir alumínio 1 folha – Área: 1,26m² x 19 = 23,94m²</t>
  </si>
  <si>
    <t xml:space="preserve"> 19 janela-porta de correr vidro 5 folhas - Área: 25,4205m² x 19 = 482,9895m²</t>
  </si>
  <si>
    <t xml:space="preserve"> 19 janela-porta de correr vidro 5 folhas - Área: 17,8284m² x 19 = 338,7396m²</t>
  </si>
  <si>
    <t xml:space="preserve"> Janelas – Área: 1,1 + 1,1 + 1,2 + 1,92 + 0,36 + 2,781 + 2,781 + 1,854 + 1,854 + 5,562 + 5,562 + 1,854 = 27,928m² x 19 = 530,632m²</t>
  </si>
  <si>
    <t xml:space="preserve"> Guarda corpo metálico – Área: 4,745m² x 19 = 90,155m² - Perímetro: 3,65m x 19 = 69,35m</t>
  </si>
  <si>
    <t xml:space="preserve"> Guarda corpo vidro – Área: 15,645m² x 19 = 297,255m² - Perímetro: 14,9m x 19 = 283,1m</t>
  </si>
  <si>
    <t xml:space="preserve"> 2 portas de abrir madeira 1 folha</t>
  </si>
  <si>
    <t xml:space="preserve"> 1 porta de abrir alumínio 1 folha – Área: 1,26m²</t>
  </si>
  <si>
    <t xml:space="preserve"> 1 janela-porta de correr vidro 3 folhas - Área: 15,21m²</t>
  </si>
  <si>
    <t xml:space="preserve"> 1 janela-porta de correr vidro 5 folhas - Área: 25,4205m²</t>
  </si>
  <si>
    <t xml:space="preserve"> 1 janela-porta de correr vidro 5 folhas - Área: 17,8284m²</t>
  </si>
  <si>
    <t xml:space="preserve"> Janelas – Área: 1,1 + 1,2 + 1,1 + 1,92 + 0,36 + 2,781 + 2,781 + 1,854 + 1,854 + 5,562 + 5,562 + 1,854 = 27,928m²</t>
  </si>
  <si>
    <t xml:space="preserve"> Guarda corpo metálico – Área: 4,745m² - Perímetro: 3,65m</t>
  </si>
  <si>
    <t xml:space="preserve"> Guarda corpo vidro – Área: 15,645m² - Perímetro: 14,9m</t>
  </si>
  <si>
    <t xml:space="preserve"> 7 portas de abrir madeira 1 folha</t>
  </si>
  <si>
    <t xml:space="preserve"> 2 portas de correr madeira 1 folha</t>
  </si>
  <si>
    <t xml:space="preserve"> Janelas – Área: 1,1 + 1,2 + 1,92 + 0,36 + 2,781 + 2,781 + 1,854 + 1,854 + 5,562 + 5,562 + 1,854 = 26,828m²</t>
  </si>
  <si>
    <t xml:space="preserve"> 4 portas de abrir madeira 1 folha</t>
  </si>
  <si>
    <t xml:space="preserve"> 1 porta de correr madeira 1 folha</t>
  </si>
  <si>
    <t xml:space="preserve"> 1 porta de correr vidro 3 folhas – Área: 10,5m²</t>
  </si>
  <si>
    <t xml:space="preserve"> 1 janela-porta de correr vidro – Área: 5,61m²</t>
  </si>
  <si>
    <t xml:space="preserve"> Janela – Área: 1,1 + 1,2 + 1,92 + 0,36 + 2,781 + 2,781 + 1,854 + 1,854 + 5,562 + 5,562 + 1,854 + 25,0512 + 17,8284 = 69,7076m²</t>
  </si>
  <si>
    <t xml:space="preserve"> Janelas – Area: 1,1 + 1,2 + 0,84 + 0,84 + 3,549 + 3,549 + 10,647 + 10,647 = 32,372m²</t>
  </si>
  <si>
    <t>portão</t>
  </si>
  <si>
    <t>pcf</t>
  </si>
  <si>
    <t xml:space="preserve">porta alumínio </t>
  </si>
  <si>
    <t>porta alumínio</t>
  </si>
  <si>
    <t>madeira</t>
  </si>
  <si>
    <t>pivotante</t>
  </si>
  <si>
    <t>Guarda  alumínio</t>
  </si>
  <si>
    <t>janela</t>
  </si>
  <si>
    <t xml:space="preserve">gradil </t>
  </si>
  <si>
    <t>Brise</t>
  </si>
  <si>
    <t>REGULARIZAÇÃO E APILOAMENTO DE FUNDO DE VALAS</t>
  </si>
  <si>
    <t>Mão de obra - estrutura em concreto armado</t>
  </si>
  <si>
    <t>R$ / APE</t>
  </si>
  <si>
    <t>TOTAL MOVIMENTAÇÃO DE TERRA</t>
  </si>
  <si>
    <t>TOTAL INFRAESTRUTURA</t>
  </si>
  <si>
    <t>TOTAL SUPRAESTRUTURA</t>
  </si>
  <si>
    <t>FUNDAÇÃO PROFUNDA</t>
  </si>
  <si>
    <t>Número de Estacas</t>
  </si>
  <si>
    <t>un / APE</t>
  </si>
  <si>
    <t>Mobilização</t>
  </si>
  <si>
    <t>FUNDAÇÃO RASA</t>
  </si>
  <si>
    <t>m³ / APE</t>
  </si>
  <si>
    <t>m² / APE</t>
  </si>
  <si>
    <t>Estaca Hélice Continua Diâmetro 60</t>
  </si>
  <si>
    <t>Reutilizações</t>
  </si>
  <si>
    <t>Armação 6,3mm</t>
  </si>
  <si>
    <t>Empresa</t>
  </si>
  <si>
    <t>Preço unitário</t>
  </si>
  <si>
    <t>M</t>
  </si>
  <si>
    <t>M2</t>
  </si>
  <si>
    <t>MOVIMENTAÇÃO DE TERRA</t>
  </si>
  <si>
    <t>INFRAESTRUTURA</t>
  </si>
  <si>
    <t>UN</t>
  </si>
  <si>
    <t>Armação 16mm</t>
  </si>
  <si>
    <t>DADOS OBRA</t>
  </si>
  <si>
    <t>ARQUITETURA</t>
  </si>
  <si>
    <t>Unidade</t>
  </si>
  <si>
    <t>ÁREA DO TERRENO</t>
  </si>
  <si>
    <t>ÁREA TOTAL CONSTRUÍDA</t>
  </si>
  <si>
    <t>NÚMERO TOTAL DE PAVIMENTOS</t>
  </si>
  <si>
    <t>NÚMERO DE PAVIMENTOS TIPO</t>
  </si>
  <si>
    <t>NÚMERO DE PAVIMENTOS DUPLEX</t>
  </si>
  <si>
    <t>ÁREA DE PROJEÇÃO DA TORRE</t>
  </si>
  <si>
    <t>PERÍMETRO DE PROJEÇÃO DA TORRE</t>
  </si>
  <si>
    <t>ÁREA DE SUBSOLOS</t>
  </si>
  <si>
    <t>S</t>
  </si>
  <si>
    <t>NÚMERO DE SUBSOLOS</t>
  </si>
  <si>
    <t>ÁREA DE PROJEÇÃO DO EMBASAMENTO</t>
  </si>
  <si>
    <t>PERÍMETRO DE PROJEÇÃO DE EMBAMENTO</t>
  </si>
  <si>
    <t>NÚMERO DE PAVIMENTOS DE EMBASAMENTO</t>
  </si>
  <si>
    <t>Preço unitário de escavação (R$ / m3)</t>
  </si>
  <si>
    <t>Volume total de escavação (m3)</t>
  </si>
  <si>
    <t>Altura do subsolo (m)</t>
  </si>
  <si>
    <t>ESCAVAÇÃO VERTICAL DE SUBSOLO</t>
  </si>
  <si>
    <t>Preço unitário de rebaixamento (R$ / dias)</t>
  </si>
  <si>
    <t>Quantidade (dias)</t>
  </si>
  <si>
    <t>REBAIXAMENTO DE LENÇOL FREÁTICO</t>
  </si>
  <si>
    <t>PE</t>
  </si>
  <si>
    <t>NE</t>
  </si>
  <si>
    <t>Movimentação de bota-fora</t>
  </si>
  <si>
    <t>m³ / Vol Escavação</t>
  </si>
  <si>
    <t>Área de lastro (m²)</t>
  </si>
  <si>
    <t>Preço unitário (R$ / m2)</t>
  </si>
  <si>
    <t>Preço unitário (R$ / m3)</t>
  </si>
  <si>
    <t>Estaca Hélice Continua Diâmetro 50</t>
  </si>
  <si>
    <t>Estaca Hélice Continua Diâmetro 40</t>
  </si>
  <si>
    <t xml:space="preserve">m/un </t>
  </si>
  <si>
    <t>un / APT*NPT</t>
  </si>
  <si>
    <t>un / AE</t>
  </si>
  <si>
    <t>CONTENÇÃO</t>
  </si>
  <si>
    <t>CORTINA DE ESTACAS</t>
  </si>
  <si>
    <r>
      <rPr>
        <b/>
        <sz val="14"/>
        <color rgb="FF255AE5"/>
        <rFont val="Roboto"/>
      </rPr>
      <t>ORÇAMENTO PARAMÉTRICO</t>
    </r>
    <r>
      <rPr>
        <b/>
        <sz val="14"/>
        <color rgb="FF293549"/>
        <rFont val="Roboto"/>
      </rPr>
      <t xml:space="preserve">
</t>
    </r>
    <r>
      <rPr>
        <b/>
        <sz val="11"/>
        <color rgb="FFFF0000"/>
        <rFont val="Roboto"/>
      </rPr>
      <t>GERENCIAMENTO EXECUTIVO</t>
    </r>
  </si>
  <si>
    <t>Cliente</t>
  </si>
  <si>
    <t>Data</t>
  </si>
  <si>
    <t>R00</t>
  </si>
  <si>
    <t>ALVENARIA</t>
  </si>
  <si>
    <t>Referência</t>
  </si>
  <si>
    <t>Média</t>
  </si>
  <si>
    <t xml:space="preserve">Alvenaria escadas </t>
  </si>
  <si>
    <t>Alvenaria refratárias</t>
  </si>
  <si>
    <t xml:space="preserve">m² / un </t>
  </si>
  <si>
    <t>Serviços complementares</t>
  </si>
  <si>
    <t>R$ / m²</t>
  </si>
  <si>
    <t>TOTAL ALVENARIA</t>
  </si>
  <si>
    <t>REVESTIMENTOS INTERNOS EM PISO E PAREDE</t>
  </si>
  <si>
    <t>Piso de concreto alisado</t>
  </si>
  <si>
    <t>Piso de concreto alisado ranhurado</t>
  </si>
  <si>
    <t>Contrapiso</t>
  </si>
  <si>
    <r>
      <t>m</t>
    </r>
    <r>
      <rPr>
        <b/>
        <sz val="10"/>
        <color theme="1"/>
        <rFont val="Roboto"/>
      </rPr>
      <t>²</t>
    </r>
    <r>
      <rPr>
        <sz val="10"/>
        <color theme="1"/>
        <rFont val="Roboto"/>
      </rPr>
      <t xml:space="preserve"> / AC</t>
    </r>
  </si>
  <si>
    <t>Manta acústica</t>
  </si>
  <si>
    <t>Chapisco</t>
  </si>
  <si>
    <t>Reboco</t>
  </si>
  <si>
    <t>TOTAL REVESTIMENTOS</t>
  </si>
  <si>
    <t xml:space="preserve">ACABAMENTOS DE TETO </t>
  </si>
  <si>
    <t>Negativo</t>
  </si>
  <si>
    <t>Estucamento</t>
  </si>
  <si>
    <t>Chapisco e reboco</t>
  </si>
  <si>
    <t>TOTAL TETO</t>
  </si>
  <si>
    <t>ACABAMENTOS EM PISO E PAREDE</t>
  </si>
  <si>
    <t xml:space="preserve">Porcelanato </t>
  </si>
  <si>
    <t xml:space="preserve">m² </t>
  </si>
  <si>
    <t>Piso vinilico</t>
  </si>
  <si>
    <t>Emborrachado</t>
  </si>
  <si>
    <t>Paver</t>
  </si>
  <si>
    <t>Soleiras e peitoris</t>
  </si>
  <si>
    <t>Revestimentos de Parede</t>
  </si>
  <si>
    <t>TOTAL ACABAMENTOS</t>
  </si>
  <si>
    <t>COBERTURA</t>
  </si>
  <si>
    <t>Pintura piso epoxi</t>
  </si>
  <si>
    <t>m2</t>
  </si>
  <si>
    <t>Pintura acrílica antiderrapante</t>
  </si>
  <si>
    <t xml:space="preserve">Textura escadas </t>
  </si>
  <si>
    <t>Pintura Interna</t>
  </si>
  <si>
    <t>TOTAL PINTURA</t>
  </si>
  <si>
    <t>REVESTIMENTOS ARGAMASSADOS</t>
  </si>
  <si>
    <t>-</t>
  </si>
  <si>
    <t>PINTURA</t>
  </si>
  <si>
    <t>ACABAMENTOS ESPECIAIS</t>
  </si>
  <si>
    <t>Revestimentos especiais</t>
  </si>
  <si>
    <t>TOTAL FACHADA</t>
  </si>
  <si>
    <t>ESQUADRIAS</t>
  </si>
  <si>
    <t>Esquadrias de Alumínio</t>
  </si>
  <si>
    <t>PCF</t>
  </si>
  <si>
    <t>R$ / un</t>
  </si>
  <si>
    <t>Serralherias</t>
  </si>
  <si>
    <t>Guarda-corpo - vidro</t>
  </si>
  <si>
    <t>Portão de alumínio</t>
  </si>
  <si>
    <t>Esquadrias de Madeira</t>
  </si>
  <si>
    <t>TOTAL ESQUADRIAS</t>
  </si>
  <si>
    <t>IMPERMEABILIZAÇÃO</t>
  </si>
  <si>
    <t>Regularização de Superfície</t>
  </si>
  <si>
    <t>Poço do elevador</t>
  </si>
  <si>
    <t>Baldrames</t>
  </si>
  <si>
    <t>Ralos</t>
  </si>
  <si>
    <t>Impermeabilizações cimenticias</t>
  </si>
  <si>
    <t>Impermeabilizações com manta asfaltica</t>
  </si>
  <si>
    <t>Impermeabilização de peitoril</t>
  </si>
  <si>
    <t>Proteção Mecânica</t>
  </si>
  <si>
    <t>TOTAL IMPERMEABILIZAÇÃO</t>
  </si>
  <si>
    <t>INSTALAÇÕES</t>
  </si>
  <si>
    <t>INSTALAÇÕES ELÉTRICAS</t>
  </si>
  <si>
    <t>Entrada de Energia</t>
  </si>
  <si>
    <t>Eletrodutos e Eletrocalhas</t>
  </si>
  <si>
    <t>Cabos e Fiações</t>
  </si>
  <si>
    <t>Quadros e Disjuntores</t>
  </si>
  <si>
    <t>Acabamentos Elétricos</t>
  </si>
  <si>
    <t>Equipamentos e Iluminação</t>
  </si>
  <si>
    <t>Mão de Obra para Instalações Elétricas</t>
  </si>
  <si>
    <t>INSTALAÇÕES HIDROSSANITÁRIAS</t>
  </si>
  <si>
    <t>Instalações de Água Fria</t>
  </si>
  <si>
    <t>Instalações de Água Quente</t>
  </si>
  <si>
    <t>Instalações de Águas Pluviais</t>
  </si>
  <si>
    <t>Instalações Sanitárias</t>
  </si>
  <si>
    <t>Louças e Metais</t>
  </si>
  <si>
    <t>Mão de Obra para Instalações Hidráulicas</t>
  </si>
  <si>
    <t>INSTALAÇÕES PREVENTIVAS E GLP</t>
  </si>
  <si>
    <t>Instalações Preventivas</t>
  </si>
  <si>
    <t>Instalações de GLP</t>
  </si>
  <si>
    <t>Instalações de Proteção e Aterramento - SPDA</t>
  </si>
  <si>
    <t>TOTAL INSTALAÇÕES</t>
  </si>
  <si>
    <t>SISTEMAS ESPECIAIS</t>
  </si>
  <si>
    <t>CLIMATIZAÇÃO, EXAUSTÃO MECÂNICA E PRESSURIZAÇÃO</t>
  </si>
  <si>
    <t>Preço Unitário</t>
  </si>
  <si>
    <t>Infraestrutura para Instalação de Ar Condicionado</t>
  </si>
  <si>
    <t>Instalação de Ar Condicionado</t>
  </si>
  <si>
    <t>Ventokit</t>
  </si>
  <si>
    <t>Churrasqueiras</t>
  </si>
  <si>
    <t>COMUNICAÇÃO</t>
  </si>
  <si>
    <t>CFTV</t>
  </si>
  <si>
    <t>Interfone</t>
  </si>
  <si>
    <t>TV e internet</t>
  </si>
  <si>
    <t>Automação, telecomunicação e sistemas de segurança</t>
  </si>
  <si>
    <t>EQUIPAMENTOS</t>
  </si>
  <si>
    <t>Elevadores</t>
  </si>
  <si>
    <t>Grupo de geradores</t>
  </si>
  <si>
    <t>Subestação</t>
  </si>
  <si>
    <t>Infra de carro elétrico</t>
  </si>
  <si>
    <t>Instalação carro elétrico</t>
  </si>
  <si>
    <t>Sistema de placas fotovoltaicas</t>
  </si>
  <si>
    <t>Equipamentos para Piscina</t>
  </si>
  <si>
    <t>OUTROS SISTEMAS ESPECIAIS</t>
  </si>
  <si>
    <t>Outros sistemas</t>
  </si>
  <si>
    <t>TOTAL SISTEMAS ESPECIAIS</t>
  </si>
  <si>
    <t>COMPLEMENTARES</t>
  </si>
  <si>
    <t>SERVIÇOS COMPLEMENTARES</t>
  </si>
  <si>
    <t>Móveis e decoração</t>
  </si>
  <si>
    <t>Comunicação visual</t>
  </si>
  <si>
    <t>Paisagismo</t>
  </si>
  <si>
    <t>Ligações definitivas</t>
  </si>
  <si>
    <t>Desmobilização</t>
  </si>
  <si>
    <t>Limpeza</t>
  </si>
  <si>
    <t>TOTAL COMPLEMENTARES</t>
  </si>
  <si>
    <t>xxxx</t>
  </si>
  <si>
    <t>ÁREA CONSTRUÍDA</t>
  </si>
  <si>
    <t>Número de funcionários</t>
  </si>
  <si>
    <t>Produtividade média (h/m2)</t>
  </si>
  <si>
    <t>LEVANTAMENTO QUANTITATIVO</t>
  </si>
  <si>
    <t>Área construída</t>
  </si>
  <si>
    <t>A.C/prazo</t>
  </si>
  <si>
    <t>Prazo da obra</t>
  </si>
  <si>
    <t>meses</t>
  </si>
  <si>
    <t>Pm</t>
  </si>
  <si>
    <t xml:space="preserve">h/m2 </t>
  </si>
  <si>
    <t>Instalações de canteiro</t>
  </si>
  <si>
    <t>NF</t>
  </si>
  <si>
    <t>funcionários</t>
  </si>
  <si>
    <t>Pavimentos</t>
  </si>
  <si>
    <t>Equipe administrativa</t>
  </si>
  <si>
    <t>Produtividade média</t>
  </si>
  <si>
    <t>m2 / mês</t>
  </si>
  <si>
    <t>Barracão interno</t>
  </si>
  <si>
    <t>Externo</t>
  </si>
  <si>
    <t>Numero de funcionários</t>
  </si>
  <si>
    <t>Pontos de água e esgoto</t>
  </si>
  <si>
    <t>20 funcionários/ponto</t>
  </si>
  <si>
    <t>Bebedouro</t>
  </si>
  <si>
    <t>1 / 5 pav.</t>
  </si>
  <si>
    <t>Área refeitório</t>
  </si>
  <si>
    <t>m²/funcionários</t>
  </si>
  <si>
    <t>Ferramentas</t>
  </si>
  <si>
    <t>R$</t>
  </si>
  <si>
    <t>800,00/func.</t>
  </si>
  <si>
    <t>EPI</t>
  </si>
  <si>
    <t>500,00/func.</t>
  </si>
  <si>
    <t xml:space="preserve">Banheiro </t>
  </si>
  <si>
    <t>1/20 func</t>
  </si>
  <si>
    <t>Área de vestiário</t>
  </si>
  <si>
    <t>Mobiliário de canteiro</t>
  </si>
  <si>
    <t>Custo unitário</t>
  </si>
  <si>
    <t>Custo total</t>
  </si>
  <si>
    <t>Cadeira</t>
  </si>
  <si>
    <t>Mesa</t>
  </si>
  <si>
    <t>Ar condicionado</t>
  </si>
  <si>
    <t>Armário</t>
  </si>
  <si>
    <t>Escrivaninha</t>
  </si>
  <si>
    <t>Computador pessoal</t>
  </si>
  <si>
    <t>Área sanitários</t>
  </si>
  <si>
    <t>Impressora</t>
  </si>
  <si>
    <t>Roteador</t>
  </si>
  <si>
    <t>área lavatório</t>
  </si>
  <si>
    <t>Área de chuveiros</t>
  </si>
  <si>
    <t>Escritório</t>
  </si>
  <si>
    <t>m²/pessoa</t>
  </si>
  <si>
    <t xml:space="preserve">Almoxarifado </t>
  </si>
  <si>
    <t>funcionários/ponto</t>
  </si>
  <si>
    <t>pontos</t>
  </si>
  <si>
    <t xml:space="preserve">a cada 5 pav. </t>
  </si>
  <si>
    <t xml:space="preserve">Total </t>
  </si>
  <si>
    <t>bebedouros</t>
  </si>
  <si>
    <t xml:space="preserve">800 por funcionário </t>
  </si>
  <si>
    <t>500,00 por funcionário</t>
  </si>
  <si>
    <t>Considerando entrega de 2 uniformes, capacete, bota, óculos e cinto</t>
  </si>
  <si>
    <t>para cada</t>
  </si>
  <si>
    <t>pessoas</t>
  </si>
  <si>
    <t>Estimativas</t>
  </si>
  <si>
    <t>Área de Terreno</t>
  </si>
  <si>
    <t>Área Construída</t>
  </si>
  <si>
    <t>N° pavimentos</t>
  </si>
  <si>
    <t>Parâmetros</t>
  </si>
  <si>
    <t>OBRA 1</t>
  </si>
  <si>
    <t>OBRA 2</t>
  </si>
  <si>
    <t>OBRA 3</t>
  </si>
  <si>
    <t xml:space="preserve"> </t>
  </si>
  <si>
    <t>Valor (R$)</t>
  </si>
  <si>
    <t>Valor</t>
  </si>
  <si>
    <t>Referencia</t>
  </si>
  <si>
    <t xml:space="preserve">ESTUDOS </t>
  </si>
  <si>
    <t>PROJETOS</t>
  </si>
  <si>
    <t>CONSULTORIAS</t>
  </si>
  <si>
    <t>ENSAIOS E LAUDOS</t>
  </si>
  <si>
    <t>TAXAS</t>
  </si>
  <si>
    <t>Despesas de Seguros</t>
  </si>
  <si>
    <t>Licenciamentos, Taxas, Impostos</t>
  </si>
  <si>
    <t/>
  </si>
  <si>
    <t>DOCUMENTOS</t>
  </si>
  <si>
    <t>SEGURANÇA DO TRABALHO</t>
  </si>
  <si>
    <t>Serviço segurança do trabalho  terceirizado</t>
  </si>
  <si>
    <t>mês</t>
  </si>
  <si>
    <t>Placas de Sinalização de Obra</t>
  </si>
  <si>
    <t>MEIO AMBIENTE | SAÚDE OCUPACIONAL</t>
  </si>
  <si>
    <t>EQUIPE</t>
  </si>
  <si>
    <t>Engenheiro Civil</t>
  </si>
  <si>
    <t>Mestre Geral</t>
  </si>
  <si>
    <t>Almoxarife</t>
  </si>
  <si>
    <t>Auxiliar de Engenharia</t>
  </si>
  <si>
    <t>Estagiário de Engenharia</t>
  </si>
  <si>
    <t>Operador de Guincho</t>
  </si>
  <si>
    <t>Servente</t>
  </si>
  <si>
    <t>Setor de projetos</t>
  </si>
  <si>
    <t>Serviço de vigilância</t>
  </si>
  <si>
    <t>CANTEIRO DE OBRA</t>
  </si>
  <si>
    <t>Limpeza da camada vegetal</t>
  </si>
  <si>
    <t>Demolições</t>
  </si>
  <si>
    <t>Locação da obra</t>
  </si>
  <si>
    <t>Instalações Provisórias: Redes de Água Fria, Esgoto e Drenagem</t>
  </si>
  <si>
    <t>Instalações Provisórias: Redes Elétrica, Comunicação e Dados</t>
  </si>
  <si>
    <t>Locação de banheiro químico</t>
  </si>
  <si>
    <t>Galpão provisório</t>
  </si>
  <si>
    <t>Despesas de Consumo e manutenção</t>
  </si>
  <si>
    <t>Equipamentos de proteção coletiva</t>
  </si>
  <si>
    <t>Bandejas de proteção</t>
  </si>
  <si>
    <t>Perímetro de projeção embasamneto</t>
  </si>
  <si>
    <t>Perímetro de projeção torre</t>
  </si>
  <si>
    <t>Número de montagens de bandeja primária</t>
  </si>
  <si>
    <t>Número de montagens de bandeja secundária</t>
  </si>
  <si>
    <t>Bandeja de proteção primária</t>
  </si>
  <si>
    <t>Bandeja de proteção secundária</t>
  </si>
  <si>
    <t>Guarda - corpo de desforma</t>
  </si>
  <si>
    <t>Perímetro de projeção da torre</t>
  </si>
  <si>
    <t>Repetições de pavimentos**</t>
  </si>
  <si>
    <t>Proteção de periferia pós desforma torre</t>
  </si>
  <si>
    <t>Tela fachadeira</t>
  </si>
  <si>
    <t>Area da fachada</t>
  </si>
  <si>
    <t xml:space="preserve">Fechamento removível de vãos em madeira </t>
  </si>
  <si>
    <t xml:space="preserve">Área das portas de elevadores </t>
  </si>
  <si>
    <t>Quantidade de elevadores</t>
  </si>
  <si>
    <t>Quantidade de portas de elevadores</t>
  </si>
  <si>
    <t>Tapume</t>
  </si>
  <si>
    <t>Perímetro de encontro com pavimentação</t>
  </si>
  <si>
    <t>Altura do tapume</t>
  </si>
  <si>
    <t>Cobertura para proteção de pedestres</t>
  </si>
  <si>
    <t>ORÇAMENTO PARAMÉTRICO - CUSTOS INDIRETOS</t>
  </si>
  <si>
    <t>Versão</t>
  </si>
  <si>
    <t>GERENCIAMENTO TÉCNICO</t>
  </si>
  <si>
    <t>Código</t>
  </si>
  <si>
    <t>Un.</t>
  </si>
  <si>
    <t>Quantidade orçada</t>
  </si>
  <si>
    <t>Preço total</t>
  </si>
  <si>
    <t xml:space="preserve">01 </t>
  </si>
  <si>
    <t xml:space="preserve">01.001 </t>
  </si>
  <si>
    <t>ESTUDOS, PROJETOS E CONSULTORIAS</t>
  </si>
  <si>
    <t xml:space="preserve">01.001.001 </t>
  </si>
  <si>
    <t>Estudos</t>
  </si>
  <si>
    <t xml:space="preserve">01.001.002 </t>
  </si>
  <si>
    <t>Projetos</t>
  </si>
  <si>
    <t>01.001.003</t>
  </si>
  <si>
    <t>Consultorias</t>
  </si>
  <si>
    <t>01.001.004</t>
  </si>
  <si>
    <t>Ensaios e Laudos</t>
  </si>
  <si>
    <t xml:space="preserve">01.002 </t>
  </si>
  <si>
    <t>TAXAS E DOCUMENTOS</t>
  </si>
  <si>
    <t xml:space="preserve">01.002.001 </t>
  </si>
  <si>
    <t>Seguros</t>
  </si>
  <si>
    <t xml:space="preserve">01.002.002 </t>
  </si>
  <si>
    <t xml:space="preserve">01.002.003 </t>
  </si>
  <si>
    <t>Documentos</t>
  </si>
  <si>
    <t xml:space="preserve">02 </t>
  </si>
  <si>
    <t>GERENCIAMENTO ADMINISTRATIVO</t>
  </si>
  <si>
    <t xml:space="preserve">02.001 </t>
  </si>
  <si>
    <t>SEGURANÇA, MEIO AMBIENTE E SAÚDE</t>
  </si>
  <si>
    <t xml:space="preserve">02.001.001 </t>
  </si>
  <si>
    <t>Segurança do Trabalho</t>
  </si>
  <si>
    <t xml:space="preserve">02.001.001.001 </t>
  </si>
  <si>
    <t>Serviço de segurança do trabalho terceirizado</t>
  </si>
  <si>
    <t>mes</t>
  </si>
  <si>
    <t xml:space="preserve">02.001.002 </t>
  </si>
  <si>
    <t>Equipamentos de proteção</t>
  </si>
  <si>
    <t xml:space="preserve">02.001.002.001 </t>
  </si>
  <si>
    <t>02.001.002.002</t>
  </si>
  <si>
    <t>Guarda corpo em laje pós - desforma</t>
  </si>
  <si>
    <t>02.001.002.003</t>
  </si>
  <si>
    <t>Fechamento removível de vãos de porta de elevador em madeira</t>
  </si>
  <si>
    <t>02.001.002.004</t>
  </si>
  <si>
    <t>Varal de segurança com cabo de aço</t>
  </si>
  <si>
    <t>Tela fachadeira reforçada com impressão digital</t>
  </si>
  <si>
    <t>02.001.002.005</t>
  </si>
  <si>
    <t>Sinalização com placa indicativa fixada na estrutura</t>
  </si>
  <si>
    <t>02.001.002.007</t>
  </si>
  <si>
    <t>Equipamentos de proteção individual</t>
  </si>
  <si>
    <t xml:space="preserve">02.001.003 </t>
  </si>
  <si>
    <t>Meio Ambiente</t>
  </si>
  <si>
    <t xml:space="preserve">02.002 </t>
  </si>
  <si>
    <t>ADMINISTRAÇÃO E CANTEIRO DE OBRA</t>
  </si>
  <si>
    <t xml:space="preserve">02.002.001 </t>
  </si>
  <si>
    <t>Equipe de Gestão e Apoio</t>
  </si>
  <si>
    <t xml:space="preserve">02.002.001.001 </t>
  </si>
  <si>
    <t>02.002.001.002</t>
  </si>
  <si>
    <t>02.002.001.003</t>
  </si>
  <si>
    <t>02.002.001.004</t>
  </si>
  <si>
    <t>02.002.001.005</t>
  </si>
  <si>
    <t>02.002.001.006</t>
  </si>
  <si>
    <t>02.002.001.007</t>
  </si>
  <si>
    <t>02.002.001.008</t>
  </si>
  <si>
    <t>02.002.001.009</t>
  </si>
  <si>
    <t xml:space="preserve">02.002.002 </t>
  </si>
  <si>
    <t>Operação Inicial do Canteiro</t>
  </si>
  <si>
    <t xml:space="preserve">02.002.002.001 </t>
  </si>
  <si>
    <t>Limpeza mecanizada de camada vegetal</t>
  </si>
  <si>
    <t xml:space="preserve">02.002.003 </t>
  </si>
  <si>
    <t>Instalações Provisórias</t>
  </si>
  <si>
    <t xml:space="preserve">02.002.003.001 </t>
  </si>
  <si>
    <t>02.002.003.002</t>
  </si>
  <si>
    <t>02.002.003.003</t>
  </si>
  <si>
    <t>02.002.003.004</t>
  </si>
  <si>
    <t>02.002.003.005</t>
  </si>
  <si>
    <t>Mobiliário de apoio a obra</t>
  </si>
  <si>
    <t>02.002.003.006</t>
  </si>
  <si>
    <t>Equipamentos escritório - aquisição</t>
  </si>
  <si>
    <t>02.002.003.007</t>
  </si>
  <si>
    <t>Tapume com telha metálica</t>
  </si>
  <si>
    <t>02.002.005</t>
  </si>
  <si>
    <t>Despesas de Consumo e Manutenção</t>
  </si>
  <si>
    <t xml:space="preserve">02.003 </t>
  </si>
  <si>
    <t xml:space="preserve">02.003.001 </t>
  </si>
  <si>
    <t>Equipamentos de Obra</t>
  </si>
  <si>
    <t xml:space="preserve">02.003.001.001 </t>
  </si>
  <si>
    <t>Ferramentas - aquisição/manutenção</t>
  </si>
  <si>
    <t>02.003.001.002</t>
  </si>
  <si>
    <t>Condutor de Entulho-Aquisição</t>
  </si>
  <si>
    <t>02.003.001.003</t>
  </si>
  <si>
    <t>Manutenção de veículo de apoio - Kia Bongo</t>
  </si>
  <si>
    <t>02.003.001.005</t>
  </si>
  <si>
    <t>Manutenção inicial de elevador cremalheira</t>
  </si>
  <si>
    <t>02.003.001.006</t>
  </si>
  <si>
    <t>Manutenção periódica de elevador cremalheira</t>
  </si>
  <si>
    <t>02.003.001.007</t>
  </si>
  <si>
    <t>Montagem e desmontagem de elevador cremalheira</t>
  </si>
  <si>
    <t>02.003.001.009</t>
  </si>
  <si>
    <t>Manutenção periódica de de Mini-grua</t>
  </si>
  <si>
    <t>02.003.001.010</t>
  </si>
  <si>
    <t>Montagem e Desmontagem de Mini-grua</t>
  </si>
  <si>
    <t>02.003.001.011</t>
  </si>
  <si>
    <t>Mobilização e desmobilização de Mini-grua</t>
  </si>
  <si>
    <t>02.003.002</t>
  </si>
  <si>
    <t>Balancim</t>
  </si>
  <si>
    <t>02.003.002.001</t>
  </si>
  <si>
    <t>Locação de balancim</t>
  </si>
  <si>
    <t>02.003.002.002</t>
  </si>
  <si>
    <t>Montagem e desmontagem de balancim</t>
  </si>
  <si>
    <t>02.003.002.003</t>
  </si>
  <si>
    <t>Manutenção periódica de balancim</t>
  </si>
  <si>
    <t>02.003.002.004</t>
  </si>
  <si>
    <t>Locação de andaime</t>
  </si>
  <si>
    <t>Total</t>
  </si>
  <si>
    <t>LEVANTAMENTO DE PROJETO</t>
  </si>
  <si>
    <t>Pavimento</t>
  </si>
  <si>
    <t>Área (m²)</t>
  </si>
  <si>
    <t>Repetição</t>
  </si>
  <si>
    <t>Área total</t>
  </si>
  <si>
    <t>REVESTIMENTOS E ACABAMENTOS DE PISO</t>
  </si>
  <si>
    <t>ACABAMENTOS</t>
  </si>
  <si>
    <t>Ambiente</t>
  </si>
  <si>
    <t>Material</t>
  </si>
  <si>
    <t>Reboco (Sim/Não)</t>
  </si>
  <si>
    <t>Revestimento</t>
  </si>
  <si>
    <t>CONTRAPISO</t>
  </si>
  <si>
    <t>Contrapiso (Sim/Não)</t>
  </si>
  <si>
    <t>ESQUADRIAS DE MADEIRA</t>
  </si>
  <si>
    <t>Marca esquadria</t>
  </si>
  <si>
    <t>Largura (m)</t>
  </si>
  <si>
    <t>Altura (m)</t>
  </si>
  <si>
    <t>Marca Esquadria</t>
  </si>
  <si>
    <t>PORTA CORTA FOGO</t>
  </si>
  <si>
    <t>PORTAS CORTA - FOGO</t>
  </si>
  <si>
    <t>ESQUADRIAS DE ALUMÍNIO</t>
  </si>
  <si>
    <t>Total (m2)</t>
  </si>
  <si>
    <t>GUARDA CORPO</t>
  </si>
  <si>
    <t>BRISES</t>
  </si>
  <si>
    <t>EQUIPAMENTOS ESPECIAIS DE FACHADA</t>
  </si>
  <si>
    <t>ETAPA</t>
  </si>
  <si>
    <t>VALOR ORÇADO</t>
  </si>
  <si>
    <t>%</t>
  </si>
  <si>
    <t>VALOR / m²</t>
  </si>
  <si>
    <t>GERENCIAMENTO TÉCNICO E ADMINISTRATIVO</t>
  </si>
  <si>
    <t>INSTALAÇÕES ELÉTRICAS, HIDRÁULICAS, GLP E PREVENTIVAS</t>
  </si>
  <si>
    <t>EQUIPAMENTOS E SISTEMAS ESPECIAIS</t>
  </si>
  <si>
    <t>REVESTIMENTOS E ACABAMENTOS INTERNOS EM TETO</t>
  </si>
  <si>
    <t>PINTURA INTERNA</t>
  </si>
  <si>
    <t>ESQUADRIAS, VIDROS E FERRAGENS</t>
  </si>
  <si>
    <t>REVESTIMENTOS E ACABAMENTOS DE FACHADA</t>
  </si>
  <si>
    <t>IMPREVISTOS E CONTINGENCIAS</t>
  </si>
  <si>
    <t>DATA BASE</t>
  </si>
  <si>
    <t>OBRA</t>
  </si>
  <si>
    <t>OBRA SIMILAR</t>
  </si>
  <si>
    <t>VALOR</t>
  </si>
  <si>
    <t>900,00 - 1100</t>
  </si>
  <si>
    <t>25,00 - 30,00</t>
  </si>
  <si>
    <t>15,00 - 22,00</t>
  </si>
  <si>
    <t>150,00 - 200,00</t>
  </si>
  <si>
    <t>440,00 - 510,00</t>
  </si>
  <si>
    <t>55,00 - 70,00</t>
  </si>
  <si>
    <t>170,00 - 200,00</t>
  </si>
  <si>
    <t>165,00 - 230,00</t>
  </si>
  <si>
    <t>40,00 - 70,00</t>
  </si>
  <si>
    <t>55,00 - 77,00</t>
  </si>
  <si>
    <t>35,00 - 50,00</t>
  </si>
  <si>
    <t>130,00 - 175,00</t>
  </si>
  <si>
    <t>35,00 - 65,00</t>
  </si>
  <si>
    <t>35,00 - 55,00</t>
  </si>
  <si>
    <t>430,00 - 550,00</t>
  </si>
  <si>
    <t>150,00 - 220,00</t>
  </si>
  <si>
    <t>CUB</t>
  </si>
  <si>
    <t>MÉDIAS</t>
  </si>
  <si>
    <t>VALOR / M2</t>
  </si>
  <si>
    <t>INDEXADO</t>
  </si>
  <si>
    <t>MÍNIMA</t>
  </si>
  <si>
    <t>MÁXIMA</t>
  </si>
  <si>
    <t>GERENCIAMENTO TECNICO E ADMINISTRATIVO</t>
  </si>
  <si>
    <t>IMPREVISTOS</t>
  </si>
  <si>
    <t>ESTALEIRO - ABC EMPREENDIMENTOS</t>
  </si>
  <si>
    <t>DIFERENCIAIS</t>
  </si>
  <si>
    <t>-Uma piscina por apartamento
- Padrão elevado de esquadrias
- Alto investimento em paisagismo</t>
  </si>
  <si>
    <t>ÁREA TERRENO</t>
  </si>
  <si>
    <t>PAVTOS</t>
  </si>
  <si>
    <t>Subsolo com vagas de garagem
Térreo, 2º e 3º PVTO com 2 aptos
por andar
Cobertura com Rooftop</t>
  </si>
  <si>
    <t>ESPECIFICAÇÕES</t>
  </si>
  <si>
    <t>6 apartamentos
3 Elevadores
Salão de festas e academia
Pavimento Rooftop</t>
  </si>
  <si>
    <t>LIVE  - LUMIS</t>
  </si>
  <si>
    <t>MENDES - BRAVA SIXTEEN</t>
  </si>
  <si>
    <t>MENDES - BRAVA MUNDO</t>
  </si>
  <si>
    <t>COTA - AFONSO PENA</t>
  </si>
  <si>
    <t>ABC - ESTALEIRO</t>
  </si>
  <si>
    <t>CUB/SC</t>
  </si>
  <si>
    <t>Médias extraídas da apresentação KSA</t>
  </si>
  <si>
    <t>MONOLYT</t>
  </si>
  <si>
    <t>BLUE HEAVEN</t>
  </si>
  <si>
    <t>Alvenaria</t>
  </si>
  <si>
    <t>Drywall</t>
  </si>
  <si>
    <t>TORRE A</t>
  </si>
  <si>
    <t>TORRE B</t>
  </si>
  <si>
    <t>1SS</t>
  </si>
  <si>
    <t>ÁREA TÉCNICA</t>
  </si>
  <si>
    <t>ÁREA PERMEÁVEL</t>
  </si>
  <si>
    <t>HALL</t>
  </si>
  <si>
    <t>ESTACIONAMENTO</t>
  </si>
  <si>
    <t>TÉRREO</t>
  </si>
  <si>
    <t>APTO1</t>
  </si>
  <si>
    <t>ESTAR</t>
  </si>
  <si>
    <t>JANTAR</t>
  </si>
  <si>
    <t>LAVABO</t>
  </si>
  <si>
    <t>CIRC.</t>
  </si>
  <si>
    <t>DECK</t>
  </si>
  <si>
    <t>COZINHA</t>
  </si>
  <si>
    <t>A.S.</t>
  </si>
  <si>
    <t>BANHO SERV.</t>
  </si>
  <si>
    <t>SUÍTE MASTER</t>
  </si>
  <si>
    <t>BANHO MASTER</t>
  </si>
  <si>
    <t>SUÍTE 2</t>
  </si>
  <si>
    <t>BANHO 2</t>
  </si>
  <si>
    <t>SUÍTE 1</t>
  </si>
  <si>
    <t>BANHO 1</t>
  </si>
  <si>
    <t xml:space="preserve">(ÁREA TÉCNICA) ESCADA EMERG. </t>
  </si>
  <si>
    <t>DESPENSA</t>
  </si>
  <si>
    <t>SUÍTE 3</t>
  </si>
  <si>
    <t>BANHO 3</t>
  </si>
  <si>
    <t>APTO2</t>
  </si>
  <si>
    <t>APTO3</t>
  </si>
  <si>
    <t>APTO4</t>
  </si>
  <si>
    <t>A.C.</t>
  </si>
  <si>
    <t>HALL ACESSO APTO</t>
  </si>
  <si>
    <t>ÁREA TÉCNICA / ESCADA</t>
  </si>
  <si>
    <t>DEPÓSITO</t>
  </si>
  <si>
    <t>LAVABO SERV.</t>
  </si>
  <si>
    <t>DORM. SERV.</t>
  </si>
  <si>
    <t>1º PAV</t>
  </si>
  <si>
    <t>CIRCULAÇÃO</t>
  </si>
  <si>
    <t>WC PNE</t>
  </si>
  <si>
    <t>DUCHA</t>
  </si>
  <si>
    <t>SAUNA</t>
  </si>
  <si>
    <t>COWORKING</t>
  </si>
  <si>
    <t>PORTARIA</t>
  </si>
  <si>
    <t>WC PORTARIA</t>
  </si>
  <si>
    <t>LIXO</t>
  </si>
  <si>
    <t>KIDS</t>
  </si>
  <si>
    <t>ESCRITÓRIO</t>
  </si>
  <si>
    <t xml:space="preserve">CIRCULAÇÃO </t>
  </si>
  <si>
    <t>2º PAV</t>
  </si>
  <si>
    <t>ACADEMIA</t>
  </si>
  <si>
    <t>AMBIENTE SEM IDENTIFICAÇÃO</t>
  </si>
  <si>
    <t>APT13</t>
  </si>
  <si>
    <t>APT12</t>
  </si>
  <si>
    <t>APT11</t>
  </si>
  <si>
    <t>APT14</t>
  </si>
  <si>
    <t>APT21</t>
  </si>
  <si>
    <t>APT22</t>
  </si>
  <si>
    <t>APT23</t>
  </si>
  <si>
    <t>APT21 (COM LAZER SUPERIOR)</t>
  </si>
  <si>
    <t>APT22 (COM LAZER SUPERIOR)</t>
  </si>
  <si>
    <t>APT23 (COM LAZER SUPERIOR)</t>
  </si>
  <si>
    <t>APT24 (COM LAZER SUPERIOR)</t>
  </si>
  <si>
    <t>2º PAV/3º PAV</t>
  </si>
  <si>
    <t>DECK SUPERIOR</t>
  </si>
  <si>
    <t>PISCINA SUPERIOR</t>
  </si>
  <si>
    <t>JARDIM SUPERIOR</t>
  </si>
  <si>
    <t>3º PAV</t>
  </si>
  <si>
    <t>3º PAV/4º PAV</t>
  </si>
  <si>
    <t>APT33 (COM LAZER SUPERIOR)</t>
  </si>
  <si>
    <t>APT32 (COM LAZER SUPERIOR)</t>
  </si>
  <si>
    <t>SUÍTE MASTER (SUPERIOR)</t>
  </si>
  <si>
    <t>BANHO MASTER (SUPERIOR)</t>
  </si>
  <si>
    <t>SUÍTE 3 (SUPERIOR)</t>
  </si>
  <si>
    <t>BANHO 3 (SUPERIOR)</t>
  </si>
  <si>
    <t>SUÍTE 2 (SUPERIOR)</t>
  </si>
  <si>
    <t>BANHO 2 (SUPERIOR)</t>
  </si>
  <si>
    <t>ESCRITÓRIO (SUPERIOR)</t>
  </si>
  <si>
    <t>BANHO (SUPERIOR)</t>
  </si>
  <si>
    <t>DECK (SUPERIOR)</t>
  </si>
  <si>
    <t>PISCINA (SUPERIOR)</t>
  </si>
  <si>
    <t>JARDIM (SUPERIOR)</t>
  </si>
  <si>
    <t>Piso madeira engenheirada</t>
  </si>
  <si>
    <t>Forro de gesso acartonado</t>
  </si>
  <si>
    <t>ÁREA COMUM  DESCOBERTA</t>
  </si>
  <si>
    <t>PISCINA (PROF. 1,2m)</t>
  </si>
  <si>
    <t>Rodapés Invertidos</t>
  </si>
  <si>
    <t>ÍNDICE RODAPÉ INVERTIDO - BRAVA  (CN)</t>
  </si>
  <si>
    <t>TORRE A E B + EMBASAMENTO</t>
  </si>
  <si>
    <t>Deck</t>
  </si>
  <si>
    <t>Piscina</t>
  </si>
  <si>
    <t>Piso especial A.C.</t>
  </si>
  <si>
    <t>Rodapé</t>
  </si>
  <si>
    <t>índice</t>
  </si>
  <si>
    <t>Custo</t>
  </si>
  <si>
    <t>CN - BRAVA</t>
  </si>
  <si>
    <t>Apto / A.C.</t>
  </si>
  <si>
    <t>Sim</t>
  </si>
  <si>
    <t>Não</t>
  </si>
  <si>
    <t>REVESTIMENTOS E ACABAMENTOS DE PAREDE</t>
  </si>
  <si>
    <t>REBOCO</t>
  </si>
  <si>
    <t>PISCINA (PROF. 1,4m)</t>
  </si>
  <si>
    <t>Quant.</t>
  </si>
  <si>
    <t>Bloco cerâmico</t>
  </si>
  <si>
    <t>Bloco concreto celular</t>
  </si>
  <si>
    <t>NÚMERO DE APARTAMENTOS</t>
  </si>
  <si>
    <t>Separar por torre</t>
  </si>
  <si>
    <t>CALÇADA</t>
  </si>
  <si>
    <t>Pedra rústica em cacos</t>
  </si>
  <si>
    <t>ÁREA DE LAZER INTERNA</t>
  </si>
  <si>
    <t>ÁREA DE LAZER EXTERNA</t>
  </si>
  <si>
    <t>ALI</t>
  </si>
  <si>
    <t>ALE</t>
  </si>
  <si>
    <t>Níveis diferentes</t>
  </si>
  <si>
    <t>NÚMERO DE PAVIMENTOS DIFERENCIADOS</t>
  </si>
  <si>
    <t>ÁREA DE PROJEÇÃO DO PAV DIFERENCIADO</t>
  </si>
  <si>
    <t>APD</t>
  </si>
  <si>
    <t>PLAYGROUND</t>
  </si>
  <si>
    <t>PET</t>
  </si>
  <si>
    <t>ACABAMENTOS EM PISO</t>
  </si>
  <si>
    <t>Perímetro (m)</t>
  </si>
  <si>
    <t>Forro (Sim/Não)</t>
  </si>
  <si>
    <t xml:space="preserve">ORÇAMENTO PARAMÉTRICO - ORÇAMENTO PARAMÉTRICO </t>
  </si>
  <si>
    <t>Spotco</t>
  </si>
  <si>
    <t>54 Park Square</t>
  </si>
  <si>
    <t>CUB/PR - JUN/23</t>
  </si>
  <si>
    <t xml:space="preserve">CUB/PR - atual </t>
  </si>
  <si>
    <t>CÓDIGO</t>
  </si>
  <si>
    <t>ITEM</t>
  </si>
  <si>
    <t>Valor Orçado</t>
  </si>
  <si>
    <t>Valor indexado</t>
  </si>
  <si>
    <t>Considerações</t>
  </si>
  <si>
    <t>1.1</t>
  </si>
  <si>
    <t>1.1.1</t>
  </si>
  <si>
    <t>Gerenciamento técnico e administrativo</t>
  </si>
  <si>
    <t>2.1</t>
  </si>
  <si>
    <t>2.1.1</t>
  </si>
  <si>
    <t>Escavação subsolo</t>
  </si>
  <si>
    <t>m3</t>
  </si>
  <si>
    <t>Volume previsto no projeto de terraplanagem</t>
  </si>
  <si>
    <t>2.1.2</t>
  </si>
  <si>
    <t>2.1.3</t>
  </si>
  <si>
    <t>2.1.4</t>
  </si>
  <si>
    <t>Movimentação de terra (30% de empolamento)</t>
  </si>
  <si>
    <t>2.1.5</t>
  </si>
  <si>
    <t xml:space="preserve">Lastro de concreto magro e= 10cm - Blocos </t>
  </si>
  <si>
    <t>3.1</t>
  </si>
  <si>
    <t xml:space="preserve">FUNDAÇÃO PROFUNDA </t>
  </si>
  <si>
    <t>3.1.1</t>
  </si>
  <si>
    <t>Estaca escavada, diâmetro 100cm</t>
  </si>
  <si>
    <t>330 estacas - duas por pilar de embasamento</t>
  </si>
  <si>
    <t>3.1.2</t>
  </si>
  <si>
    <t>Estaca escavada em rocha, diâmetro 100cm</t>
  </si>
  <si>
    <t>280 estacas - 3,5 por pilar da torre</t>
  </si>
  <si>
    <t>3.1.3</t>
  </si>
  <si>
    <t xml:space="preserve">Armação </t>
  </si>
  <si>
    <t>Consideração de R$ 7,30/kg com 7% de perda</t>
  </si>
  <si>
    <t>3.1.4</t>
  </si>
  <si>
    <t>Consideração de R$ 590,00/m³ com 20% de perda</t>
  </si>
  <si>
    <t>3.1.5</t>
  </si>
  <si>
    <t>Previsão de mobilização de maquinários</t>
  </si>
  <si>
    <t>3.2</t>
  </si>
  <si>
    <t>3.2.1</t>
  </si>
  <si>
    <t>Fabricação, montagem e desmontagem de forma para blocos e baldrames</t>
  </si>
  <si>
    <t>Forma de compensado resinado com 2 reutilizações</t>
  </si>
  <si>
    <t>3.2.2</t>
  </si>
  <si>
    <t>3.2.3</t>
  </si>
  <si>
    <t>Consideração de R$ 590,00/m³ com 5% de perda</t>
  </si>
  <si>
    <t>3.2.5</t>
  </si>
  <si>
    <t>Mão de obra infraestrutura</t>
  </si>
  <si>
    <t>Valor estimado por área de projeção do embasamento x 1,5</t>
  </si>
  <si>
    <t>4.1</t>
  </si>
  <si>
    <t>4.1.1</t>
  </si>
  <si>
    <t>Estaca hélice contínua, diâmetro 50cm</t>
  </si>
  <si>
    <t>Previsão de 1,25 estacas de 50cm por metro de contenção</t>
  </si>
  <si>
    <t>4.1.2</t>
  </si>
  <si>
    <t>4.1.3</t>
  </si>
  <si>
    <t>4.1.4</t>
  </si>
  <si>
    <t>Tirantes</t>
  </si>
  <si>
    <t>Previsão de duas linhas de tirantes</t>
  </si>
  <si>
    <t>4.1.5</t>
  </si>
  <si>
    <t>Drenagem de contenção</t>
  </si>
  <si>
    <t>Verba estimada para estrutura de drenagem</t>
  </si>
  <si>
    <t>4.1.6</t>
  </si>
  <si>
    <t>Mão de obra armação</t>
  </si>
  <si>
    <t>4.1.7</t>
  </si>
  <si>
    <t>Mão de obra concretagem</t>
  </si>
  <si>
    <t>4.1.8</t>
  </si>
  <si>
    <t>Mão de obra drenagem</t>
  </si>
  <si>
    <t>4.1.9</t>
  </si>
  <si>
    <t>4.1.10</t>
  </si>
  <si>
    <t>Forma para viga de coroamento - 40x40</t>
  </si>
  <si>
    <t>4.1.11</t>
  </si>
  <si>
    <t>Concreto para viga de coroamento</t>
  </si>
  <si>
    <t>4.1.12</t>
  </si>
  <si>
    <t>Armação para viga de coroamento</t>
  </si>
  <si>
    <t>4.1.13</t>
  </si>
  <si>
    <t>Mão de obra para viga de coroamento</t>
  </si>
  <si>
    <t>5.1</t>
  </si>
  <si>
    <t>FORMA</t>
  </si>
  <si>
    <t>5.1.1</t>
  </si>
  <si>
    <t>Forma com compensado plastificado - 8 reutilizações</t>
  </si>
  <si>
    <t>5.1.2</t>
  </si>
  <si>
    <t>5.2</t>
  </si>
  <si>
    <t>ESCORAMENTO</t>
  </si>
  <si>
    <t>5.2.1</t>
  </si>
  <si>
    <t>Locação de escoramento metálico</t>
  </si>
  <si>
    <t>5.2.2</t>
  </si>
  <si>
    <t>5.3</t>
  </si>
  <si>
    <t>ARMADURA</t>
  </si>
  <si>
    <t>5.3.1</t>
  </si>
  <si>
    <t>Consideração de R$ 7,00/kg</t>
  </si>
  <si>
    <t>5.4</t>
  </si>
  <si>
    <t>CONCRETO</t>
  </si>
  <si>
    <t>5.4.1</t>
  </si>
  <si>
    <t>Consideração de 620,00/m³ com 5% de perda</t>
  </si>
  <si>
    <t>5.5</t>
  </si>
  <si>
    <t>5.5.1</t>
  </si>
  <si>
    <t>Junta de dilatação</t>
  </si>
  <si>
    <t>Estrutura metálica lazer</t>
  </si>
  <si>
    <t>Valor estimado com base na área do detalhe</t>
  </si>
  <si>
    <t>MÃO DE OBRA</t>
  </si>
  <si>
    <t>5.6.1</t>
  </si>
  <si>
    <t>Mão de obra supraestrutura</t>
  </si>
  <si>
    <t>Valor estimado com base na área construida</t>
  </si>
  <si>
    <t>Quantitativos extraídos do modelo preliminar .rvt</t>
  </si>
  <si>
    <t>6.1</t>
  </si>
  <si>
    <t>6.1.1</t>
  </si>
  <si>
    <t>Alvenaria externa</t>
  </si>
  <si>
    <t>Fechamento com bloco 19cm e assentamento com argamassa usinada</t>
  </si>
  <si>
    <t>6.1.2</t>
  </si>
  <si>
    <t>Alvenaria interna</t>
  </si>
  <si>
    <t>Fechamento com bloco 11.5cm e assentamento com argamassa usinada</t>
  </si>
  <si>
    <t>6.1.3</t>
  </si>
  <si>
    <t>Tijolo refratário</t>
  </si>
  <si>
    <t>Em churrasqueiras</t>
  </si>
  <si>
    <t>6.1.4</t>
  </si>
  <si>
    <t>6.1.5</t>
  </si>
  <si>
    <t>Fechamento parede contenção</t>
  </si>
  <si>
    <t>Concreto com tela e manta geotextil</t>
  </si>
  <si>
    <t>6.1.6</t>
  </si>
  <si>
    <t>INSTALAÇÕES ELÉTRICAS, HIDRÁULICAS E GLP</t>
  </si>
  <si>
    <t>Valores estimados com base em índices históricos por área construida</t>
  </si>
  <si>
    <t>7.1</t>
  </si>
  <si>
    <t xml:space="preserve">INSTALAÇÕES ELÉTRICAS </t>
  </si>
  <si>
    <t>7.1.1</t>
  </si>
  <si>
    <t>7.1.2</t>
  </si>
  <si>
    <t>7.1.3</t>
  </si>
  <si>
    <t>Instalações Embutidas e Aparentes</t>
  </si>
  <si>
    <t>7.1.4</t>
  </si>
  <si>
    <t>7.1.5</t>
  </si>
  <si>
    <t>7.1.6</t>
  </si>
  <si>
    <t>7.1.7</t>
  </si>
  <si>
    <t>7.1.8</t>
  </si>
  <si>
    <t>7.2</t>
  </si>
  <si>
    <t xml:space="preserve">INSTALAÇÕES HIDRÁULICAS </t>
  </si>
  <si>
    <t>7.2.1</t>
  </si>
  <si>
    <t>7.2.2</t>
  </si>
  <si>
    <t>7.2.3</t>
  </si>
  <si>
    <t>7.2.4</t>
  </si>
  <si>
    <t>7.2.5</t>
  </si>
  <si>
    <t>7.2.6</t>
  </si>
  <si>
    <t>7.3</t>
  </si>
  <si>
    <t xml:space="preserve">INSTALAÇÕES PREVENTIVAS E GLP </t>
  </si>
  <si>
    <t>7.3.1</t>
  </si>
  <si>
    <t>7.3.2</t>
  </si>
  <si>
    <t>7.3.3</t>
  </si>
  <si>
    <t>7.3.4</t>
  </si>
  <si>
    <t>Mão de Obra</t>
  </si>
  <si>
    <t>8.1</t>
  </si>
  <si>
    <t xml:space="preserve">CLIMATIZAÇÃO, EXAUSTÃO MECÂNICA E PRESSURIZAÇÃO </t>
  </si>
  <si>
    <t>8.1.1</t>
  </si>
  <si>
    <t>Infraestrutura para ar-condicionado tipo K7 em quartos, escritórios, livings e áreas comuns</t>
  </si>
  <si>
    <t>8.1.2</t>
  </si>
  <si>
    <t>Instalação de ar-codicionado tipo K7 em áreas comuns</t>
  </si>
  <si>
    <t>8.1.3</t>
  </si>
  <si>
    <t>Ventilação mecânica em banheiros enclausurados;</t>
  </si>
  <si>
    <t>8.1.4</t>
  </si>
  <si>
    <t>Exaustão de churrasqueiras;</t>
  </si>
  <si>
    <t>8.2</t>
  </si>
  <si>
    <t>8.2.1</t>
  </si>
  <si>
    <t>8.2.2</t>
  </si>
  <si>
    <t>8.2.3</t>
  </si>
  <si>
    <t>8.3</t>
  </si>
  <si>
    <t>OUTROS SISTEMAS</t>
  </si>
  <si>
    <t>8.3.1</t>
  </si>
  <si>
    <t>8.4</t>
  </si>
  <si>
    <t>8.4.3</t>
  </si>
  <si>
    <t>Elevador</t>
  </si>
  <si>
    <t>Valor de cotação da Atlas repassado em 25/07/2023</t>
  </si>
  <si>
    <t>8.4.4</t>
  </si>
  <si>
    <t>Saunas</t>
  </si>
  <si>
    <t>8.4.5</t>
  </si>
  <si>
    <t>Hidromassagem</t>
  </si>
  <si>
    <t>8.4.6</t>
  </si>
  <si>
    <t>Reserva agua</t>
  </si>
  <si>
    <t>8.4.7</t>
  </si>
  <si>
    <t>Equipamentos piscina</t>
  </si>
  <si>
    <t>8.4.8</t>
  </si>
  <si>
    <t>Infraestrutura de carro elétrico</t>
  </si>
  <si>
    <t>Infraestrutura para uma tomada de carro elétrico por apartamento</t>
  </si>
  <si>
    <t>9.1</t>
  </si>
  <si>
    <t>9.1.1</t>
  </si>
  <si>
    <t>Regulazização em áreas que recebem argamassa polimérica e manta asfáltica;</t>
  </si>
  <si>
    <t>9.1.2</t>
  </si>
  <si>
    <t>9.1.3</t>
  </si>
  <si>
    <t>9.1.4</t>
  </si>
  <si>
    <t>9.1.5</t>
  </si>
  <si>
    <t>Aplicação em banheiros, lavabos e lajes tecnicas;</t>
  </si>
  <si>
    <t>9.1.6</t>
  </si>
  <si>
    <t>Aplicação em áreas externas, terraço e piscina;</t>
  </si>
  <si>
    <t>9.1.7</t>
  </si>
  <si>
    <t>Impermeabilizações com manta asfaltica dupla</t>
  </si>
  <si>
    <t>Aplicação em áreas verdes;</t>
  </si>
  <si>
    <t>9.1.8</t>
  </si>
  <si>
    <t>Proteção mecânica de áreas que recebem manta asfáltica;</t>
  </si>
  <si>
    <t>10.1</t>
  </si>
  <si>
    <t xml:space="preserve">REVESTIMENTOS INTERNOS EM PISO </t>
  </si>
  <si>
    <t>10.1.1</t>
  </si>
  <si>
    <t>Piso de concreto polido</t>
  </si>
  <si>
    <t>Acabamento em garagens</t>
  </si>
  <si>
    <t>10.1.2</t>
  </si>
  <si>
    <t>Contrapiso com argamassa estabilizada</t>
  </si>
  <si>
    <t>Em toda edificação onde não há polimento de piso</t>
  </si>
  <si>
    <t>10.1.3</t>
  </si>
  <si>
    <t>Nas áreas privativas;</t>
  </si>
  <si>
    <t>10.1.4</t>
  </si>
  <si>
    <t>Manta acústica lazer</t>
  </si>
  <si>
    <t>10.2</t>
  </si>
  <si>
    <t>REVESTIMENTOS INTERNOS EM PAREDE</t>
  </si>
  <si>
    <t>10.2.1</t>
  </si>
  <si>
    <t>Consideração da soma dos acabamentos de pintura e cerâmicos extraídos do modelo</t>
  </si>
  <si>
    <t>10.2.2</t>
  </si>
  <si>
    <t>10.2.3</t>
  </si>
  <si>
    <t>Em garagens e escadas</t>
  </si>
  <si>
    <t>11.1</t>
  </si>
  <si>
    <t>11.1.1</t>
  </si>
  <si>
    <t>Porcelanato 80x80</t>
  </si>
  <si>
    <t>Aplicação em áreas privativas</t>
  </si>
  <si>
    <t>11.1.2</t>
  </si>
  <si>
    <t>Porcelanato areas comuns 120x120</t>
  </si>
  <si>
    <t>Aplicação em áreas comuns</t>
  </si>
  <si>
    <t>11.1.3</t>
  </si>
  <si>
    <t>Porcelanato 45x90</t>
  </si>
  <si>
    <t>11.1.4</t>
  </si>
  <si>
    <t>Vinílico/Laminado</t>
  </si>
  <si>
    <t>Aplicação em áreas íntimas e fitness</t>
  </si>
  <si>
    <t>11.1.5</t>
  </si>
  <si>
    <t>Piso cimenticio</t>
  </si>
  <si>
    <t>Escadas e antecâmaras</t>
  </si>
  <si>
    <t>11.1.6</t>
  </si>
  <si>
    <t>Piso cimenticio quadras</t>
  </si>
  <si>
    <t>11.1.7</t>
  </si>
  <si>
    <t>Aplicação em calçadas externas</t>
  </si>
  <si>
    <t>11.1.8</t>
  </si>
  <si>
    <t>Calçada pedra portuguesa</t>
  </si>
  <si>
    <t>11.1.9</t>
  </si>
  <si>
    <t>Piso fulget</t>
  </si>
  <si>
    <t>Passeios do térreo</t>
  </si>
  <si>
    <t>11.1.10</t>
  </si>
  <si>
    <t>Piso emborrachado</t>
  </si>
  <si>
    <t>Pista de corrida</t>
  </si>
  <si>
    <t>11.1.11</t>
  </si>
  <si>
    <t>Deck de madeira</t>
  </si>
  <si>
    <t>11.1.12</t>
  </si>
  <si>
    <t>Pastilha</t>
  </si>
  <si>
    <t>Piscinas</t>
  </si>
  <si>
    <t>11.1.13</t>
  </si>
  <si>
    <t>Rodapés</t>
  </si>
  <si>
    <t>11.1.14</t>
  </si>
  <si>
    <t>11.2</t>
  </si>
  <si>
    <t>ACABAMENTOS EM PAREDE</t>
  </si>
  <si>
    <t>11.2.1</t>
  </si>
  <si>
    <t>Porcelanato 80x80 parede</t>
  </si>
  <si>
    <t>Aplicação em banheiros e paredes hidráulicas de áreas de serviço</t>
  </si>
  <si>
    <t>11.2.2</t>
  </si>
  <si>
    <t>Porcelanato 45x90 parede</t>
  </si>
  <si>
    <t>12.1</t>
  </si>
  <si>
    <t>REVESTIMENTOS E ACABAMENTOS EM TETO</t>
  </si>
  <si>
    <t>12.1.1</t>
  </si>
  <si>
    <t>Forro gesso acartonado st</t>
  </si>
  <si>
    <t>Previsão de gesso acartonado em áreas da torre</t>
  </si>
  <si>
    <t>12.1.2</t>
  </si>
  <si>
    <t>Forro gesso acartonado ru</t>
  </si>
  <si>
    <t>Previsão em banheiros</t>
  </si>
  <si>
    <t>12.1.3</t>
  </si>
  <si>
    <t>12.1.4</t>
  </si>
  <si>
    <t>Acabamento em garangens, escadas e ante-câmaras</t>
  </si>
  <si>
    <t>13.1</t>
  </si>
  <si>
    <t>13.1.1</t>
  </si>
  <si>
    <t>Aplicação em garagens</t>
  </si>
  <si>
    <t>13.1.2</t>
  </si>
  <si>
    <t>Pintura acrílica escadaria</t>
  </si>
  <si>
    <t>Aplicação em antecâmaras e esacadarias</t>
  </si>
  <si>
    <t>13.1.3</t>
  </si>
  <si>
    <t>Pintura acrílica paredes</t>
  </si>
  <si>
    <t>Consideração de selador, massa PVA e tinta acrílica</t>
  </si>
  <si>
    <t>13.1.4</t>
  </si>
  <si>
    <t>Textura acrílica paredes</t>
  </si>
  <si>
    <t>Aplicação em paredes de escadas</t>
  </si>
  <si>
    <t>14.1</t>
  </si>
  <si>
    <t>14.1.1</t>
  </si>
  <si>
    <t>Padrão gold 32mm</t>
  </si>
  <si>
    <t>14.1.2</t>
  </si>
  <si>
    <t>Pele de vidro</t>
  </si>
  <si>
    <t>14.1.3</t>
  </si>
  <si>
    <t>Guarda-corpo</t>
  </si>
  <si>
    <t>Com vidro laminado</t>
  </si>
  <si>
    <t>14.1.4</t>
  </si>
  <si>
    <t>Corrimão</t>
  </si>
  <si>
    <t>Corrimão de escadarias</t>
  </si>
  <si>
    <t>14.1.5</t>
  </si>
  <si>
    <t>14.2</t>
  </si>
  <si>
    <t>ESQUADRIAS METÁLICAS</t>
  </si>
  <si>
    <t>14.2.1</t>
  </si>
  <si>
    <t>Porta Corta - Fogo</t>
  </si>
  <si>
    <t>14.2.2</t>
  </si>
  <si>
    <t>14.3</t>
  </si>
  <si>
    <t>14.3.3</t>
  </si>
  <si>
    <t>Porta padrão trada com fechadura e dobradiças</t>
  </si>
  <si>
    <t>15.1</t>
  </si>
  <si>
    <t>15.1.1</t>
  </si>
  <si>
    <t>Cobertura</t>
  </si>
  <si>
    <t>Previsão de cobertura metálica com calhas e rufos em alumínio</t>
  </si>
  <si>
    <t>16.1</t>
  </si>
  <si>
    <t>REVESTIMENTOS ARGAMASSADOS EXTERNOS</t>
  </si>
  <si>
    <t>16.1.1</t>
  </si>
  <si>
    <t>Revestimentos argamassados externos</t>
  </si>
  <si>
    <t>16.2</t>
  </si>
  <si>
    <t>PINTURA EXTERNA</t>
  </si>
  <si>
    <t>16.2.1</t>
  </si>
  <si>
    <t>Textura emborrachada Sto</t>
  </si>
  <si>
    <t>16.2.2</t>
  </si>
  <si>
    <t>Textura emborrachada Sto MOLDURAS</t>
  </si>
  <si>
    <t>17.1</t>
  </si>
  <si>
    <t>17.1.1</t>
  </si>
  <si>
    <t>Estimados conforme tour 360º e detalhes do projeto arquitetônico disponibilizado</t>
  </si>
  <si>
    <t>17.1.2</t>
  </si>
  <si>
    <t>17.1.3</t>
  </si>
  <si>
    <t>Proposta encaminhada pela Le Notre</t>
  </si>
  <si>
    <t>17.1.4</t>
  </si>
  <si>
    <t>Irrigação, iluminação e mobiliário externo</t>
  </si>
  <si>
    <t>Verba estimada para estrutura complementares ao paisagismo</t>
  </si>
  <si>
    <t>17.1.5</t>
  </si>
  <si>
    <t>Hidrossemeadura</t>
  </si>
  <si>
    <t>Previsão em taludes</t>
  </si>
  <si>
    <t>17.1.6</t>
  </si>
  <si>
    <t>17.1.7</t>
  </si>
  <si>
    <t>Desmobilização final da obra</t>
  </si>
  <si>
    <t>17.1.8</t>
  </si>
  <si>
    <t>Limpeza final da obra</t>
  </si>
  <si>
    <t>18.1</t>
  </si>
  <si>
    <t>18.1.1</t>
  </si>
  <si>
    <t>Imprevistos e contingências</t>
  </si>
  <si>
    <t>Banheiros do tipo</t>
  </si>
  <si>
    <t>TOTAL - R07</t>
  </si>
  <si>
    <t>Valor unitário</t>
  </si>
  <si>
    <t>Observações/Duvidas</t>
  </si>
  <si>
    <t>RETORNO CARTESIAN</t>
  </si>
  <si>
    <t>O lastro de concreto sendo um custo de 480/m³, sendo 10 cm de espessura de 10 cm daria 48/m²</t>
  </si>
  <si>
    <t>A consideração aqui é um lastro de brita 2 na verdade, considerando 80/m³ -&gt; 8/m² (houve um equivoco no nome do serviço)</t>
  </si>
  <si>
    <t>Só material?</t>
  </si>
  <si>
    <t>Com o lançamento?</t>
  </si>
  <si>
    <t xml:space="preserve">A mão de obra da fundação profunda está também no item 3.2.5? </t>
  </si>
  <si>
    <t>Sim, os itens da fundação profunda se referem apenas a material, estando a mão de obra inclusa no item 3.2.5</t>
  </si>
  <si>
    <t>É para mão de obra de forma, armação e concretagem?</t>
  </si>
  <si>
    <t>É para mão de obra de armação e para a concretagem?</t>
  </si>
  <si>
    <t>Mão de obra para fabricação e montagem de forma, armação, concretagem, transporte e todos demias itens previstos para execução da estrutura</t>
  </si>
  <si>
    <t>Lançado em verba, já tem quantitativo?</t>
  </si>
  <si>
    <t>Todos os itens de instalações (etapa 7) foram estimados com base em índices por ainda não termos previsão de quantitativo</t>
  </si>
  <si>
    <t>8.4.1</t>
  </si>
  <si>
    <t>8.4.2</t>
  </si>
  <si>
    <t xml:space="preserve">É só a mão de obra? </t>
  </si>
  <si>
    <t>Sim, apenas a mão de obra para acabamento do concreto que já está sendo considerado na supraestrutura</t>
  </si>
  <si>
    <t>Qual diferença entre as duas?</t>
  </si>
  <si>
    <t>Para a áres de lazer (paviento 27 da torre) foi prevista uma camada dupla de manta acústica para melhor desempenho das unidades imediatamente inferiores a esse pavimento por solicitação da Spotco</t>
  </si>
  <si>
    <t xml:space="preserve">Item que pode dar diferença após cotação com tabela de esquadria. </t>
  </si>
  <si>
    <t>Sim, valor estimado com base em propostas de obras similares compondo custo de material e mão de obra</t>
  </si>
  <si>
    <t>Caso a duvida seja na localização, se refere ao topo das torres</t>
  </si>
  <si>
    <t>15.1.2</t>
  </si>
  <si>
    <t>Pergolados ACM</t>
  </si>
  <si>
    <t>Estrutura em ACM para estruturas de pergolados no terreo</t>
  </si>
  <si>
    <t>Fase 01</t>
  </si>
  <si>
    <t>Período - Fase 01</t>
  </si>
  <si>
    <t>Custos Indiretos</t>
  </si>
  <si>
    <t>Custo Taxas + projeto</t>
  </si>
  <si>
    <t>Custo Obra</t>
  </si>
  <si>
    <t>Custo obra + indiretos - taxas</t>
  </si>
  <si>
    <t>Taxa de administração</t>
  </si>
  <si>
    <t>Valor por mês</t>
  </si>
  <si>
    <t>Pintura teto</t>
  </si>
  <si>
    <t>Pintura parede</t>
  </si>
  <si>
    <t>Pintura Piso</t>
  </si>
  <si>
    <t>REVESTIMENTOS INTERNOS EM PISO</t>
  </si>
  <si>
    <t xml:space="preserve">TOTAL </t>
  </si>
  <si>
    <t>ESTALEIRO - ABC EMPREENDIMENTOS
(PRELIMINAR)</t>
  </si>
  <si>
    <t>LIVE  - LUMIS
(EXECUTIVO)</t>
  </si>
  <si>
    <t>LIVE - LUMIS</t>
  </si>
  <si>
    <t>Banheiros</t>
  </si>
  <si>
    <t>Revest</t>
  </si>
  <si>
    <t>MO CHAPISCO/REBOCO JUNTO</t>
  </si>
  <si>
    <t>MO Revest</t>
  </si>
  <si>
    <t>Paredes internas drywall</t>
  </si>
  <si>
    <t>Gran Torino mat+o</t>
  </si>
  <si>
    <t>Somauma</t>
  </si>
  <si>
    <t>72,00 alvenaria</t>
  </si>
  <si>
    <t>PORTA GIRO 1 FOLHA 110X210cm</t>
  </si>
  <si>
    <t>PORTA GIRO 1 FOLHA 60X210cm</t>
  </si>
  <si>
    <t>PORTA GIRO 1 FOLHA 70X210cm</t>
  </si>
  <si>
    <t>PORTA GIRO 1 FOLHA 80X210cm</t>
  </si>
  <si>
    <t>PORTA GIRO 1 FOLHA 90X210cm</t>
  </si>
  <si>
    <t>PORTA CORTA FOGO 90x210cm COM BARRA ANTIPÂNICO</t>
  </si>
  <si>
    <t>GOLD SLIM</t>
  </si>
  <si>
    <t>Área (m2)</t>
  </si>
  <si>
    <t>VIDRO PISCINA 0,3cm</t>
  </si>
  <si>
    <t>PELE DE VIDRO 8mm</t>
  </si>
  <si>
    <t>GUARDA CORPO VIDRO H=1,10m</t>
  </si>
  <si>
    <t>CORRIMÃO VIDRO+VERTICAL H=1,1m</t>
  </si>
  <si>
    <t>Quantidade extraída do projeto dwg</t>
  </si>
  <si>
    <t>Quantidade extraída do modelo</t>
  </si>
  <si>
    <t>VALOR R$ - MAT+MO</t>
  </si>
  <si>
    <t>Custo Gran Torino</t>
  </si>
  <si>
    <t>Custo Spotco</t>
  </si>
  <si>
    <t>FECHADURA BIOMÉTRICA</t>
  </si>
  <si>
    <t>Custo Barra 4</t>
  </si>
  <si>
    <t>Lumis</t>
  </si>
  <si>
    <t>Custo KZA</t>
  </si>
  <si>
    <t>Área(m²)</t>
  </si>
  <si>
    <t>METRO LINEAR</t>
  </si>
  <si>
    <t>CONCRETO APARENTE</t>
  </si>
  <si>
    <t>2S</t>
  </si>
  <si>
    <t>CHAPISCO/REBOCO/TEXTURA</t>
  </si>
  <si>
    <t>PEDRA MACIÇA PILARES SACADAS</t>
  </si>
  <si>
    <t>1SS - MURETAS</t>
  </si>
  <si>
    <t>1SS - PISCINAS</t>
  </si>
  <si>
    <t>TA - TERR / TB - 1º PAV</t>
  </si>
  <si>
    <t>1SS - PROJEÇÃO TORRE</t>
  </si>
  <si>
    <t>TA - 1º PAV/ TB - 2º PAV</t>
  </si>
  <si>
    <t>TA - 2º PAV/ TB - COB</t>
  </si>
  <si>
    <t>TA - 2º PAV/ TB - COB - PISCINAS</t>
  </si>
  <si>
    <t>TA - 2º PAV/ TB - COB - PISCINAS MAIORES</t>
  </si>
  <si>
    <t>Valor (mat+mo)</t>
  </si>
  <si>
    <t>CORRIMÃO ESCADAS</t>
  </si>
  <si>
    <t>Quant. em metro linear (Quantidade extraída do projeto dwg)</t>
  </si>
  <si>
    <t>CUSTO CHAPISCO + REBOCO GRAN TORINO / TEXTURA SPOTCO</t>
  </si>
  <si>
    <t>CUSTO ATALAIA, MUDANDO O ITEM DA COMPOSIÇÃO VERNIZ PARA RESINA</t>
  </si>
  <si>
    <t>RESINA</t>
  </si>
  <si>
    <t>LIXA</t>
  </si>
  <si>
    <t>CIMENTO CPIIZ</t>
  </si>
  <si>
    <t>CIMENTO BRANCO</t>
  </si>
  <si>
    <t>ADESIVO PARA ARGAMASSAS</t>
  </si>
  <si>
    <t>R$ / ALI</t>
  </si>
  <si>
    <t>R$ / ALE</t>
  </si>
  <si>
    <t>PAISAGISMO - LIVE LUMIS</t>
  </si>
  <si>
    <t>CUSTO POR ÁREA DE PAISAGISMO</t>
  </si>
  <si>
    <t>CUSTO POR ÁREA CONSTRUÍDA</t>
  </si>
  <si>
    <t>Corrimão inox</t>
  </si>
  <si>
    <t>2S - teto</t>
  </si>
  <si>
    <t>Concreto aparente</t>
  </si>
  <si>
    <t>m² / m²</t>
  </si>
  <si>
    <t>Textura padrão STO</t>
  </si>
  <si>
    <t>Consideração</t>
  </si>
  <si>
    <t>KZA</t>
  </si>
  <si>
    <t>AMBIENTES</t>
  </si>
  <si>
    <t>Infra Ar Cond.</t>
  </si>
  <si>
    <t>Aparelho Ar cond.</t>
  </si>
  <si>
    <t>Ar cond.</t>
  </si>
  <si>
    <t>Infra</t>
  </si>
  <si>
    <t>Aparelho</t>
  </si>
  <si>
    <t>SALA DE ESPERA</t>
  </si>
  <si>
    <t>YOGA</t>
  </si>
  <si>
    <t>GOUMERT</t>
  </si>
  <si>
    <t>Térreo</t>
  </si>
  <si>
    <t>GOURMET</t>
  </si>
  <si>
    <t>Quant. total</t>
  </si>
  <si>
    <t>Enclausurado</t>
  </si>
  <si>
    <t>LUMIS</t>
  </si>
  <si>
    <t>LIVE</t>
  </si>
  <si>
    <t>ESTIMATIVA DE CUSTOS</t>
  </si>
  <si>
    <t>Instalações</t>
  </si>
  <si>
    <t>Sistemas e instalações elétricas</t>
  </si>
  <si>
    <t>R$/m²</t>
  </si>
  <si>
    <t>Quadros elétricos e disjuntores</t>
  </si>
  <si>
    <t>Fios e cabos elétricos</t>
  </si>
  <si>
    <t>Pontos de tomadas e interruptores</t>
  </si>
  <si>
    <t>Luminárias, lâmpadas e acessórios</t>
  </si>
  <si>
    <t>total</t>
  </si>
  <si>
    <t xml:space="preserve">Sistemas e instalações hidrossanitárias e drenagem </t>
  </si>
  <si>
    <t>MÉDIA/M2</t>
  </si>
  <si>
    <t>Instalações de água fria</t>
  </si>
  <si>
    <t>Instalações de água quente</t>
  </si>
  <si>
    <t>Louças e metais</t>
  </si>
  <si>
    <t>Instalações de água pluvial</t>
  </si>
  <si>
    <t>Instalações de esgoto</t>
  </si>
  <si>
    <t>Instalações preventivas e GLP</t>
  </si>
  <si>
    <t xml:space="preserve">Instalações de gás </t>
  </si>
  <si>
    <t xml:space="preserve">Instalações do sistema preventivo de Incêndio </t>
  </si>
  <si>
    <t>Instalações de proteção e Aterramento - SPDA</t>
  </si>
  <si>
    <t>Mão de Obra (R$/m²)</t>
  </si>
  <si>
    <t>Ítem</t>
  </si>
  <si>
    <t>Custo M</t>
  </si>
  <si>
    <t>Projeção</t>
  </si>
  <si>
    <t>Área de forma
(m²)</t>
  </si>
  <si>
    <t>Volume de
concreto (m³)</t>
  </si>
  <si>
    <t>Peso do aço
+10 % (kg)</t>
  </si>
  <si>
    <t>Consumo de
aço (kg/m³)</t>
  </si>
  <si>
    <t>BALDRAMES</t>
  </si>
  <si>
    <t>Índice VIVA4</t>
  </si>
  <si>
    <t>LIVE - LUMIS (Sapatas) - NÃO FOI UTILIZADA NESSA INFRA</t>
  </si>
  <si>
    <t>Piso especial</t>
  </si>
  <si>
    <t xml:space="preserve">Piso especial </t>
  </si>
  <si>
    <t>Custo Gran Torino + Sistema de aquecimento Sodramar</t>
  </si>
  <si>
    <t>áreas laje descobertas - verdes</t>
  </si>
  <si>
    <t>Sauna</t>
  </si>
  <si>
    <t>Lago</t>
  </si>
  <si>
    <t>Mão de obra - laje inclinada</t>
  </si>
  <si>
    <t>Protensão</t>
  </si>
  <si>
    <t>un / m2</t>
  </si>
  <si>
    <t>Fabricação forma - paredes de concreto</t>
  </si>
  <si>
    <t>Montagem de forma - paredes de concreto</t>
  </si>
  <si>
    <t>Armadura Convencional para paredes de concreto</t>
  </si>
  <si>
    <t>Lados</t>
  </si>
  <si>
    <t>CLARABOIA</t>
  </si>
  <si>
    <t>* PARÂMETROS BASEADOS EM BRASIN - REDENTOR</t>
  </si>
  <si>
    <t>Custo Viva 4</t>
  </si>
  <si>
    <t>CONTENÇÕES</t>
  </si>
  <si>
    <t>Infraestrutura para Instalação de Ar Condicionado - CASSETE</t>
  </si>
  <si>
    <t>Área de subsolo (m2)</t>
  </si>
  <si>
    <t>VIVA4</t>
  </si>
  <si>
    <t>Reaterro</t>
  </si>
  <si>
    <t>Lastro de concreto magro</t>
  </si>
  <si>
    <t>Estrutura - drenagem</t>
  </si>
  <si>
    <t>PAREDE DE CONCRETO</t>
  </si>
  <si>
    <t>Área de Contenção</t>
  </si>
  <si>
    <t>Custo Malaga</t>
  </si>
  <si>
    <t>Mais revestimentos parede banheiro</t>
  </si>
  <si>
    <t>ÁREA PRIVATIVA</t>
  </si>
  <si>
    <t xml:space="preserve">	CONTENÇÃO</t>
  </si>
  <si>
    <t>DESCRIÇÃO</t>
  </si>
  <si>
    <t>ÁREA (m²)</t>
  </si>
  <si>
    <t>QUANT.</t>
  </si>
  <si>
    <t>VALOR TOTAL</t>
  </si>
  <si>
    <t>VALOR POR ÁREA PRIVATIVA (R$/m²)</t>
  </si>
  <si>
    <t>ÁREA DE LAZER</t>
  </si>
  <si>
    <t>APT11 - TB</t>
  </si>
  <si>
    <t>APT12 - TB</t>
  </si>
  <si>
    <t>APT13 - TB</t>
  </si>
  <si>
    <t>APT14 - TB</t>
  </si>
  <si>
    <t>APT11 - TA</t>
  </si>
  <si>
    <t>APT12 - TA</t>
  </si>
  <si>
    <t>APT13 - TA</t>
  </si>
  <si>
    <t>APT21 (COM LAZER SUPERIOR) - TB</t>
  </si>
  <si>
    <t>APT22 (COM LAZER SUPERIOR) - TB</t>
  </si>
  <si>
    <t>APT23 (COM LAZER SUPERIOR) - TB</t>
  </si>
  <si>
    <t>APT24 (COM LAZER SUPERIOR) - TB</t>
  </si>
  <si>
    <t>APT21 - TA</t>
  </si>
  <si>
    <t>APT22 - TA</t>
  </si>
  <si>
    <t>APT23 - TA</t>
  </si>
  <si>
    <t>APT24 (COM LAZER SUPERIOR) - TA</t>
  </si>
  <si>
    <t>APT32 (COM LAZER SUPERIOR) - TA</t>
  </si>
  <si>
    <t>APT33 (COM LAZER SUPERIOR) - TA</t>
  </si>
  <si>
    <t>Proposta Atlas - ABC</t>
  </si>
  <si>
    <t>Índice ABC- Estaleiro</t>
  </si>
  <si>
    <t>TETO DECK</t>
  </si>
  <si>
    <t>Gran Torino</t>
  </si>
  <si>
    <t>Paver fulget</t>
  </si>
  <si>
    <t>LIVE - LUMIS (MUDANDO CUSTO REVESTIMENTO P/ PORCELANATO)</t>
  </si>
  <si>
    <t>ABC - Estaleiro</t>
  </si>
  <si>
    <t>Fechadura eletrônica</t>
  </si>
  <si>
    <t>2100 Lumis 1600 ABC</t>
  </si>
  <si>
    <t>Hélice</t>
  </si>
  <si>
    <t>Escavação Torre A</t>
  </si>
  <si>
    <t>Escavação Torre B</t>
  </si>
  <si>
    <t>Movimentação de bota-fora Torre A</t>
  </si>
  <si>
    <t>Movimentação de bota-fora Torre B</t>
  </si>
  <si>
    <t>TÉRREO/1º PAVIMENTO</t>
  </si>
  <si>
    <t>1º PAV/2º PAV</t>
  </si>
  <si>
    <t>APT14 (2 PAVIMENTOS) - TA</t>
  </si>
  <si>
    <t>BANHO SERV. (SUPERIOR)</t>
  </si>
  <si>
    <t>CIRC. (SUPERIOR)</t>
  </si>
  <si>
    <t>APT0 / A.C.</t>
  </si>
  <si>
    <t>APT01 - TB</t>
  </si>
  <si>
    <t>APT02 - TB</t>
  </si>
  <si>
    <t>APT03 - TB</t>
  </si>
  <si>
    <t>APT04 - TB</t>
  </si>
  <si>
    <t>APT01 - TA</t>
  </si>
  <si>
    <t>APT04 (2 PAVIMENTOS) - TA</t>
  </si>
  <si>
    <t>Concreto 45MPa</t>
  </si>
  <si>
    <t>Concreto - paredes de concreto45MPa</t>
  </si>
  <si>
    <t>JUSTIFICATIVA</t>
  </si>
  <si>
    <t>quantitativo de modelo (ambos subsolos)</t>
  </si>
  <si>
    <t>Fabricação, montagem e desmontagem de forma para blocos e baldrames madeira serrada</t>
  </si>
  <si>
    <t>Elevador 1 parada</t>
  </si>
  <si>
    <t>vagas 1º SS</t>
  </si>
  <si>
    <t>vagas 2º SS</t>
  </si>
  <si>
    <t>Cliente informou para considerar 1/apto</t>
  </si>
  <si>
    <t>DRYWALL</t>
  </si>
  <si>
    <t>ALTA DENSIDADE DE ESQUADRIAS - PADRÃO SLIM</t>
  </si>
  <si>
    <t>Fabricação, montagem e desmontagem de forma - resinado</t>
  </si>
  <si>
    <t xml:space="preserve">ATALAIA </t>
  </si>
  <si>
    <t>Perímetro contenção</t>
  </si>
  <si>
    <t>Índice</t>
  </si>
  <si>
    <t>Custo / m</t>
  </si>
  <si>
    <t>Custo / m²</t>
  </si>
  <si>
    <t>Custo / AC</t>
  </si>
  <si>
    <t>Altura média</t>
  </si>
  <si>
    <t>Área forma</t>
  </si>
  <si>
    <t>Projeção embasamento</t>
  </si>
  <si>
    <t>*considerando 1,1 de majoração de médias</t>
  </si>
  <si>
    <t>MAIOR ÁREA DE ESCAVAÇÃO E BOTA-FORA EM RELAÇÃO A ÁREA CONSTRUÍDA</t>
  </si>
  <si>
    <t>MAIOR PROPORÇÃO DE PROJEÇÃO DE EMBASAMETO DEVIDO A HORIZONTALIDADE</t>
  </si>
  <si>
    <t xml:space="preserve">MAIOR PROPORÇÃO DE PROJEÇÃO DO SUBSOLO / ESPESSURA DA PAREDE </t>
  </si>
  <si>
    <t>PAREDES DE CONCRETO / RESISTÊNCIA E ADITIVO DO CONCRETO</t>
  </si>
  <si>
    <t>EQUIPAMENTOS E QUANTIDADE DE PISCINAS AQUECIDAS, LAGO E CARREGAMENTO CARRO</t>
  </si>
  <si>
    <t>QUANTIDADE DE BANHEIROS, PISCINAS, LAGO E TELHADO VERDE</t>
  </si>
  <si>
    <t>CUSTO DOS REVESTIMENTOS: PEDRA RÚSTICA EM CACOS E MADEIRA ENGENHEIRADA / QUANTIDADE DE BANHEIROS COM REVESTIMENTO</t>
  </si>
  <si>
    <t>MAIOR ÁREA DE PAISAGISMO, MAS MENOR QUANTIDADE ÁREAS MOBILIADAS</t>
  </si>
  <si>
    <t xml:space="preserve">ACABAMENTOS DIFERENCIADOS </t>
  </si>
  <si>
    <t>Móveis e decoração jardim duplex e calçadas suspensas</t>
  </si>
  <si>
    <t>Isolamento lã pet</t>
  </si>
  <si>
    <t>Rebaixamento provisório de lençol</t>
  </si>
  <si>
    <t>SOMAUMA (Argamassa com aditivo cristalizante)</t>
  </si>
  <si>
    <t>Controle de acesso</t>
  </si>
  <si>
    <t>Paisagismo + mobiliário externo</t>
  </si>
  <si>
    <t>Circulação</t>
  </si>
  <si>
    <t>Jardim superior</t>
  </si>
  <si>
    <t>https://www.neosolar.com.br/simulador-solar-calculadora-fotovoltaica</t>
  </si>
  <si>
    <t>Impermeabilizações com aditivo cristalizante</t>
  </si>
  <si>
    <t>Impermeabilizações com aditivo cristalizante (telhado verde)</t>
  </si>
  <si>
    <t>Impermeabilizações com aditivo cristalizante (piscinas)</t>
  </si>
  <si>
    <t>INFORMAÇÕES DE ÁREAS ENVIADAS PELO CLIENTE</t>
  </si>
  <si>
    <t>JD 01 (CAVE ÁGUA)</t>
  </si>
  <si>
    <t>COB 02 (CAVE ÁGUA)</t>
  </si>
  <si>
    <t>JD 04 (CAVE ÁGUA)</t>
  </si>
  <si>
    <t>M 04 (CAVE ÁGUA)</t>
  </si>
  <si>
    <t>COB 04 (CAVE ÁGUA)</t>
  </si>
  <si>
    <t>M 01 (CAVE ÁGUA)</t>
  </si>
  <si>
    <t>COB 01 (CAVE ÁGUA)</t>
  </si>
  <si>
    <t>JD 02 (CAVE ÁGUA)</t>
  </si>
  <si>
    <t>JD 04 (CAVE FOGO)</t>
  </si>
  <si>
    <t>M 04  (CAVE FOGO)</t>
  </si>
  <si>
    <t>COB 03  (CAVE FOGO)</t>
  </si>
  <si>
    <t>M 03  (CAVE FOGO)</t>
  </si>
  <si>
    <t>M 02  (CAVE ÁGUA)</t>
  </si>
  <si>
    <t>JD 03 (CAVE FOGO)</t>
  </si>
  <si>
    <t>PAG 25 = PAG 21</t>
  </si>
  <si>
    <t>REPETE UNIDADE M 04 AO INVES DE MOSTRAR COB 04 CAVE FOGO</t>
  </si>
  <si>
    <t>JD 01 (CAVE FOGO)</t>
  </si>
  <si>
    <t>M 01 (CAVE FOGO)</t>
  </si>
  <si>
    <t>COB 01 (CAVE FOGO)</t>
  </si>
  <si>
    <t>JD 02  (CAVE FOGO)</t>
  </si>
  <si>
    <t>M 02  (CAVE FOGO)</t>
  </si>
  <si>
    <t>COB 02 (CAVE FOGO)</t>
  </si>
  <si>
    <t>D 03 (CAVE ÁGUA)</t>
  </si>
  <si>
    <t>D 02 (CAVE ÁGUA)</t>
  </si>
  <si>
    <t>PAG 4=PAG 12</t>
  </si>
  <si>
    <t>REPETE UNIDADE D 03 AO INVES DE MOSTRAR D 01 CAVE ÁGUA</t>
  </si>
  <si>
    <t>D 01 (CAVE ÁGUA)</t>
  </si>
  <si>
    <t>COB 04  (CAVE FOGO)</t>
  </si>
  <si>
    <t>REV02</t>
  </si>
  <si>
    <t>REV01</t>
  </si>
  <si>
    <t>Conforme solicitado em 18/07 via whatsapp:  considerar 40%</t>
  </si>
  <si>
    <t>Estava 30 reais</t>
  </si>
  <si>
    <t>Manta acústica + tela</t>
  </si>
  <si>
    <t>Movimentação de terra das estacas</t>
  </si>
  <si>
    <t xml:space="preserve">Considerado 30% de perda </t>
  </si>
  <si>
    <t>Antes R$240,00</t>
  </si>
  <si>
    <t>Piso Armado</t>
  </si>
  <si>
    <t>Escoramento - Paredes de concreto</t>
  </si>
  <si>
    <t>reais/AC Ingleses Spot</t>
  </si>
  <si>
    <t>Piso Elevador</t>
  </si>
  <si>
    <t>Estava 32,94m²</t>
  </si>
  <si>
    <t>Mobilização e arrasamento de estacas</t>
  </si>
  <si>
    <t>Não considerado anteriormente</t>
  </si>
  <si>
    <t>*****</t>
  </si>
  <si>
    <t>Considerar no preliminar</t>
  </si>
  <si>
    <t>Não estava considerando garagem - Confirmar se devemos considerar</t>
  </si>
  <si>
    <t>Alterado índice COTAÇÃO SOMAUMA CONSIDERANDO A MAIS... SANCA E CHAPA RU</t>
  </si>
  <si>
    <t>ÍNDICES OK, MAS FALTANDO PISO ARMADO!!!!</t>
  </si>
  <si>
    <t>CUSTO DO PISO ARMADO DILUÍDO NA SUPRA</t>
  </si>
  <si>
    <t>m / AC</t>
  </si>
  <si>
    <t>REV03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</si>
</sst>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\ _D_M_-;\-* #,##0.00\ _D_M_-;_-* &quot;-&quot;??\ _D_M_-;_-@_-"/>
    <numFmt numFmtId="165" formatCode="_-* #.##0.00_-;\-* #.##0.00_-;_-* &quot;-&quot;??_-;_-@_-"/>
    <numFmt numFmtId="166" formatCode="_-* #,##0.0000_-;\-* #,##0.0000_-;_-* &quot;-&quot;??_-;_-@_-"/>
    <numFmt numFmtId="167" formatCode="_-* #,##0.00_-;\-* #,##0.00_-;_-* &quot;-&quot;??_-;_-@"/>
    <numFmt numFmtId="168" formatCode="_-&quot;R$&quot;\ * #,##0.00_-;\-&quot;R$&quot;\ * #,##0.00_-;_-&quot;R$&quot;\ * &quot;-&quot;??_-;_-@"/>
    <numFmt numFmtId="169" formatCode="&quot;R$&quot;\ #,##0.00"/>
    <numFmt numFmtId="170" formatCode="0.0%"/>
    <numFmt numFmtId="171" formatCode="_-&quot;R$&quot;\ * #,##0.000000_-;\-&quot;R$&quot;\ * #,##0.000000_-;_-&quot;R$&quot;\ * &quot;-&quot;??_-;_-@_-"/>
  </numFmts>
  <fonts count="8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Roboto"/>
    </font>
    <font>
      <sz val="10"/>
      <color rgb="FFFF0000"/>
      <name val="Roboto"/>
    </font>
    <font>
      <b/>
      <sz val="8"/>
      <color theme="0"/>
      <name val="Poppins"/>
    </font>
    <font>
      <sz val="10"/>
      <color rgb="FF121212"/>
      <name val="Poppins"/>
    </font>
    <font>
      <sz val="8"/>
      <color rgb="FF121212"/>
      <name val="Poppins"/>
    </font>
    <font>
      <b/>
      <sz val="10"/>
      <color theme="0"/>
      <name val="Poppins"/>
    </font>
    <font>
      <b/>
      <sz val="10"/>
      <color rgb="FF121212"/>
      <name val="Poppins"/>
    </font>
    <font>
      <sz val="11"/>
      <color theme="1"/>
      <name val="Poppins"/>
    </font>
    <font>
      <b/>
      <sz val="14"/>
      <color theme="0"/>
      <name val="Poppins"/>
    </font>
    <font>
      <b/>
      <sz val="14"/>
      <color rgb="FF002060"/>
      <name val="Poppins"/>
    </font>
    <font>
      <b/>
      <sz val="8"/>
      <color rgb="FF002060"/>
      <name val="Poppins"/>
    </font>
    <font>
      <sz val="11"/>
      <color rgb="FF121212"/>
      <name val="Poppins"/>
    </font>
    <font>
      <sz val="8"/>
      <color theme="1"/>
      <name val="Poppins"/>
    </font>
    <font>
      <sz val="10"/>
      <color theme="1"/>
      <name val="Poppins"/>
    </font>
    <font>
      <sz val="10"/>
      <name val="Poppins"/>
    </font>
    <font>
      <b/>
      <sz val="11"/>
      <color theme="1"/>
      <name val="Poppins"/>
    </font>
    <font>
      <sz val="11"/>
      <color theme="1"/>
      <name val="Roboto"/>
    </font>
    <font>
      <b/>
      <u/>
      <sz val="11"/>
      <color theme="1"/>
      <name val="Poppins"/>
    </font>
    <font>
      <b/>
      <sz val="11"/>
      <color theme="0"/>
      <name val="Poppins"/>
    </font>
    <font>
      <b/>
      <sz val="9"/>
      <color indexed="81"/>
      <name val="Segoe UI"/>
      <family val="2"/>
    </font>
    <font>
      <b/>
      <sz val="10"/>
      <color theme="0"/>
      <name val="Roboto"/>
    </font>
    <font>
      <sz val="11"/>
      <color rgb="FFFF0000"/>
      <name val="Roboto"/>
    </font>
    <font>
      <sz val="11"/>
      <name val="Roboto"/>
    </font>
    <font>
      <sz val="11"/>
      <name val="Poppins"/>
    </font>
    <font>
      <b/>
      <sz val="11"/>
      <color theme="0"/>
      <name val="Roboto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Roboto"/>
    </font>
    <font>
      <b/>
      <sz val="14"/>
      <color rgb="FF293549"/>
      <name val="Roboto"/>
    </font>
    <font>
      <b/>
      <sz val="14"/>
      <color rgb="FF255AE5"/>
      <name val="Roboto"/>
    </font>
    <font>
      <b/>
      <sz val="11"/>
      <color rgb="FFFF0000"/>
      <name val="Roboto"/>
    </font>
    <font>
      <sz val="10"/>
      <color rgb="FF000000"/>
      <name val="Roboto"/>
    </font>
    <font>
      <b/>
      <u/>
      <sz val="10"/>
      <color theme="1"/>
      <name val="Roboto"/>
    </font>
    <font>
      <b/>
      <sz val="10"/>
      <color theme="1"/>
      <name val="Roboto"/>
    </font>
    <font>
      <b/>
      <sz val="10"/>
      <color rgb="FFFF0000"/>
      <name val="Roboto"/>
    </font>
    <font>
      <sz val="11"/>
      <name val="Calibri"/>
      <family val="2"/>
    </font>
    <font>
      <b/>
      <sz val="8"/>
      <color rgb="FF121212"/>
      <name val="Poppins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0"/>
      <name val="Calibri"/>
      <family val="2"/>
    </font>
    <font>
      <b/>
      <sz val="12"/>
      <color rgb="FFFFFFFF"/>
      <name val="Calibri"/>
      <family val="2"/>
    </font>
    <font>
      <sz val="12"/>
      <color theme="1"/>
      <name val="Calibri"/>
      <family val="2"/>
    </font>
    <font>
      <sz val="12"/>
      <color rgb="FFFC3400"/>
      <name val="Calibri"/>
      <family val="2"/>
    </font>
    <font>
      <sz val="8"/>
      <color theme="1"/>
      <name val="Calibri"/>
      <family val="2"/>
    </font>
    <font>
      <sz val="10"/>
      <color rgb="FF000000"/>
      <name val="Calibri"/>
      <family val="2"/>
    </font>
    <font>
      <b/>
      <sz val="14"/>
      <color rgb="FF121212"/>
      <name val="Poppins"/>
    </font>
    <font>
      <b/>
      <sz val="10"/>
      <color theme="1"/>
      <name val="Poppins"/>
    </font>
    <font>
      <b/>
      <sz val="10"/>
      <color rgb="FF010000"/>
      <name val="Poppins"/>
    </font>
    <font>
      <sz val="10"/>
      <color rgb="FF010000"/>
      <name val="Poppins"/>
    </font>
    <font>
      <b/>
      <sz val="10"/>
      <color rgb="FFFF0000"/>
      <name val="Poppins"/>
    </font>
    <font>
      <sz val="11"/>
      <color rgb="FFFF0000"/>
      <name val="Calibri"/>
      <family val="2"/>
    </font>
    <font>
      <b/>
      <sz val="11"/>
      <color rgb="FFF5F5F5"/>
      <name val="Poppins"/>
    </font>
    <font>
      <sz val="10"/>
      <color rgb="FF19212D"/>
      <name val="Arial"/>
      <family val="2"/>
    </font>
    <font>
      <sz val="11"/>
      <name val="Calibri"/>
      <family val="2"/>
      <scheme val="minor"/>
    </font>
    <font>
      <sz val="14"/>
      <color rgb="FFFF0000"/>
      <name val="Poppins"/>
    </font>
    <font>
      <b/>
      <sz val="12"/>
      <color theme="1"/>
      <name val="Roboto"/>
    </font>
    <font>
      <sz val="8"/>
      <color rgb="FFFF0000"/>
      <name val="Poppins"/>
    </font>
    <font>
      <b/>
      <sz val="8"/>
      <name val="Poppins"/>
    </font>
    <font>
      <sz val="8"/>
      <name val="Poppins"/>
    </font>
    <font>
      <b/>
      <sz val="11"/>
      <name val="Roboto"/>
    </font>
    <font>
      <sz val="11"/>
      <color rgb="FF010000"/>
      <name val="Roboto"/>
    </font>
    <font>
      <sz val="8"/>
      <color rgb="FFFF0000"/>
      <name val="Calibri"/>
      <family val="2"/>
    </font>
    <font>
      <sz val="8"/>
      <color theme="1"/>
      <name val="Roboto"/>
    </font>
    <font>
      <b/>
      <sz val="11"/>
      <color rgb="FFFF0000"/>
      <name val="Poppins"/>
    </font>
    <font>
      <b/>
      <sz val="11"/>
      <color theme="1"/>
      <name val="Roboto"/>
    </font>
    <font>
      <sz val="11"/>
      <color rgb="FFFF0000"/>
      <name val="Poppins"/>
    </font>
    <font>
      <b/>
      <sz val="10"/>
      <color rgb="FF000000"/>
      <name val="Poppins"/>
    </font>
    <font>
      <b/>
      <sz val="8"/>
      <color theme="1"/>
      <name val="Poppins"/>
    </font>
    <font>
      <b/>
      <sz val="8"/>
      <color theme="1"/>
      <name val="Roboto"/>
    </font>
    <font>
      <sz val="8"/>
      <color theme="1"/>
      <name val="Calibri"/>
      <family val="2"/>
      <scheme val="minor"/>
    </font>
    <font>
      <b/>
      <sz val="12"/>
      <color rgb="FFFF0000"/>
      <name val="Poppins"/>
    </font>
    <font>
      <sz val="9"/>
      <color indexed="81"/>
      <name val="Segoe UI"/>
      <family val="2"/>
    </font>
    <font>
      <sz val="11"/>
      <color rgb="FF004600"/>
      <name val="Poppins"/>
    </font>
    <font>
      <sz val="11"/>
      <color rgb="FFA80000"/>
      <name val="Poppins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12121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C34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55AE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CECECE"/>
        <bgColor rgb="FFCECECE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C3400"/>
        <bgColor rgb="FFFC3400"/>
      </patternFill>
    </fill>
    <fill>
      <patternFill patternType="solid">
        <fgColor rgb="FF121212"/>
        <bgColor rgb="FF121212"/>
      </patternFill>
    </fill>
    <fill>
      <patternFill patternType="solid">
        <fgColor rgb="FF255AE5"/>
        <bgColor rgb="FF255AE5"/>
      </patternFill>
    </fill>
    <fill>
      <patternFill patternType="solid">
        <fgColor rgb="FFFFFF00"/>
        <bgColor rgb="FFFFFF00"/>
      </patternFill>
    </fill>
    <fill>
      <patternFill patternType="solid">
        <fgColor rgb="FFA5A5A5"/>
        <bgColor rgb="FFA5A5A5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3F3F3F"/>
        <bgColor rgb="FF3F3F3F"/>
      </patternFill>
    </fill>
    <fill>
      <patternFill patternType="solid">
        <fgColor rgb="FFFE3400"/>
        <bgColor rgb="FFFE3400"/>
      </patternFill>
    </fill>
    <fill>
      <patternFill patternType="solid">
        <fgColor rgb="FFDCDCDC"/>
        <bgColor rgb="FFDCDCDC"/>
      </patternFill>
    </fill>
    <fill>
      <patternFill patternType="solid">
        <fgColor rgb="FF121212"/>
        <bgColor theme="0"/>
      </patternFill>
    </fill>
    <fill>
      <patternFill patternType="solid">
        <fgColor rgb="FFFC9E9E"/>
        <bgColor indexed="64"/>
      </patternFill>
    </fill>
    <fill>
      <patternFill patternType="solid">
        <fgColor theme="0"/>
        <bgColor rgb="FFDCDCDC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121212"/>
        <bgColor rgb="FFFFFFFF"/>
      </patternFill>
    </fill>
    <fill>
      <patternFill patternType="solid">
        <fgColor rgb="FF73737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E3400"/>
        <bgColor indexed="64"/>
      </patternFill>
    </fill>
    <fill>
      <patternFill patternType="solid">
        <fgColor rgb="FFBCBDC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9.9978637043366805E-2"/>
        <bgColor theme="0"/>
      </patternFill>
    </fill>
  </fills>
  <borders count="28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rgb="FFCECECE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/>
      <right/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/>
      <right/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/>
      <top/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499984740745262"/>
      </left>
      <right/>
      <top/>
      <bottom style="hair">
        <color theme="0" tint="-0.499984740745262"/>
      </bottom>
      <diagonal/>
    </border>
    <border>
      <left/>
      <right/>
      <top/>
      <bottom style="hair">
        <color theme="0" tint="-0.499984740745262"/>
      </bottom>
      <diagonal/>
    </border>
    <border>
      <left style="thin">
        <color indexed="64"/>
      </left>
      <right/>
      <top style="thin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/>
      <top style="hair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10000"/>
      </bottom>
      <diagonal/>
    </border>
    <border>
      <left style="thin">
        <color rgb="FF000000"/>
      </left>
      <right style="thin">
        <color rgb="FF000000"/>
      </right>
      <top/>
      <bottom style="hair">
        <color rgb="FF01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10000"/>
      </bottom>
      <diagonal/>
    </border>
    <border>
      <left style="medium">
        <color rgb="FF000000"/>
      </left>
      <right style="thin">
        <color rgb="FF000000"/>
      </right>
      <top style="hair">
        <color rgb="FF010000"/>
      </top>
      <bottom style="hair">
        <color rgb="FF010000"/>
      </bottom>
      <diagonal/>
    </border>
    <border>
      <left style="thin">
        <color rgb="FF000000"/>
      </left>
      <right style="thin">
        <color rgb="FF000000"/>
      </right>
      <top style="hair">
        <color rgb="FF010000"/>
      </top>
      <bottom style="hair">
        <color rgb="FF010000"/>
      </bottom>
      <diagonal/>
    </border>
    <border>
      <left style="thin">
        <color rgb="FF000000"/>
      </left>
      <right style="medium">
        <color rgb="FF000000"/>
      </right>
      <top style="hair">
        <color rgb="FF010000"/>
      </top>
      <bottom style="hair">
        <color rgb="FF010000"/>
      </bottom>
      <diagonal/>
    </border>
    <border>
      <left style="thin">
        <color rgb="FF000000"/>
      </left>
      <right style="thin">
        <color rgb="FF000000"/>
      </right>
      <top style="hair">
        <color rgb="FF010000"/>
      </top>
      <bottom/>
      <diagonal/>
    </border>
    <border>
      <left style="medium">
        <color rgb="FF000000"/>
      </left>
      <right/>
      <top style="hair">
        <color rgb="FF010000"/>
      </top>
      <bottom style="medium">
        <color rgb="FF000000"/>
      </bottom>
      <diagonal/>
    </border>
    <border>
      <left/>
      <right/>
      <top style="hair">
        <color rgb="FF010000"/>
      </top>
      <bottom style="medium">
        <color rgb="FF000000"/>
      </bottom>
      <diagonal/>
    </border>
    <border>
      <left/>
      <right style="thin">
        <color rgb="FF000000"/>
      </right>
      <top style="hair">
        <color rgb="FF01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1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medium">
        <color rgb="FF000000"/>
      </right>
      <top/>
      <bottom style="hair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808183"/>
      </left>
      <right style="medium">
        <color rgb="FF000000"/>
      </right>
      <top style="hair">
        <color rgb="FF646464"/>
      </top>
      <bottom style="hair">
        <color rgb="FF6464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indexed="64"/>
      </right>
      <top/>
      <bottom style="hair">
        <color theme="0" tint="-0.499984740745262"/>
      </bottom>
      <diagonal/>
    </border>
    <border>
      <left/>
      <right/>
      <top style="medium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hair">
        <color rgb="FF000000"/>
      </bottom>
      <diagonal/>
    </border>
    <border>
      <left style="medium">
        <color indexed="64"/>
      </left>
      <right/>
      <top style="hair">
        <color rgb="FF000000"/>
      </top>
      <bottom/>
      <diagonal/>
    </border>
    <border>
      <left style="thin">
        <color rgb="FF000000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/>
      <top style="hair">
        <color rgb="FF000000"/>
      </top>
      <bottom style="medium">
        <color indexed="64"/>
      </bottom>
      <diagonal/>
    </border>
    <border>
      <left/>
      <right/>
      <top style="hair">
        <color rgb="FF000000"/>
      </top>
      <bottom style="medium">
        <color indexed="64"/>
      </bottom>
      <diagonal/>
    </border>
    <border>
      <left style="thin">
        <color rgb="FF000000"/>
      </left>
      <right/>
      <top style="hair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hair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medium">
        <color indexed="64"/>
      </right>
      <top/>
      <bottom style="hair">
        <color rgb="FF000000"/>
      </bottom>
      <diagonal/>
    </border>
    <border>
      <left style="medium">
        <color indexed="64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rgb="FF000000"/>
      </right>
      <top style="hair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medium">
        <color indexed="64"/>
      </right>
      <top style="hair">
        <color rgb="FF000000"/>
      </top>
      <bottom/>
      <diagonal/>
    </border>
    <border>
      <left style="medium">
        <color indexed="64"/>
      </left>
      <right style="thin">
        <color rgb="FF000000"/>
      </right>
      <top style="hair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indexed="64"/>
      </bottom>
      <diagonal/>
    </border>
    <border>
      <left style="thin">
        <color auto="1"/>
      </left>
      <right style="medium">
        <color auto="1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medium">
        <color auto="1"/>
      </right>
      <top style="hair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hair">
        <color indexed="64"/>
      </bottom>
      <diagonal/>
    </border>
    <border>
      <left style="thin">
        <color auto="1"/>
      </left>
      <right/>
      <top style="hair">
        <color indexed="64"/>
      </top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646464"/>
      </right>
      <top/>
      <bottom style="hair">
        <color rgb="FF000000"/>
      </bottom>
      <diagonal/>
    </border>
    <border>
      <left style="thin">
        <color indexed="64"/>
      </left>
      <right style="thin">
        <color indexed="64"/>
      </right>
      <top/>
      <bottom style="hair">
        <color rgb="FF000000"/>
      </bottom>
      <diagonal/>
    </border>
    <border>
      <left/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/>
      <right style="thin">
        <color indexed="64"/>
      </right>
      <top/>
      <bottom style="hair">
        <color rgb="FF000000"/>
      </bottom>
      <diagonal/>
    </border>
    <border>
      <left style="thin">
        <color indexed="64"/>
      </left>
      <right style="thin">
        <color rgb="FF6464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646464"/>
      </left>
      <right/>
      <top style="hair">
        <color rgb="FF000000"/>
      </top>
      <bottom style="hair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  <xf numFmtId="165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80" fillId="0" borderId="0" applyNumberFormat="0" applyFill="0" applyBorder="0" applyAlignment="0" applyProtection="0"/>
  </cellStyleXfs>
  <cellXfs count="1172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3" fontId="0" fillId="0" borderId="0" xfId="1" applyFont="1"/>
    <xf numFmtId="0" fontId="9" fillId="6" borderId="14" xfId="0" applyFont="1" applyFill="1" applyBorder="1" applyAlignment="1">
      <alignment vertical="center" wrapText="1"/>
    </xf>
    <xf numFmtId="0" fontId="6" fillId="3" borderId="8" xfId="0" applyFont="1" applyFill="1" applyBorder="1" applyAlignment="1">
      <alignment horizontal="left" vertical="center" wrapText="1"/>
    </xf>
    <xf numFmtId="0" fontId="6" fillId="3" borderId="9" xfId="0" applyFont="1" applyFill="1" applyBorder="1" applyAlignment="1">
      <alignment horizontal="center" vertical="center" wrapText="1"/>
    </xf>
    <xf numFmtId="43" fontId="6" fillId="3" borderId="9" xfId="1" applyFont="1" applyFill="1" applyBorder="1" applyAlignment="1">
      <alignment horizontal="left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10" fillId="3" borderId="12" xfId="0" applyFont="1" applyFill="1" applyBorder="1"/>
    <xf numFmtId="0" fontId="9" fillId="6" borderId="15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6" fillId="3" borderId="10" xfId="0" applyFont="1" applyFill="1" applyBorder="1" applyAlignment="1">
      <alignment horizontal="center" vertical="center" wrapText="1"/>
    </xf>
    <xf numFmtId="43" fontId="6" fillId="3" borderId="10" xfId="1" applyFont="1" applyFill="1" applyBorder="1" applyAlignment="1">
      <alignment horizontal="left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10" fillId="3" borderId="16" xfId="0" applyFont="1" applyFill="1" applyBorder="1"/>
    <xf numFmtId="0" fontId="12" fillId="3" borderId="18" xfId="0" applyFont="1" applyFill="1" applyBorder="1" applyAlignment="1">
      <alignment vertical="center" wrapText="1"/>
    </xf>
    <xf numFmtId="0" fontId="12" fillId="3" borderId="0" xfId="0" applyFont="1" applyFill="1" applyAlignment="1">
      <alignment horizontal="center" vertical="center" wrapText="1"/>
    </xf>
    <xf numFmtId="43" fontId="12" fillId="3" borderId="0" xfId="1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0" fillId="3" borderId="19" xfId="0" applyFont="1" applyFill="1" applyBorder="1"/>
    <xf numFmtId="0" fontId="6" fillId="3" borderId="18" xfId="0" applyFont="1" applyFill="1" applyBorder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center" vertical="center" wrapText="1"/>
    </xf>
    <xf numFmtId="43" fontId="6" fillId="3" borderId="0" xfId="1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center" vertical="center" wrapText="1"/>
    </xf>
    <xf numFmtId="0" fontId="14" fillId="3" borderId="19" xfId="0" applyFont="1" applyFill="1" applyBorder="1"/>
    <xf numFmtId="0" fontId="7" fillId="3" borderId="18" xfId="0" applyFont="1" applyFill="1" applyBorder="1"/>
    <xf numFmtId="0" fontId="7" fillId="3" borderId="0" xfId="0" applyFont="1" applyFill="1" applyAlignment="1">
      <alignment horizontal="center"/>
    </xf>
    <xf numFmtId="0" fontId="7" fillId="3" borderId="22" xfId="0" applyFont="1" applyFill="1" applyBorder="1" applyAlignment="1">
      <alignment vertical="center" wrapText="1"/>
    </xf>
    <xf numFmtId="43" fontId="7" fillId="3" borderId="4" xfId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vertical="center" wrapText="1"/>
    </xf>
    <xf numFmtId="43" fontId="7" fillId="3" borderId="5" xfId="1" applyFont="1" applyFill="1" applyBorder="1" applyAlignment="1">
      <alignment horizontal="center" vertical="center" wrapText="1"/>
    </xf>
    <xf numFmtId="43" fontId="7" fillId="3" borderId="13" xfId="1" applyFont="1" applyFill="1" applyBorder="1" applyAlignment="1">
      <alignment vertical="center" wrapText="1"/>
    </xf>
    <xf numFmtId="0" fontId="10" fillId="0" borderId="0" xfId="0" applyFont="1"/>
    <xf numFmtId="0" fontId="10" fillId="0" borderId="0" xfId="0" applyFont="1" applyAlignment="1">
      <alignment horizontal="center"/>
    </xf>
    <xf numFmtId="43" fontId="10" fillId="0" borderId="0" xfId="1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vertical="center"/>
    </xf>
    <xf numFmtId="43" fontId="16" fillId="0" borderId="0" xfId="1" applyFont="1" applyAlignment="1">
      <alignment vertical="center"/>
    </xf>
    <xf numFmtId="9" fontId="3" fillId="0" borderId="0" xfId="6" applyFont="1" applyAlignment="1">
      <alignment vertical="center"/>
    </xf>
    <xf numFmtId="0" fontId="17" fillId="0" borderId="0" xfId="0" applyFont="1" applyAlignment="1">
      <alignment vertical="center"/>
    </xf>
    <xf numFmtId="43" fontId="17" fillId="6" borderId="0" xfId="1" applyFont="1" applyFill="1" applyBorder="1" applyAlignment="1">
      <alignment vertical="center"/>
    </xf>
    <xf numFmtId="0" fontId="17" fillId="6" borderId="0" xfId="0" applyFont="1" applyFill="1" applyAlignment="1">
      <alignment vertical="center"/>
    </xf>
    <xf numFmtId="43" fontId="17" fillId="0" borderId="0" xfId="1" applyFont="1" applyAlignment="1">
      <alignment vertical="center"/>
    </xf>
    <xf numFmtId="0" fontId="18" fillId="0" borderId="30" xfId="0" applyFont="1" applyBorder="1" applyAlignment="1">
      <alignment vertical="center"/>
    </xf>
    <xf numFmtId="0" fontId="10" fillId="0" borderId="30" xfId="0" applyFont="1" applyBorder="1" applyAlignment="1">
      <alignment vertical="center"/>
    </xf>
    <xf numFmtId="43" fontId="10" fillId="0" borderId="30" xfId="1" applyFont="1" applyBorder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43" fontId="18" fillId="0" borderId="0" xfId="1" applyFont="1" applyBorder="1" applyAlignment="1">
      <alignment vertical="center"/>
    </xf>
    <xf numFmtId="0" fontId="10" fillId="0" borderId="0" xfId="0" applyFont="1" applyAlignment="1">
      <alignment vertical="center"/>
    </xf>
    <xf numFmtId="43" fontId="10" fillId="0" borderId="0" xfId="1" applyFont="1" applyBorder="1" applyAlignment="1">
      <alignment horizontal="center" vertical="center" wrapText="1"/>
    </xf>
    <xf numFmtId="43" fontId="10" fillId="5" borderId="10" xfId="1" applyFont="1" applyFill="1" applyBorder="1" applyAlignment="1">
      <alignment vertical="center" wrapText="1"/>
    </xf>
    <xf numFmtId="0" fontId="21" fillId="8" borderId="1" xfId="0" applyFont="1" applyFill="1" applyBorder="1" applyAlignment="1">
      <alignment vertical="center"/>
    </xf>
    <xf numFmtId="0" fontId="21" fillId="8" borderId="1" xfId="0" applyFont="1" applyFill="1" applyBorder="1" applyAlignment="1">
      <alignment horizontal="center" vertical="center" wrapText="1"/>
    </xf>
    <xf numFmtId="43" fontId="21" fillId="8" borderId="1" xfId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43" fontId="10" fillId="0" borderId="1" xfId="1" applyFont="1" applyBorder="1" applyAlignment="1">
      <alignment vertical="center" wrapText="1"/>
    </xf>
    <xf numFmtId="43" fontId="10" fillId="0" borderId="1" xfId="1" applyFont="1" applyBorder="1" applyAlignment="1">
      <alignment horizontal="left" vertical="center" wrapText="1"/>
    </xf>
    <xf numFmtId="0" fontId="10" fillId="0" borderId="2" xfId="0" applyFont="1" applyBorder="1" applyAlignment="1">
      <alignment vertical="center" wrapText="1"/>
    </xf>
    <xf numFmtId="0" fontId="21" fillId="8" borderId="1" xfId="0" applyFont="1" applyFill="1" applyBorder="1" applyAlignment="1">
      <alignment horizontal="center" vertical="center"/>
    </xf>
    <xf numFmtId="43" fontId="10" fillId="0" borderId="10" xfId="1" applyFont="1" applyBorder="1" applyAlignment="1">
      <alignment horizontal="left" vertical="center" wrapText="1"/>
    </xf>
    <xf numFmtId="43" fontId="10" fillId="5" borderId="1" xfId="1" applyFont="1" applyFill="1" applyBorder="1" applyAlignment="1">
      <alignment vertical="center" wrapText="1"/>
    </xf>
    <xf numFmtId="43" fontId="10" fillId="5" borderId="1" xfId="1" applyFont="1" applyFill="1" applyBorder="1" applyAlignment="1">
      <alignment horizontal="left" vertical="center" wrapText="1"/>
    </xf>
    <xf numFmtId="9" fontId="10" fillId="5" borderId="10" xfId="1" applyNumberFormat="1" applyFont="1" applyFill="1" applyBorder="1" applyAlignment="1">
      <alignment vertical="center" wrapText="1"/>
    </xf>
    <xf numFmtId="2" fontId="10" fillId="5" borderId="10" xfId="1" applyNumberFormat="1" applyFont="1" applyFill="1" applyBorder="1" applyAlignment="1">
      <alignment vertical="center" wrapText="1"/>
    </xf>
    <xf numFmtId="0" fontId="10" fillId="0" borderId="32" xfId="0" applyFont="1" applyBorder="1" applyAlignment="1">
      <alignment horizontal="left" vertical="center" wrapText="1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43" fontId="19" fillId="0" borderId="0" xfId="1" applyFont="1" applyAlignment="1">
      <alignment vertical="center"/>
    </xf>
    <xf numFmtId="43" fontId="19" fillId="0" borderId="0" xfId="1" applyFont="1" applyAlignment="1">
      <alignment horizontal="center" vertical="center"/>
    </xf>
    <xf numFmtId="0" fontId="26" fillId="6" borderId="0" xfId="0" applyFont="1" applyFill="1" applyAlignment="1">
      <alignment vertical="center"/>
    </xf>
    <xf numFmtId="43" fontId="26" fillId="6" borderId="0" xfId="1" applyFont="1" applyFill="1" applyBorder="1" applyAlignment="1">
      <alignment vertical="center"/>
    </xf>
    <xf numFmtId="0" fontId="26" fillId="0" borderId="0" xfId="0" applyFont="1" applyAlignment="1">
      <alignment vertical="center"/>
    </xf>
    <xf numFmtId="43" fontId="19" fillId="0" borderId="0" xfId="1" applyFont="1" applyBorder="1" applyAlignment="1">
      <alignment vertical="center"/>
    </xf>
    <xf numFmtId="43" fontId="19" fillId="0" borderId="0" xfId="1" applyFont="1" applyBorder="1" applyAlignment="1">
      <alignment horizontal="center" vertical="center"/>
    </xf>
    <xf numFmtId="44" fontId="10" fillId="0" borderId="1" xfId="10" applyFont="1" applyBorder="1" applyAlignment="1">
      <alignment horizontal="left" vertical="center" wrapText="1"/>
    </xf>
    <xf numFmtId="44" fontId="10" fillId="0" borderId="1" xfId="10" applyFont="1" applyBorder="1" applyAlignment="1">
      <alignment horizontal="center" vertical="center"/>
    </xf>
    <xf numFmtId="44" fontId="21" fillId="8" borderId="1" xfId="10" applyFont="1" applyFill="1" applyBorder="1" applyAlignment="1">
      <alignment horizontal="center" vertical="center"/>
    </xf>
    <xf numFmtId="44" fontId="27" fillId="9" borderId="6" xfId="10" applyFont="1" applyFill="1" applyBorder="1" applyAlignment="1">
      <alignment horizontal="center" vertical="center"/>
    </xf>
    <xf numFmtId="44" fontId="10" fillId="9" borderId="1" xfId="10" applyFont="1" applyFill="1" applyBorder="1" applyAlignment="1">
      <alignment horizontal="left" vertical="center" wrapText="1"/>
    </xf>
    <xf numFmtId="44" fontId="10" fillId="9" borderId="1" xfId="10" applyFont="1" applyFill="1" applyBorder="1" applyAlignment="1">
      <alignment horizontal="center" vertical="center"/>
    </xf>
    <xf numFmtId="44" fontId="19" fillId="0" borderId="0" xfId="10" applyFont="1" applyAlignment="1">
      <alignment vertical="center"/>
    </xf>
    <xf numFmtId="44" fontId="25" fillId="0" borderId="0" xfId="10" applyFont="1" applyAlignment="1">
      <alignment vertical="center"/>
    </xf>
    <xf numFmtId="44" fontId="26" fillId="6" borderId="0" xfId="10" applyFont="1" applyFill="1" applyBorder="1" applyAlignment="1">
      <alignment vertical="center"/>
    </xf>
    <xf numFmtId="44" fontId="26" fillId="0" borderId="0" xfId="10" applyFont="1" applyAlignment="1">
      <alignment vertical="center"/>
    </xf>
    <xf numFmtId="44" fontId="10" fillId="0" borderId="30" xfId="10" applyFont="1" applyBorder="1" applyAlignment="1">
      <alignment vertical="center"/>
    </xf>
    <xf numFmtId="44" fontId="18" fillId="0" borderId="0" xfId="10" applyFont="1" applyBorder="1" applyAlignment="1">
      <alignment vertical="center"/>
    </xf>
    <xf numFmtId="44" fontId="10" fillId="0" borderId="0" xfId="10" applyFont="1" applyAlignment="1">
      <alignment vertical="center"/>
    </xf>
    <xf numFmtId="44" fontId="21" fillId="8" borderId="1" xfId="10" applyFont="1" applyFill="1" applyBorder="1" applyAlignment="1">
      <alignment horizontal="center" vertical="center" wrapText="1"/>
    </xf>
    <xf numFmtId="44" fontId="18" fillId="0" borderId="0" xfId="10" applyFont="1" applyAlignment="1">
      <alignment vertical="center"/>
    </xf>
    <xf numFmtId="44" fontId="10" fillId="0" borderId="0" xfId="10" applyFont="1" applyBorder="1" applyAlignment="1">
      <alignment horizontal="center" vertical="center" wrapText="1"/>
    </xf>
    <xf numFmtId="44" fontId="17" fillId="0" borderId="0" xfId="10" applyFont="1" applyAlignment="1">
      <alignment vertical="center"/>
    </xf>
    <xf numFmtId="44" fontId="17" fillId="6" borderId="0" xfId="10" applyFont="1" applyFill="1" applyBorder="1" applyAlignment="1">
      <alignment vertical="center"/>
    </xf>
    <xf numFmtId="44" fontId="10" fillId="0" borderId="31" xfId="10" applyFont="1" applyBorder="1" applyAlignment="1">
      <alignment horizontal="center" vertical="center"/>
    </xf>
    <xf numFmtId="44" fontId="16" fillId="0" borderId="0" xfId="10" applyFont="1" applyAlignment="1">
      <alignment vertical="center"/>
    </xf>
    <xf numFmtId="44" fontId="23" fillId="9" borderId="6" xfId="10" applyFont="1" applyFill="1" applyBorder="1" applyAlignment="1">
      <alignment horizontal="center" vertical="center"/>
    </xf>
    <xf numFmtId="0" fontId="8" fillId="9" borderId="28" xfId="0" applyFont="1" applyFill="1" applyBorder="1" applyAlignment="1">
      <alignment horizontal="center" vertical="center" wrapText="1"/>
    </xf>
    <xf numFmtId="0" fontId="21" fillId="8" borderId="1" xfId="0" applyFont="1" applyFill="1" applyBorder="1" applyAlignment="1">
      <alignment horizontal="right" vertical="center" wrapText="1"/>
    </xf>
    <xf numFmtId="0" fontId="10" fillId="0" borderId="0" xfId="0" applyFont="1" applyAlignment="1">
      <alignment horizontal="center" vertical="center"/>
    </xf>
    <xf numFmtId="0" fontId="32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3" fillId="10" borderId="33" xfId="0" applyFont="1" applyFill="1" applyBorder="1" applyAlignment="1">
      <alignment vertical="center"/>
    </xf>
    <xf numFmtId="0" fontId="3" fillId="0" borderId="33" xfId="0" applyFont="1" applyBorder="1" applyAlignment="1">
      <alignment vertical="center"/>
    </xf>
    <xf numFmtId="0" fontId="32" fillId="0" borderId="33" xfId="0" applyFont="1" applyBorder="1" applyAlignment="1">
      <alignment vertical="center"/>
    </xf>
    <xf numFmtId="0" fontId="3" fillId="10" borderId="0" xfId="0" applyFont="1" applyFill="1" applyAlignment="1">
      <alignment vertical="center"/>
    </xf>
    <xf numFmtId="0" fontId="36" fillId="10" borderId="34" xfId="0" applyFont="1" applyFill="1" applyBorder="1" applyAlignment="1">
      <alignment vertical="center"/>
    </xf>
    <xf numFmtId="0" fontId="3" fillId="11" borderId="35" xfId="0" applyFont="1" applyFill="1" applyBorder="1" applyAlignment="1">
      <alignment vertical="center"/>
    </xf>
    <xf numFmtId="0" fontId="3" fillId="11" borderId="36" xfId="0" applyFont="1" applyFill="1" applyBorder="1" applyAlignment="1">
      <alignment vertical="center"/>
    </xf>
    <xf numFmtId="0" fontId="3" fillId="11" borderId="37" xfId="0" applyFont="1" applyFill="1" applyBorder="1" applyAlignment="1">
      <alignment vertical="center"/>
    </xf>
    <xf numFmtId="0" fontId="36" fillId="10" borderId="38" xfId="0" applyFont="1" applyFill="1" applyBorder="1" applyAlignment="1">
      <alignment vertical="center"/>
    </xf>
    <xf numFmtId="14" fontId="3" fillId="11" borderId="39" xfId="0" applyNumberFormat="1" applyFont="1" applyFill="1" applyBorder="1" applyAlignment="1">
      <alignment vertical="center"/>
    </xf>
    <xf numFmtId="14" fontId="3" fillId="11" borderId="40" xfId="0" applyNumberFormat="1" applyFont="1" applyFill="1" applyBorder="1" applyAlignment="1">
      <alignment vertical="center"/>
    </xf>
    <xf numFmtId="0" fontId="3" fillId="10" borderId="38" xfId="0" applyFont="1" applyFill="1" applyBorder="1" applyAlignment="1">
      <alignment vertical="center"/>
    </xf>
    <xf numFmtId="14" fontId="3" fillId="11" borderId="35" xfId="0" applyNumberFormat="1" applyFont="1" applyFill="1" applyBorder="1" applyAlignment="1">
      <alignment horizontal="left" vertical="center"/>
    </xf>
    <xf numFmtId="14" fontId="3" fillId="11" borderId="39" xfId="0" applyNumberFormat="1" applyFont="1" applyFill="1" applyBorder="1" applyAlignment="1">
      <alignment horizontal="left" vertical="center"/>
    </xf>
    <xf numFmtId="14" fontId="3" fillId="11" borderId="40" xfId="0" applyNumberFormat="1" applyFont="1" applyFill="1" applyBorder="1" applyAlignment="1">
      <alignment horizontal="left" vertical="center"/>
    </xf>
    <xf numFmtId="0" fontId="3" fillId="10" borderId="41" xfId="0" applyFont="1" applyFill="1" applyBorder="1" applyAlignment="1">
      <alignment horizontal="left" vertical="center"/>
    </xf>
    <xf numFmtId="14" fontId="3" fillId="11" borderId="35" xfId="0" applyNumberFormat="1" applyFont="1" applyFill="1" applyBorder="1" applyAlignment="1">
      <alignment vertical="center"/>
    </xf>
    <xf numFmtId="14" fontId="3" fillId="11" borderId="42" xfId="0" applyNumberFormat="1" applyFont="1" applyFill="1" applyBorder="1" applyAlignment="1">
      <alignment vertical="center"/>
    </xf>
    <xf numFmtId="14" fontId="3" fillId="11" borderId="43" xfId="0" applyNumberFormat="1" applyFont="1" applyFill="1" applyBorder="1" applyAlignment="1">
      <alignment vertical="center"/>
    </xf>
    <xf numFmtId="0" fontId="37" fillId="0" borderId="44" xfId="0" applyFont="1" applyBorder="1" applyAlignment="1">
      <alignment vertical="center"/>
    </xf>
    <xf numFmtId="43" fontId="3" fillId="0" borderId="45" xfId="1" applyFont="1" applyBorder="1" applyAlignment="1">
      <alignment vertical="center"/>
    </xf>
    <xf numFmtId="43" fontId="3" fillId="0" borderId="45" xfId="1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45" xfId="0" applyFont="1" applyBorder="1" applyAlignment="1">
      <alignment vertical="center"/>
    </xf>
    <xf numFmtId="0" fontId="3" fillId="0" borderId="46" xfId="0" applyFont="1" applyBorder="1" applyAlignment="1">
      <alignment vertical="center"/>
    </xf>
    <xf numFmtId="0" fontId="37" fillId="0" borderId="47" xfId="0" applyFont="1" applyBorder="1" applyAlignment="1">
      <alignment vertical="center"/>
    </xf>
    <xf numFmtId="43" fontId="38" fillId="0" borderId="0" xfId="1" applyFont="1" applyBorder="1" applyAlignment="1">
      <alignment vertical="center"/>
    </xf>
    <xf numFmtId="43" fontId="38" fillId="0" borderId="0" xfId="1" applyFont="1" applyBorder="1" applyAlignment="1">
      <alignment horizontal="center" vertical="center"/>
    </xf>
    <xf numFmtId="0" fontId="38" fillId="0" borderId="0" xfId="0" applyFont="1" applyAlignment="1">
      <alignment vertical="center"/>
    </xf>
    <xf numFmtId="0" fontId="3" fillId="0" borderId="48" xfId="0" applyFont="1" applyBorder="1" applyAlignment="1">
      <alignment vertical="center"/>
    </xf>
    <xf numFmtId="0" fontId="38" fillId="12" borderId="49" xfId="0" applyFont="1" applyFill="1" applyBorder="1" applyAlignment="1">
      <alignment horizontal="left" vertical="center"/>
    </xf>
    <xf numFmtId="0" fontId="38" fillId="12" borderId="52" xfId="0" applyFont="1" applyFill="1" applyBorder="1" applyAlignment="1">
      <alignment horizontal="center" vertical="center"/>
    </xf>
    <xf numFmtId="0" fontId="38" fillId="12" borderId="53" xfId="0" applyFont="1" applyFill="1" applyBorder="1" applyAlignment="1">
      <alignment horizontal="center" vertical="center"/>
    </xf>
    <xf numFmtId="43" fontId="3" fillId="0" borderId="54" xfId="1" applyFont="1" applyBorder="1" applyAlignment="1">
      <alignment horizontal="center" vertical="center" wrapText="1"/>
    </xf>
    <xf numFmtId="0" fontId="3" fillId="0" borderId="57" xfId="0" applyFont="1" applyBorder="1" applyAlignment="1">
      <alignment horizontal="center" vertical="center" wrapText="1"/>
    </xf>
    <xf numFmtId="43" fontId="3" fillId="0" borderId="58" xfId="1" applyFont="1" applyBorder="1" applyAlignment="1">
      <alignment horizontal="center" vertical="center"/>
    </xf>
    <xf numFmtId="0" fontId="38" fillId="0" borderId="48" xfId="0" applyFont="1" applyBorder="1" applyAlignment="1">
      <alignment vertical="center"/>
    </xf>
    <xf numFmtId="0" fontId="3" fillId="0" borderId="59" xfId="0" applyFont="1" applyBorder="1" applyAlignment="1">
      <alignment horizontal="left" vertical="center" wrapText="1"/>
    </xf>
    <xf numFmtId="43" fontId="3" fillId="0" borderId="60" xfId="1" applyFont="1" applyBorder="1" applyAlignment="1">
      <alignment horizontal="center" vertical="center" wrapText="1"/>
    </xf>
    <xf numFmtId="43" fontId="3" fillId="0" borderId="61" xfId="1" applyFont="1" applyBorder="1" applyAlignment="1">
      <alignment horizontal="center" vertical="center" wrapText="1"/>
    </xf>
    <xf numFmtId="0" fontId="3" fillId="0" borderId="62" xfId="0" applyFont="1" applyBorder="1" applyAlignment="1">
      <alignment horizontal="center" vertical="center"/>
    </xf>
    <xf numFmtId="0" fontId="3" fillId="0" borderId="63" xfId="0" applyFont="1" applyBorder="1" applyAlignment="1">
      <alignment horizontal="center" vertical="center" wrapText="1"/>
    </xf>
    <xf numFmtId="43" fontId="3" fillId="0" borderId="64" xfId="1" applyFont="1" applyBorder="1" applyAlignment="1">
      <alignment horizontal="center" vertical="center"/>
    </xf>
    <xf numFmtId="43" fontId="32" fillId="0" borderId="60" xfId="1" applyFont="1" applyBorder="1" applyAlignment="1">
      <alignment horizontal="center" vertical="center" wrapText="1"/>
    </xf>
    <xf numFmtId="166" fontId="3" fillId="0" borderId="61" xfId="1" applyNumberFormat="1" applyFont="1" applyBorder="1" applyAlignment="1">
      <alignment horizontal="left" vertical="center" wrapText="1"/>
    </xf>
    <xf numFmtId="0" fontId="3" fillId="0" borderId="65" xfId="0" applyFont="1" applyBorder="1" applyAlignment="1">
      <alignment horizontal="center" vertical="center"/>
    </xf>
    <xf numFmtId="43" fontId="32" fillId="0" borderId="61" xfId="1" applyFont="1" applyBorder="1" applyAlignment="1">
      <alignment horizontal="center" vertical="center" wrapText="1"/>
    </xf>
    <xf numFmtId="0" fontId="32" fillId="0" borderId="65" xfId="0" applyFont="1" applyBorder="1" applyAlignment="1">
      <alignment horizontal="center" vertical="center"/>
    </xf>
    <xf numFmtId="43" fontId="32" fillId="0" borderId="64" xfId="1" applyFont="1" applyBorder="1" applyAlignment="1">
      <alignment horizontal="center" vertical="center"/>
    </xf>
    <xf numFmtId="166" fontId="3" fillId="0" borderId="61" xfId="1" applyNumberFormat="1" applyFont="1" applyBorder="1" applyAlignment="1">
      <alignment horizontal="center" vertical="center"/>
    </xf>
    <xf numFmtId="0" fontId="3" fillId="0" borderId="66" xfId="0" applyFont="1" applyBorder="1" applyAlignment="1">
      <alignment horizontal="left" vertical="center" wrapText="1"/>
    </xf>
    <xf numFmtId="43" fontId="3" fillId="0" borderId="67" xfId="1" applyFont="1" applyBorder="1" applyAlignment="1">
      <alignment horizontal="center" vertical="center" wrapText="1"/>
    </xf>
    <xf numFmtId="166" fontId="3" fillId="0" borderId="67" xfId="1" applyNumberFormat="1" applyFont="1" applyBorder="1" applyAlignment="1">
      <alignment horizontal="center" vertical="center"/>
    </xf>
    <xf numFmtId="0" fontId="3" fillId="0" borderId="68" xfId="0" applyFont="1" applyBorder="1" applyAlignment="1">
      <alignment horizontal="center" vertical="center"/>
    </xf>
    <xf numFmtId="0" fontId="3" fillId="0" borderId="69" xfId="0" applyFont="1" applyBorder="1" applyAlignment="1">
      <alignment horizontal="center" vertical="center"/>
    </xf>
    <xf numFmtId="43" fontId="3" fillId="0" borderId="70" xfId="1" applyFont="1" applyBorder="1" applyAlignment="1">
      <alignment horizontal="center" vertical="center"/>
    </xf>
    <xf numFmtId="43" fontId="38" fillId="13" borderId="73" xfId="1" applyFont="1" applyFill="1" applyBorder="1" applyAlignment="1">
      <alignment horizontal="center" vertical="center"/>
    </xf>
    <xf numFmtId="43" fontId="3" fillId="0" borderId="48" xfId="1" applyFont="1" applyBorder="1" applyAlignment="1">
      <alignment horizontal="center" vertical="center" wrapText="1"/>
    </xf>
    <xf numFmtId="0" fontId="3" fillId="0" borderId="74" xfId="0" applyFont="1" applyBorder="1" applyAlignment="1">
      <alignment horizontal="center" vertical="center"/>
    </xf>
    <xf numFmtId="0" fontId="3" fillId="0" borderId="75" xfId="0" applyFont="1" applyBorder="1" applyAlignment="1">
      <alignment horizontal="center" vertical="center"/>
    </xf>
    <xf numFmtId="0" fontId="3" fillId="0" borderId="75" xfId="0" applyFont="1" applyBorder="1" applyAlignment="1">
      <alignment vertical="center"/>
    </xf>
    <xf numFmtId="0" fontId="3" fillId="0" borderId="76" xfId="0" applyFont="1" applyBorder="1" applyAlignment="1">
      <alignment vertical="center"/>
    </xf>
    <xf numFmtId="43" fontId="3" fillId="0" borderId="0" xfId="1" applyFont="1" applyBorder="1" applyAlignment="1">
      <alignment vertical="center"/>
    </xf>
    <xf numFmtId="43" fontId="3" fillId="0" borderId="0" xfId="1" applyFont="1" applyBorder="1" applyAlignment="1">
      <alignment horizontal="center" vertical="center"/>
    </xf>
    <xf numFmtId="43" fontId="38" fillId="13" borderId="6" xfId="1" applyFont="1" applyFill="1" applyBorder="1" applyAlignment="1">
      <alignment horizontal="center" vertical="center"/>
    </xf>
    <xf numFmtId="43" fontId="38" fillId="12" borderId="6" xfId="1" applyFont="1" applyFill="1" applyBorder="1" applyAlignment="1">
      <alignment horizontal="center" vertical="center"/>
    </xf>
    <xf numFmtId="43" fontId="3" fillId="0" borderId="0" xfId="1" applyFont="1" applyAlignment="1">
      <alignment vertical="center"/>
    </xf>
    <xf numFmtId="43" fontId="3" fillId="0" borderId="0" xfId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3" fontId="3" fillId="0" borderId="0" xfId="0" applyNumberFormat="1" applyFont="1" applyAlignment="1">
      <alignment vertical="center"/>
    </xf>
    <xf numFmtId="0" fontId="3" fillId="0" borderId="77" xfId="0" applyFont="1" applyBorder="1" applyAlignment="1">
      <alignment vertical="center" wrapText="1"/>
    </xf>
    <xf numFmtId="0" fontId="3" fillId="0" borderId="77" xfId="0" applyFont="1" applyBorder="1" applyAlignment="1">
      <alignment horizontal="left" vertical="center" wrapText="1"/>
    </xf>
    <xf numFmtId="0" fontId="3" fillId="0" borderId="78" xfId="0" applyFont="1" applyBorder="1" applyAlignment="1">
      <alignment horizontal="left" vertical="center" wrapText="1"/>
    </xf>
    <xf numFmtId="43" fontId="3" fillId="0" borderId="79" xfId="1" applyFont="1" applyBorder="1" applyAlignment="1">
      <alignment horizontal="center" vertical="center" wrapText="1"/>
    </xf>
    <xf numFmtId="43" fontId="3" fillId="0" borderId="80" xfId="1" applyFont="1" applyBorder="1" applyAlignment="1">
      <alignment horizontal="center" vertical="center" wrapText="1"/>
    </xf>
    <xf numFmtId="166" fontId="3" fillId="0" borderId="80" xfId="1" applyNumberFormat="1" applyFont="1" applyBorder="1" applyAlignment="1">
      <alignment horizontal="center" vertical="center"/>
    </xf>
    <xf numFmtId="0" fontId="3" fillId="0" borderId="81" xfId="0" applyFont="1" applyBorder="1" applyAlignment="1">
      <alignment horizontal="center" vertical="center" wrapText="1"/>
    </xf>
    <xf numFmtId="43" fontId="3" fillId="0" borderId="75" xfId="0" applyNumberFormat="1" applyFont="1" applyBorder="1" applyAlignment="1">
      <alignment vertical="center"/>
    </xf>
    <xf numFmtId="0" fontId="3" fillId="0" borderId="56" xfId="0" applyFont="1" applyBorder="1" applyAlignment="1">
      <alignment horizontal="center" vertical="center"/>
    </xf>
    <xf numFmtId="2" fontId="3" fillId="0" borderId="60" xfId="1" applyNumberFormat="1" applyFont="1" applyBorder="1" applyAlignment="1">
      <alignment horizontal="center" vertical="center" wrapText="1"/>
    </xf>
    <xf numFmtId="0" fontId="3" fillId="0" borderId="83" xfId="0" applyFont="1" applyBorder="1" applyAlignment="1">
      <alignment horizontal="left" vertical="center" wrapText="1"/>
    </xf>
    <xf numFmtId="43" fontId="32" fillId="0" borderId="79" xfId="1" applyFont="1" applyBorder="1" applyAlignment="1">
      <alignment horizontal="center" vertical="center" wrapText="1"/>
    </xf>
    <xf numFmtId="166" fontId="32" fillId="0" borderId="80" xfId="1" applyNumberFormat="1" applyFont="1" applyBorder="1" applyAlignment="1">
      <alignment horizontal="center" vertical="center"/>
    </xf>
    <xf numFmtId="43" fontId="0" fillId="0" borderId="0" xfId="0" applyNumberFormat="1" applyAlignment="1">
      <alignment vertical="center"/>
    </xf>
    <xf numFmtId="0" fontId="32" fillId="0" borderId="77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2" fillId="0" borderId="77" xfId="0" applyFont="1" applyBorder="1" applyAlignment="1">
      <alignment vertical="center" wrapText="1"/>
    </xf>
    <xf numFmtId="0" fontId="32" fillId="0" borderId="78" xfId="0" applyFont="1" applyBorder="1" applyAlignment="1">
      <alignment horizontal="left" vertical="center" wrapText="1"/>
    </xf>
    <xf numFmtId="43" fontId="38" fillId="13" borderId="85" xfId="1" applyFont="1" applyFill="1" applyBorder="1" applyAlignment="1">
      <alignment horizontal="center" vertical="center"/>
    </xf>
    <xf numFmtId="43" fontId="0" fillId="0" borderId="0" xfId="0" applyNumberFormat="1"/>
    <xf numFmtId="166" fontId="32" fillId="0" borderId="80" xfId="1" applyNumberFormat="1" applyFont="1" applyFill="1" applyBorder="1" applyAlignment="1">
      <alignment horizontal="center" vertical="center"/>
    </xf>
    <xf numFmtId="43" fontId="39" fillId="0" borderId="0" xfId="1" applyFont="1" applyBorder="1" applyAlignment="1">
      <alignment vertical="center"/>
    </xf>
    <xf numFmtId="0" fontId="32" fillId="0" borderId="59" xfId="0" applyFont="1" applyBorder="1" applyAlignment="1">
      <alignment horizontal="left" vertical="center" wrapText="1"/>
    </xf>
    <xf numFmtId="43" fontId="32" fillId="0" borderId="60" xfId="1" applyFont="1" applyBorder="1" applyAlignment="1">
      <alignment horizontal="center" vertical="center"/>
    </xf>
    <xf numFmtId="0" fontId="32" fillId="0" borderId="60" xfId="0" applyFont="1" applyBorder="1" applyAlignment="1">
      <alignment horizontal="center" vertical="center"/>
    </xf>
    <xf numFmtId="0" fontId="32" fillId="0" borderId="60" xfId="0" applyFont="1" applyBorder="1" applyAlignment="1">
      <alignment horizontal="center" vertical="center" wrapText="1"/>
    </xf>
    <xf numFmtId="43" fontId="32" fillId="0" borderId="86" xfId="1" applyFont="1" applyBorder="1" applyAlignment="1">
      <alignment horizontal="center" vertical="center"/>
    </xf>
    <xf numFmtId="0" fontId="32" fillId="0" borderId="86" xfId="0" applyFont="1" applyBorder="1" applyAlignment="1">
      <alignment horizontal="center" vertical="center"/>
    </xf>
    <xf numFmtId="0" fontId="32" fillId="0" borderId="86" xfId="0" applyFont="1" applyBorder="1" applyAlignment="1">
      <alignment horizontal="center" vertical="center" wrapText="1"/>
    </xf>
    <xf numFmtId="43" fontId="32" fillId="0" borderId="64" xfId="1" applyFont="1" applyFill="1" applyBorder="1" applyAlignment="1">
      <alignment horizontal="center" vertical="center"/>
    </xf>
    <xf numFmtId="2" fontId="3" fillId="0" borderId="0" xfId="0" applyNumberFormat="1" applyFont="1" applyAlignment="1">
      <alignment vertical="center"/>
    </xf>
    <xf numFmtId="2" fontId="38" fillId="0" borderId="0" xfId="0" applyNumberFormat="1" applyFont="1" applyAlignment="1">
      <alignment vertical="center"/>
    </xf>
    <xf numFmtId="0" fontId="3" fillId="0" borderId="0" xfId="0" applyFont="1" applyAlignment="1">
      <alignment horizontal="right" vertical="center"/>
    </xf>
    <xf numFmtId="0" fontId="38" fillId="0" borderId="0" xfId="0" applyFont="1" applyAlignment="1">
      <alignment horizontal="right" vertical="center"/>
    </xf>
    <xf numFmtId="0" fontId="38" fillId="0" borderId="0" xfId="0" applyFont="1" applyAlignment="1">
      <alignment horizontal="center" vertical="center"/>
    </xf>
    <xf numFmtId="0" fontId="3" fillId="0" borderId="82" xfId="0" applyFont="1" applyBorder="1" applyAlignment="1">
      <alignment horizontal="left" vertical="center" wrapText="1"/>
    </xf>
    <xf numFmtId="166" fontId="3" fillId="0" borderId="55" xfId="1" applyNumberFormat="1" applyFont="1" applyBorder="1" applyAlignment="1">
      <alignment horizontal="center" vertical="center"/>
    </xf>
    <xf numFmtId="166" fontId="32" fillId="0" borderId="61" xfId="1" applyNumberFormat="1" applyFont="1" applyBorder="1" applyAlignment="1">
      <alignment horizontal="center" vertical="center"/>
    </xf>
    <xf numFmtId="43" fontId="3" fillId="0" borderId="87" xfId="1" quotePrefix="1" applyFont="1" applyBorder="1" applyAlignment="1">
      <alignment horizontal="center" vertical="center" wrapText="1"/>
    </xf>
    <xf numFmtId="44" fontId="10" fillId="0" borderId="1" xfId="10" applyFont="1" applyBorder="1" applyAlignment="1">
      <alignment vertical="center" wrapText="1"/>
    </xf>
    <xf numFmtId="0" fontId="9" fillId="10" borderId="88" xfId="0" applyFont="1" applyFill="1" applyBorder="1" applyAlignment="1">
      <alignment vertical="center" wrapText="1"/>
    </xf>
    <xf numFmtId="0" fontId="6" fillId="14" borderId="89" xfId="0" applyFont="1" applyFill="1" applyBorder="1" applyAlignment="1">
      <alignment horizontal="left" vertical="center" wrapText="1"/>
    </xf>
    <xf numFmtId="0" fontId="6" fillId="14" borderId="90" xfId="0" applyFont="1" applyFill="1" applyBorder="1" applyAlignment="1">
      <alignment horizontal="center" vertical="center" wrapText="1"/>
    </xf>
    <xf numFmtId="167" fontId="6" fillId="14" borderId="90" xfId="0" applyNumberFormat="1" applyFont="1" applyFill="1" applyBorder="1" applyAlignment="1">
      <alignment horizontal="left" vertical="center" wrapText="1"/>
    </xf>
    <xf numFmtId="0" fontId="10" fillId="14" borderId="91" xfId="0" applyFont="1" applyFill="1" applyBorder="1"/>
    <xf numFmtId="0" fontId="9" fillId="10" borderId="92" xfId="0" applyFont="1" applyFill="1" applyBorder="1" applyAlignment="1">
      <alignment vertical="center" wrapText="1"/>
    </xf>
    <xf numFmtId="0" fontId="6" fillId="14" borderId="35" xfId="0" applyFont="1" applyFill="1" applyBorder="1" applyAlignment="1">
      <alignment horizontal="left" vertical="center" wrapText="1"/>
    </xf>
    <xf numFmtId="0" fontId="6" fillId="14" borderId="39" xfId="0" applyFont="1" applyFill="1" applyBorder="1" applyAlignment="1">
      <alignment horizontal="center" vertical="center" wrapText="1"/>
    </xf>
    <xf numFmtId="167" fontId="6" fillId="14" borderId="39" xfId="0" applyNumberFormat="1" applyFont="1" applyFill="1" applyBorder="1" applyAlignment="1">
      <alignment horizontal="left" vertical="center" wrapText="1"/>
    </xf>
    <xf numFmtId="0" fontId="10" fillId="14" borderId="93" xfId="0" applyFont="1" applyFill="1" applyBorder="1"/>
    <xf numFmtId="0" fontId="12" fillId="14" borderId="96" xfId="0" applyFont="1" applyFill="1" applyBorder="1" applyAlignment="1">
      <alignment vertical="center" wrapText="1"/>
    </xf>
    <xf numFmtId="0" fontId="12" fillId="14" borderId="0" xfId="0" applyFont="1" applyFill="1" applyAlignment="1">
      <alignment horizontal="center" vertical="center" wrapText="1"/>
    </xf>
    <xf numFmtId="167" fontId="12" fillId="14" borderId="0" xfId="0" applyNumberFormat="1" applyFont="1" applyFill="1" applyAlignment="1">
      <alignment horizontal="center" vertical="center" wrapText="1"/>
    </xf>
    <xf numFmtId="0" fontId="10" fillId="14" borderId="97" xfId="0" applyFont="1" applyFill="1" applyBorder="1"/>
    <xf numFmtId="0" fontId="6" fillId="14" borderId="96" xfId="0" applyFont="1" applyFill="1" applyBorder="1" applyAlignment="1">
      <alignment horizontal="left" vertical="center" wrapText="1"/>
    </xf>
    <xf numFmtId="0" fontId="6" fillId="14" borderId="0" xfId="0" applyFont="1" applyFill="1" applyAlignment="1">
      <alignment horizontal="left" vertical="center" wrapText="1"/>
    </xf>
    <xf numFmtId="0" fontId="6" fillId="14" borderId="0" xfId="0" applyFont="1" applyFill="1" applyAlignment="1">
      <alignment horizontal="center" vertical="center" wrapText="1"/>
    </xf>
    <xf numFmtId="167" fontId="6" fillId="14" borderId="0" xfId="0" applyNumberFormat="1" applyFont="1" applyFill="1" applyAlignment="1">
      <alignment horizontal="left" vertical="center" wrapText="1"/>
    </xf>
    <xf numFmtId="0" fontId="14" fillId="14" borderId="97" xfId="0" applyFont="1" applyFill="1" applyBorder="1"/>
    <xf numFmtId="0" fontId="7" fillId="14" borderId="96" xfId="0" applyFont="1" applyFill="1" applyBorder="1"/>
    <xf numFmtId="0" fontId="5" fillId="17" borderId="88" xfId="0" applyFont="1" applyFill="1" applyBorder="1" applyAlignment="1">
      <alignment horizontal="center" vertical="center"/>
    </xf>
    <xf numFmtId="0" fontId="5" fillId="17" borderId="98" xfId="0" applyFont="1" applyFill="1" applyBorder="1" applyAlignment="1">
      <alignment horizontal="center" vertical="center" wrapText="1"/>
    </xf>
    <xf numFmtId="167" fontId="5" fillId="17" borderId="99" xfId="0" applyNumberFormat="1" applyFont="1" applyFill="1" applyBorder="1" applyAlignment="1">
      <alignment horizontal="center" vertical="center" wrapText="1"/>
    </xf>
    <xf numFmtId="0" fontId="7" fillId="14" borderId="100" xfId="0" applyFont="1" applyFill="1" applyBorder="1" applyAlignment="1">
      <alignment vertical="center" wrapText="1"/>
    </xf>
    <xf numFmtId="167" fontId="7" fillId="14" borderId="101" xfId="0" applyNumberFormat="1" applyFont="1" applyFill="1" applyBorder="1" applyAlignment="1">
      <alignment horizontal="center" vertical="center" wrapText="1"/>
    </xf>
    <xf numFmtId="167" fontId="7" fillId="14" borderId="102" xfId="0" applyNumberFormat="1" applyFont="1" applyFill="1" applyBorder="1" applyAlignment="1">
      <alignment vertical="center" wrapText="1"/>
    </xf>
    <xf numFmtId="0" fontId="7" fillId="14" borderId="103" xfId="0" applyFont="1" applyFill="1" applyBorder="1" applyAlignment="1">
      <alignment vertical="center" wrapText="1"/>
    </xf>
    <xf numFmtId="167" fontId="7" fillId="14" borderId="104" xfId="0" applyNumberFormat="1" applyFont="1" applyFill="1" applyBorder="1" applyAlignment="1">
      <alignment horizontal="center" vertical="center" wrapText="1"/>
    </xf>
    <xf numFmtId="167" fontId="7" fillId="14" borderId="105" xfId="0" applyNumberFormat="1" applyFont="1" applyFill="1" applyBorder="1" applyAlignment="1">
      <alignment vertical="center" wrapText="1"/>
    </xf>
    <xf numFmtId="167" fontId="15" fillId="14" borderId="105" xfId="0" applyNumberFormat="1" applyFont="1" applyFill="1" applyBorder="1" applyAlignment="1">
      <alignment vertical="center" wrapText="1"/>
    </xf>
    <xf numFmtId="0" fontId="7" fillId="14" borderId="106" xfId="0" applyFont="1" applyFill="1" applyBorder="1" applyAlignment="1">
      <alignment vertical="center" wrapText="1"/>
    </xf>
    <xf numFmtId="0" fontId="14" fillId="14" borderId="107" xfId="0" applyFont="1" applyFill="1" applyBorder="1"/>
    <xf numFmtId="0" fontId="14" fillId="14" borderId="108" xfId="0" applyFont="1" applyFill="1" applyBorder="1" applyAlignment="1">
      <alignment horizontal="center"/>
    </xf>
    <xf numFmtId="167" fontId="14" fillId="14" borderId="108" xfId="0" applyNumberFormat="1" applyFont="1" applyFill="1" applyBorder="1" applyAlignment="1">
      <alignment horizontal="center"/>
    </xf>
    <xf numFmtId="0" fontId="14" fillId="14" borderId="109" xfId="0" applyFont="1" applyFill="1" applyBorder="1"/>
    <xf numFmtId="167" fontId="10" fillId="0" borderId="0" xfId="0" applyNumberFormat="1" applyFont="1" applyAlignment="1">
      <alignment horizontal="center"/>
    </xf>
    <xf numFmtId="0" fontId="7" fillId="14" borderId="90" xfId="0" applyFont="1" applyFill="1" applyBorder="1" applyAlignment="1">
      <alignment horizontal="center" vertical="center" wrapText="1"/>
    </xf>
    <xf numFmtId="167" fontId="31" fillId="0" borderId="0" xfId="0" applyNumberFormat="1" applyFont="1"/>
    <xf numFmtId="0" fontId="7" fillId="14" borderId="39" xfId="0" applyFont="1" applyFill="1" applyBorder="1" applyAlignment="1">
      <alignment horizontal="center" vertical="center" wrapText="1"/>
    </xf>
    <xf numFmtId="0" fontId="7" fillId="14" borderId="0" xfId="0" applyFont="1" applyFill="1" applyAlignment="1">
      <alignment horizontal="center" vertical="center" wrapText="1"/>
    </xf>
    <xf numFmtId="0" fontId="1" fillId="0" borderId="0" xfId="0" applyFont="1"/>
    <xf numFmtId="0" fontId="13" fillId="14" borderId="0" xfId="0" applyFont="1" applyFill="1" applyAlignment="1">
      <alignment horizontal="center" vertical="center" wrapText="1"/>
    </xf>
    <xf numFmtId="0" fontId="7" fillId="14" borderId="110" xfId="0" applyFont="1" applyFill="1" applyBorder="1"/>
    <xf numFmtId="0" fontId="14" fillId="14" borderId="111" xfId="0" applyFont="1" applyFill="1" applyBorder="1" applyAlignment="1">
      <alignment horizontal="center"/>
    </xf>
    <xf numFmtId="167" fontId="14" fillId="14" borderId="111" xfId="0" applyNumberFormat="1" applyFont="1" applyFill="1" applyBorder="1" applyAlignment="1">
      <alignment horizontal="center"/>
    </xf>
    <xf numFmtId="0" fontId="7" fillId="14" borderId="111" xfId="0" applyFont="1" applyFill="1" applyBorder="1" applyAlignment="1">
      <alignment horizontal="center"/>
    </xf>
    <xf numFmtId="0" fontId="14" fillId="14" borderId="112" xfId="0" applyFont="1" applyFill="1" applyBorder="1"/>
    <xf numFmtId="0" fontId="31" fillId="18" borderId="0" xfId="0" applyFont="1" applyFill="1"/>
    <xf numFmtId="167" fontId="31" fillId="18" borderId="0" xfId="0" applyNumberFormat="1" applyFont="1" applyFill="1"/>
    <xf numFmtId="0" fontId="14" fillId="14" borderId="0" xfId="0" applyFont="1" applyFill="1" applyAlignment="1">
      <alignment horizontal="center"/>
    </xf>
    <xf numFmtId="167" fontId="14" fillId="14" borderId="0" xfId="0" applyNumberFormat="1" applyFont="1" applyFill="1" applyAlignment="1">
      <alignment horizontal="center"/>
    </xf>
    <xf numFmtId="0" fontId="7" fillId="14" borderId="0" xfId="0" applyFont="1" applyFill="1" applyAlignment="1">
      <alignment horizontal="center"/>
    </xf>
    <xf numFmtId="167" fontId="7" fillId="14" borderId="102" xfId="0" applyNumberFormat="1" applyFont="1" applyFill="1" applyBorder="1" applyAlignment="1">
      <alignment horizontal="center" vertical="center" wrapText="1"/>
    </xf>
    <xf numFmtId="0" fontId="7" fillId="14" borderId="113" xfId="0" applyFont="1" applyFill="1" applyBorder="1" applyAlignment="1">
      <alignment vertical="center" wrapText="1"/>
    </xf>
    <xf numFmtId="167" fontId="7" fillId="14" borderId="114" xfId="0" applyNumberFormat="1" applyFont="1" applyFill="1" applyBorder="1" applyAlignment="1">
      <alignment horizontal="center" vertical="center" wrapText="1"/>
    </xf>
    <xf numFmtId="167" fontId="7" fillId="19" borderId="115" xfId="0" applyNumberFormat="1" applyFont="1" applyFill="1" applyBorder="1" applyAlignment="1">
      <alignment horizontal="center" vertical="center" wrapText="1"/>
    </xf>
    <xf numFmtId="0" fontId="41" fillId="14" borderId="100" xfId="0" applyFont="1" applyFill="1" applyBorder="1" applyAlignment="1">
      <alignment vertical="center" wrapText="1"/>
    </xf>
    <xf numFmtId="167" fontId="41" fillId="14" borderId="101" xfId="0" applyNumberFormat="1" applyFont="1" applyFill="1" applyBorder="1" applyAlignment="1">
      <alignment horizontal="center" vertical="center" wrapText="1"/>
    </xf>
    <xf numFmtId="167" fontId="41" fillId="14" borderId="102" xfId="0" applyNumberFormat="1" applyFont="1" applyFill="1" applyBorder="1" applyAlignment="1">
      <alignment horizontal="center" vertical="center" wrapText="1"/>
    </xf>
    <xf numFmtId="0" fontId="41" fillId="14" borderId="113" xfId="0" applyFont="1" applyFill="1" applyBorder="1" applyAlignment="1">
      <alignment vertical="center" wrapText="1"/>
    </xf>
    <xf numFmtId="167" fontId="41" fillId="14" borderId="114" xfId="0" applyNumberFormat="1" applyFont="1" applyFill="1" applyBorder="1" applyAlignment="1">
      <alignment horizontal="center" vertical="center" wrapText="1"/>
    </xf>
    <xf numFmtId="167" fontId="41" fillId="14" borderId="115" xfId="0" applyNumberFormat="1" applyFont="1" applyFill="1" applyBorder="1" applyAlignment="1">
      <alignment horizontal="center" vertical="center" wrapText="1"/>
    </xf>
    <xf numFmtId="167" fontId="42" fillId="0" borderId="0" xfId="0" applyNumberFormat="1" applyFont="1"/>
    <xf numFmtId="0" fontId="7" fillId="14" borderId="116" xfId="0" applyFont="1" applyFill="1" applyBorder="1" applyAlignment="1">
      <alignment vertical="center" wrapText="1"/>
    </xf>
    <xf numFmtId="167" fontId="7" fillId="14" borderId="117" xfId="0" applyNumberFormat="1" applyFont="1" applyFill="1" applyBorder="1" applyAlignment="1">
      <alignment horizontal="center" vertical="center" wrapText="1"/>
    </xf>
    <xf numFmtId="167" fontId="7" fillId="14" borderId="118" xfId="0" applyNumberFormat="1" applyFont="1" applyFill="1" applyBorder="1" applyAlignment="1">
      <alignment horizontal="center" vertical="center" wrapText="1"/>
    </xf>
    <xf numFmtId="0" fontId="7" fillId="14" borderId="0" xfId="0" applyFont="1" applyFill="1"/>
    <xf numFmtId="167" fontId="7" fillId="14" borderId="105" xfId="0" applyNumberFormat="1" applyFont="1" applyFill="1" applyBorder="1" applyAlignment="1">
      <alignment horizontal="center" vertical="center" wrapText="1"/>
    </xf>
    <xf numFmtId="0" fontId="14" fillId="14" borderId="96" xfId="0" applyFont="1" applyFill="1" applyBorder="1"/>
    <xf numFmtId="168" fontId="7" fillId="14" borderId="118" xfId="0" applyNumberFormat="1" applyFont="1" applyFill="1" applyBorder="1" applyAlignment="1">
      <alignment horizontal="center" vertical="center" wrapText="1"/>
    </xf>
    <xf numFmtId="0" fontId="31" fillId="14" borderId="96" xfId="0" applyFont="1" applyFill="1" applyBorder="1"/>
    <xf numFmtId="0" fontId="31" fillId="14" borderId="97" xfId="0" applyFont="1" applyFill="1" applyBorder="1"/>
    <xf numFmtId="0" fontId="7" fillId="14" borderId="119" xfId="0" applyFont="1" applyFill="1" applyBorder="1" applyAlignment="1">
      <alignment vertical="center" wrapText="1"/>
    </xf>
    <xf numFmtId="167" fontId="7" fillId="14" borderId="120" xfId="0" applyNumberFormat="1" applyFont="1" applyFill="1" applyBorder="1" applyAlignment="1">
      <alignment horizontal="center" vertical="center" wrapText="1"/>
    </xf>
    <xf numFmtId="167" fontId="7" fillId="14" borderId="121" xfId="0" applyNumberFormat="1" applyFont="1" applyFill="1" applyBorder="1" applyAlignment="1">
      <alignment horizontal="center" vertical="center" wrapText="1"/>
    </xf>
    <xf numFmtId="0" fontId="31" fillId="14" borderId="0" xfId="0" applyFont="1" applyFill="1"/>
    <xf numFmtId="0" fontId="5" fillId="17" borderId="99" xfId="0" applyFont="1" applyFill="1" applyBorder="1" applyAlignment="1">
      <alignment horizontal="center" vertical="center" wrapText="1"/>
    </xf>
    <xf numFmtId="167" fontId="5" fillId="20" borderId="125" xfId="0" applyNumberFormat="1" applyFont="1" applyFill="1" applyBorder="1" applyAlignment="1">
      <alignment horizontal="center" vertical="center" wrapText="1"/>
    </xf>
    <xf numFmtId="0" fontId="7" fillId="14" borderId="126" xfId="0" applyFont="1" applyFill="1" applyBorder="1" applyAlignment="1">
      <alignment vertical="center" wrapText="1"/>
    </xf>
    <xf numFmtId="167" fontId="7" fillId="14" borderId="127" xfId="0" applyNumberFormat="1" applyFont="1" applyFill="1" applyBorder="1" applyAlignment="1">
      <alignment horizontal="center" vertical="center" wrapText="1"/>
    </xf>
    <xf numFmtId="167" fontId="7" fillId="14" borderId="128" xfId="0" applyNumberFormat="1" applyFont="1" applyFill="1" applyBorder="1" applyAlignment="1">
      <alignment horizontal="center" vertical="center" wrapText="1"/>
    </xf>
    <xf numFmtId="0" fontId="31" fillId="0" borderId="96" xfId="0" applyFont="1" applyBorder="1"/>
    <xf numFmtId="0" fontId="31" fillId="0" borderId="97" xfId="0" applyFont="1" applyBorder="1"/>
    <xf numFmtId="0" fontId="31" fillId="14" borderId="107" xfId="0" applyFont="1" applyFill="1" applyBorder="1"/>
    <xf numFmtId="0" fontId="31" fillId="14" borderId="108" xfId="0" applyFont="1" applyFill="1" applyBorder="1"/>
    <xf numFmtId="0" fontId="31" fillId="14" borderId="109" xfId="0" applyFont="1" applyFill="1" applyBorder="1"/>
    <xf numFmtId="0" fontId="42" fillId="0" borderId="0" xfId="0" applyFont="1"/>
    <xf numFmtId="167" fontId="43" fillId="0" borderId="0" xfId="0" applyNumberFormat="1" applyFont="1" applyAlignment="1">
      <alignment vertical="center"/>
    </xf>
    <xf numFmtId="167" fontId="44" fillId="0" borderId="0" xfId="0" applyNumberFormat="1" applyFont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center" vertical="center"/>
    </xf>
    <xf numFmtId="0" fontId="31" fillId="0" borderId="0" xfId="0" applyFont="1"/>
    <xf numFmtId="167" fontId="45" fillId="20" borderId="129" xfId="0" applyNumberFormat="1" applyFont="1" applyFill="1" applyBorder="1" applyAlignment="1">
      <alignment vertical="center"/>
    </xf>
    <xf numFmtId="167" fontId="45" fillId="20" borderId="35" xfId="0" applyNumberFormat="1" applyFont="1" applyFill="1" applyBorder="1" applyAlignment="1">
      <alignment vertical="center"/>
    </xf>
    <xf numFmtId="0" fontId="45" fillId="20" borderId="129" xfId="0" applyFont="1" applyFill="1" applyBorder="1" applyAlignment="1">
      <alignment vertical="center"/>
    </xf>
    <xf numFmtId="167" fontId="46" fillId="20" borderId="129" xfId="0" applyNumberFormat="1" applyFont="1" applyFill="1" applyBorder="1" applyAlignment="1">
      <alignment vertical="center"/>
    </xf>
    <xf numFmtId="167" fontId="44" fillId="21" borderId="129" xfId="0" applyNumberFormat="1" applyFont="1" applyFill="1" applyBorder="1" applyAlignment="1">
      <alignment vertical="center"/>
    </xf>
    <xf numFmtId="167" fontId="44" fillId="21" borderId="131" xfId="0" applyNumberFormat="1" applyFont="1" applyFill="1" applyBorder="1" applyAlignment="1">
      <alignment vertical="center"/>
    </xf>
    <xf numFmtId="167" fontId="44" fillId="21" borderId="117" xfId="0" applyNumberFormat="1" applyFont="1" applyFill="1" applyBorder="1" applyAlignment="1">
      <alignment vertical="center"/>
    </xf>
    <xf numFmtId="167" fontId="45" fillId="20" borderId="129" xfId="0" applyNumberFormat="1" applyFont="1" applyFill="1" applyBorder="1" applyAlignment="1">
      <alignment horizontal="center" vertical="center"/>
    </xf>
    <xf numFmtId="167" fontId="44" fillId="21" borderId="129" xfId="0" applyNumberFormat="1" applyFont="1" applyFill="1" applyBorder="1" applyAlignment="1">
      <alignment horizontal="center" vertical="center"/>
    </xf>
    <xf numFmtId="167" fontId="44" fillId="22" borderId="35" xfId="0" applyNumberFormat="1" applyFont="1" applyFill="1" applyBorder="1" applyAlignment="1">
      <alignment vertical="center"/>
    </xf>
    <xf numFmtId="167" fontId="44" fillId="22" borderId="39" xfId="0" applyNumberFormat="1" applyFont="1" applyFill="1" applyBorder="1" applyAlignment="1">
      <alignment vertical="center"/>
    </xf>
    <xf numFmtId="167" fontId="47" fillId="22" borderId="39" xfId="0" applyNumberFormat="1" applyFont="1" applyFill="1" applyBorder="1" applyAlignment="1">
      <alignment vertical="center"/>
    </xf>
    <xf numFmtId="167" fontId="47" fillId="14" borderId="132" xfId="0" applyNumberFormat="1" applyFont="1" applyFill="1" applyBorder="1" applyAlignment="1">
      <alignment horizontal="left" vertical="center"/>
    </xf>
    <xf numFmtId="0" fontId="47" fillId="0" borderId="104" xfId="0" applyFont="1" applyBorder="1" applyAlignment="1">
      <alignment horizontal="center" vertical="center"/>
    </xf>
    <xf numFmtId="167" fontId="47" fillId="0" borderId="104" xfId="0" applyNumberFormat="1" applyFont="1" applyBorder="1" applyAlignment="1">
      <alignment horizontal="center" vertical="center"/>
    </xf>
    <xf numFmtId="167" fontId="47" fillId="14" borderId="133" xfId="0" applyNumberFormat="1" applyFont="1" applyFill="1" applyBorder="1" applyAlignment="1">
      <alignment horizontal="left" vertical="center"/>
    </xf>
    <xf numFmtId="167" fontId="47" fillId="14" borderId="134" xfId="0" quotePrefix="1" applyNumberFormat="1" applyFont="1" applyFill="1" applyBorder="1" applyAlignment="1">
      <alignment horizontal="left" vertical="center"/>
    </xf>
    <xf numFmtId="167" fontId="47" fillId="14" borderId="135" xfId="0" applyNumberFormat="1" applyFont="1" applyFill="1" applyBorder="1" applyAlignment="1">
      <alignment vertical="center"/>
    </xf>
    <xf numFmtId="167" fontId="47" fillId="14" borderId="136" xfId="0" applyNumberFormat="1" applyFont="1" applyFill="1" applyBorder="1" applyAlignment="1">
      <alignment vertical="center"/>
    </xf>
    <xf numFmtId="167" fontId="47" fillId="14" borderId="137" xfId="0" applyNumberFormat="1" applyFont="1" applyFill="1" applyBorder="1" applyAlignment="1">
      <alignment vertical="center"/>
    </xf>
    <xf numFmtId="167" fontId="47" fillId="14" borderId="132" xfId="0" applyNumberFormat="1" applyFont="1" applyFill="1" applyBorder="1" applyAlignment="1">
      <alignment vertical="center"/>
    </xf>
    <xf numFmtId="167" fontId="47" fillId="14" borderId="133" xfId="0" applyNumberFormat="1" applyFont="1" applyFill="1" applyBorder="1" applyAlignment="1">
      <alignment vertical="center"/>
    </xf>
    <xf numFmtId="167" fontId="47" fillId="14" borderId="134" xfId="0" applyNumberFormat="1" applyFont="1" applyFill="1" applyBorder="1" applyAlignment="1">
      <alignment vertical="center"/>
    </xf>
    <xf numFmtId="0" fontId="31" fillId="0" borderId="133" xfId="0" applyFont="1" applyBorder="1"/>
    <xf numFmtId="0" fontId="31" fillId="0" borderId="134" xfId="0" applyFont="1" applyBorder="1"/>
    <xf numFmtId="167" fontId="47" fillId="0" borderId="132" xfId="0" applyNumberFormat="1" applyFont="1" applyBorder="1" applyAlignment="1">
      <alignment horizontal="left" vertical="center"/>
    </xf>
    <xf numFmtId="167" fontId="47" fillId="0" borderId="133" xfId="0" applyNumberFormat="1" applyFont="1" applyBorder="1" applyAlignment="1">
      <alignment horizontal="left" vertical="center"/>
    </xf>
    <xf numFmtId="167" fontId="47" fillId="0" borderId="134" xfId="0" applyNumberFormat="1" applyFont="1" applyBorder="1" applyAlignment="1">
      <alignment horizontal="left" vertical="center"/>
    </xf>
    <xf numFmtId="167" fontId="47" fillId="14" borderId="104" xfId="0" applyNumberFormat="1" applyFont="1" applyFill="1" applyBorder="1" applyAlignment="1">
      <alignment horizontal="center" vertical="center"/>
    </xf>
    <xf numFmtId="167" fontId="48" fillId="0" borderId="104" xfId="0" applyNumberFormat="1" applyFont="1" applyBorder="1" applyAlignment="1">
      <alignment horizontal="center" vertical="center"/>
    </xf>
    <xf numFmtId="0" fontId="47" fillId="14" borderId="104" xfId="0" applyFont="1" applyFill="1" applyBorder="1" applyAlignment="1">
      <alignment horizontal="center" vertical="center"/>
    </xf>
    <xf numFmtId="0" fontId="5" fillId="23" borderId="138" xfId="0" applyFont="1" applyFill="1" applyBorder="1" applyAlignment="1">
      <alignment vertical="center" wrapText="1"/>
    </xf>
    <xf numFmtId="167" fontId="5" fillId="23" borderId="139" xfId="0" applyNumberFormat="1" applyFont="1" applyFill="1" applyBorder="1" applyAlignment="1">
      <alignment horizontal="center" vertical="center" wrapText="1"/>
    </xf>
    <xf numFmtId="167" fontId="5" fillId="23" borderId="140" xfId="0" applyNumberFormat="1" applyFont="1" applyFill="1" applyBorder="1" applyAlignment="1">
      <alignment vertical="center" wrapText="1"/>
    </xf>
    <xf numFmtId="167" fontId="7" fillId="14" borderId="115" xfId="0" applyNumberFormat="1" applyFont="1" applyFill="1" applyBorder="1" applyAlignment="1">
      <alignment vertical="center" wrapText="1"/>
    </xf>
    <xf numFmtId="0" fontId="5" fillId="23" borderId="92" xfId="0" applyFont="1" applyFill="1" applyBorder="1" applyAlignment="1">
      <alignment vertical="center" wrapText="1"/>
    </xf>
    <xf numFmtId="167" fontId="5" fillId="23" borderId="129" xfId="0" applyNumberFormat="1" applyFont="1" applyFill="1" applyBorder="1" applyAlignment="1">
      <alignment horizontal="center" vertical="center" wrapText="1"/>
    </xf>
    <xf numFmtId="167" fontId="5" fillId="23" borderId="141" xfId="0" applyNumberFormat="1" applyFont="1" applyFill="1" applyBorder="1" applyAlignment="1">
      <alignment vertical="center" wrapText="1"/>
    </xf>
    <xf numFmtId="167" fontId="7" fillId="14" borderId="0" xfId="0" applyNumberFormat="1" applyFont="1" applyFill="1" applyAlignment="1">
      <alignment horizontal="center"/>
    </xf>
    <xf numFmtId="0" fontId="7" fillId="14" borderId="97" xfId="0" applyFont="1" applyFill="1" applyBorder="1"/>
    <xf numFmtId="0" fontId="49" fillId="0" borderId="0" xfId="0" applyFont="1"/>
    <xf numFmtId="0" fontId="5" fillId="17" borderId="142" xfId="0" applyFont="1" applyFill="1" applyBorder="1" applyAlignment="1">
      <alignment horizontal="center" vertical="center"/>
    </xf>
    <xf numFmtId="0" fontId="5" fillId="17" borderId="143" xfId="0" applyFont="1" applyFill="1" applyBorder="1" applyAlignment="1">
      <alignment horizontal="center" vertical="center" wrapText="1"/>
    </xf>
    <xf numFmtId="167" fontId="5" fillId="17" borderId="144" xfId="0" applyNumberFormat="1" applyFont="1" applyFill="1" applyBorder="1" applyAlignment="1">
      <alignment horizontal="center" vertical="center" wrapText="1"/>
    </xf>
    <xf numFmtId="0" fontId="5" fillId="23" borderId="113" xfId="0" applyFont="1" applyFill="1" applyBorder="1" applyAlignment="1">
      <alignment vertical="center" wrapText="1"/>
    </xf>
    <xf numFmtId="167" fontId="5" fillId="23" borderId="114" xfId="0" applyNumberFormat="1" applyFont="1" applyFill="1" applyBorder="1" applyAlignment="1">
      <alignment horizontal="center" vertical="center" wrapText="1"/>
    </xf>
    <xf numFmtId="167" fontId="5" fillId="23" borderId="115" xfId="0" applyNumberFormat="1" applyFont="1" applyFill="1" applyBorder="1" applyAlignment="1">
      <alignment vertical="center" wrapText="1"/>
    </xf>
    <xf numFmtId="0" fontId="7" fillId="14" borderId="108" xfId="0" applyFont="1" applyFill="1" applyBorder="1" applyAlignment="1">
      <alignment horizontal="center"/>
    </xf>
    <xf numFmtId="0" fontId="10" fillId="14" borderId="0" xfId="0" applyFont="1" applyFill="1"/>
    <xf numFmtId="0" fontId="10" fillId="14" borderId="0" xfId="0" applyFont="1" applyFill="1" applyAlignment="1">
      <alignment horizontal="center"/>
    </xf>
    <xf numFmtId="167" fontId="10" fillId="14" borderId="0" xfId="0" applyNumberFormat="1" applyFont="1" applyFill="1" applyAlignment="1">
      <alignment horizontal="center"/>
    </xf>
    <xf numFmtId="0" fontId="15" fillId="14" borderId="0" xfId="0" applyFont="1" applyFill="1" applyAlignment="1">
      <alignment horizontal="center"/>
    </xf>
    <xf numFmtId="0" fontId="50" fillId="0" borderId="0" xfId="0" applyFont="1"/>
    <xf numFmtId="49" fontId="16" fillId="0" borderId="0" xfId="0" applyNumberFormat="1" applyFont="1" applyAlignment="1">
      <alignment vertical="center"/>
    </xf>
    <xf numFmtId="0" fontId="16" fillId="10" borderId="0" xfId="0" applyFont="1" applyFill="1" applyAlignment="1">
      <alignment vertical="center"/>
    </xf>
    <xf numFmtId="167" fontId="16" fillId="10" borderId="0" xfId="0" applyNumberFormat="1" applyFont="1" applyFill="1" applyAlignment="1">
      <alignment vertical="center"/>
    </xf>
    <xf numFmtId="167" fontId="16" fillId="10" borderId="0" xfId="0" applyNumberFormat="1" applyFont="1" applyFill="1" applyAlignment="1">
      <alignment horizontal="center" vertical="center"/>
    </xf>
    <xf numFmtId="49" fontId="8" fillId="16" borderId="88" xfId="0" applyNumberFormat="1" applyFont="1" applyFill="1" applyBorder="1" applyAlignment="1">
      <alignment vertical="center"/>
    </xf>
    <xf numFmtId="49" fontId="8" fillId="16" borderId="92" xfId="0" applyNumberFormat="1" applyFont="1" applyFill="1" applyBorder="1" applyAlignment="1">
      <alignment vertical="center"/>
    </xf>
    <xf numFmtId="49" fontId="8" fillId="16" borderId="138" xfId="0" applyNumberFormat="1" applyFont="1" applyFill="1" applyBorder="1" applyAlignment="1">
      <alignment horizontal="left" vertical="center"/>
    </xf>
    <xf numFmtId="167" fontId="16" fillId="0" borderId="0" xfId="0" applyNumberFormat="1" applyFont="1" applyAlignment="1">
      <alignment vertical="center"/>
    </xf>
    <xf numFmtId="0" fontId="8" fillId="16" borderId="157" xfId="0" applyFont="1" applyFill="1" applyBorder="1" applyAlignment="1">
      <alignment horizontal="center" vertical="center" wrapText="1"/>
    </xf>
    <xf numFmtId="167" fontId="8" fillId="16" borderId="157" xfId="0" applyNumberFormat="1" applyFont="1" applyFill="1" applyBorder="1" applyAlignment="1">
      <alignment horizontal="center" vertical="center" wrapText="1"/>
    </xf>
    <xf numFmtId="0" fontId="53" fillId="19" borderId="158" xfId="0" applyFont="1" applyFill="1" applyBorder="1" applyAlignment="1">
      <alignment horizontal="left" vertical="center" wrapText="1"/>
    </xf>
    <xf numFmtId="0" fontId="53" fillId="19" borderId="159" xfId="0" applyFont="1" applyFill="1" applyBorder="1" applyAlignment="1">
      <alignment horizontal="left" vertical="center" wrapText="1"/>
    </xf>
    <xf numFmtId="167" fontId="53" fillId="19" borderId="159" xfId="0" applyNumberFormat="1" applyFont="1" applyFill="1" applyBorder="1" applyAlignment="1">
      <alignment horizontal="right" vertical="center" wrapText="1"/>
    </xf>
    <xf numFmtId="167" fontId="53" fillId="19" borderId="160" xfId="0" applyNumberFormat="1" applyFont="1" applyFill="1" applyBorder="1" applyAlignment="1">
      <alignment horizontal="right" vertical="center" wrapText="1"/>
    </xf>
    <xf numFmtId="167" fontId="3" fillId="0" borderId="0" xfId="0" applyNumberFormat="1" applyFont="1" applyAlignment="1">
      <alignment vertical="center"/>
    </xf>
    <xf numFmtId="3" fontId="53" fillId="22" borderId="161" xfId="0" applyNumberFormat="1" applyFont="1" applyFill="1" applyBorder="1" applyAlignment="1">
      <alignment horizontal="left" vertical="center" wrapText="1"/>
    </xf>
    <xf numFmtId="0" fontId="53" fillId="22" borderId="162" xfId="0" applyFont="1" applyFill="1" applyBorder="1" applyAlignment="1">
      <alignment horizontal="left" vertical="center" wrapText="1"/>
    </xf>
    <xf numFmtId="167" fontId="53" fillId="22" borderId="162" xfId="0" applyNumberFormat="1" applyFont="1" applyFill="1" applyBorder="1" applyAlignment="1">
      <alignment horizontal="right" vertical="center" wrapText="1"/>
    </xf>
    <xf numFmtId="167" fontId="53" fillId="22" borderId="163" xfId="0" applyNumberFormat="1" applyFont="1" applyFill="1" applyBorder="1" applyAlignment="1">
      <alignment horizontal="right" vertical="center" wrapText="1"/>
    </xf>
    <xf numFmtId="0" fontId="53" fillId="21" borderId="161" xfId="0" applyFont="1" applyFill="1" applyBorder="1" applyAlignment="1">
      <alignment horizontal="left" vertical="center" wrapText="1"/>
    </xf>
    <xf numFmtId="0" fontId="53" fillId="21" borderId="162" xfId="0" applyFont="1" applyFill="1" applyBorder="1" applyAlignment="1">
      <alignment horizontal="left" vertical="center" wrapText="1"/>
    </xf>
    <xf numFmtId="167" fontId="53" fillId="21" borderId="162" xfId="0" applyNumberFormat="1" applyFont="1" applyFill="1" applyBorder="1" applyAlignment="1">
      <alignment horizontal="right" vertical="center" wrapText="1"/>
    </xf>
    <xf numFmtId="167" fontId="53" fillId="21" borderId="163" xfId="0" applyNumberFormat="1" applyFont="1" applyFill="1" applyBorder="1" applyAlignment="1">
      <alignment horizontal="right" vertical="center" wrapText="1"/>
    </xf>
    <xf numFmtId="49" fontId="53" fillId="21" borderId="161" xfId="0" applyNumberFormat="1" applyFont="1" applyFill="1" applyBorder="1" applyAlignment="1">
      <alignment horizontal="left" vertical="center" wrapText="1"/>
    </xf>
    <xf numFmtId="49" fontId="53" fillId="19" borderId="161" xfId="0" applyNumberFormat="1" applyFont="1" applyFill="1" applyBorder="1" applyAlignment="1">
      <alignment horizontal="left" vertical="center" wrapText="1"/>
    </xf>
    <xf numFmtId="0" fontId="53" fillId="19" borderId="162" xfId="0" applyFont="1" applyFill="1" applyBorder="1" applyAlignment="1">
      <alignment horizontal="left" vertical="center" wrapText="1"/>
    </xf>
    <xf numFmtId="167" fontId="53" fillId="19" borderId="162" xfId="0" applyNumberFormat="1" applyFont="1" applyFill="1" applyBorder="1" applyAlignment="1">
      <alignment horizontal="right" vertical="center" wrapText="1"/>
    </xf>
    <xf numFmtId="167" fontId="53" fillId="19" borderId="163" xfId="0" applyNumberFormat="1" applyFont="1" applyFill="1" applyBorder="1" applyAlignment="1">
      <alignment horizontal="right" vertical="center" wrapText="1"/>
    </xf>
    <xf numFmtId="49" fontId="53" fillId="22" borderId="161" xfId="0" applyNumberFormat="1" applyFont="1" applyFill="1" applyBorder="1" applyAlignment="1">
      <alignment horizontal="left" vertical="center" wrapText="1"/>
    </xf>
    <xf numFmtId="49" fontId="54" fillId="0" borderId="161" xfId="0" applyNumberFormat="1" applyFont="1" applyBorder="1" applyAlignment="1">
      <alignment horizontal="left" vertical="center" wrapText="1"/>
    </xf>
    <xf numFmtId="0" fontId="54" fillId="0" borderId="162" xfId="0" applyFont="1" applyBorder="1" applyAlignment="1">
      <alignment horizontal="left" vertical="center" wrapText="1"/>
    </xf>
    <xf numFmtId="167" fontId="16" fillId="0" borderId="162" xfId="0" applyNumberFormat="1" applyFont="1" applyBorder="1" applyAlignment="1">
      <alignment horizontal="right" vertical="center" wrapText="1"/>
    </xf>
    <xf numFmtId="167" fontId="54" fillId="0" borderId="162" xfId="0" applyNumberFormat="1" applyFont="1" applyBorder="1" applyAlignment="1">
      <alignment horizontal="right" vertical="center" wrapText="1"/>
    </xf>
    <xf numFmtId="167" fontId="16" fillId="0" borderId="163" xfId="0" applyNumberFormat="1" applyFont="1" applyBorder="1" applyAlignment="1">
      <alignment horizontal="right" vertical="center" wrapText="1"/>
    </xf>
    <xf numFmtId="0" fontId="16" fillId="0" borderId="162" xfId="0" applyFont="1" applyBorder="1" applyAlignment="1">
      <alignment horizontal="left" vertical="center" wrapText="1"/>
    </xf>
    <xf numFmtId="167" fontId="54" fillId="0" borderId="163" xfId="0" applyNumberFormat="1" applyFont="1" applyBorder="1" applyAlignment="1">
      <alignment horizontal="right" vertical="center" wrapText="1"/>
    </xf>
    <xf numFmtId="167" fontId="55" fillId="21" borderId="162" xfId="0" applyNumberFormat="1" applyFont="1" applyFill="1" applyBorder="1" applyAlignment="1">
      <alignment horizontal="right" vertical="center" wrapText="1"/>
    </xf>
    <xf numFmtId="0" fontId="54" fillId="0" borderId="164" xfId="0" applyFont="1" applyBorder="1" applyAlignment="1">
      <alignment horizontal="left" vertical="center" wrapText="1"/>
    </xf>
    <xf numFmtId="167" fontId="16" fillId="0" borderId="164" xfId="0" applyNumberFormat="1" applyFont="1" applyBorder="1" applyAlignment="1">
      <alignment horizontal="right" vertical="center" wrapText="1"/>
    </xf>
    <xf numFmtId="167" fontId="53" fillId="22" borderId="168" xfId="0" applyNumberFormat="1" applyFont="1" applyFill="1" applyBorder="1" applyAlignment="1">
      <alignment horizontal="right" vertical="center" wrapText="1"/>
    </xf>
    <xf numFmtId="0" fontId="31" fillId="0" borderId="150" xfId="0" applyFont="1" applyBorder="1"/>
    <xf numFmtId="0" fontId="16" fillId="14" borderId="90" xfId="0" applyFont="1" applyFill="1" applyBorder="1" applyAlignment="1">
      <alignment horizontal="left" vertical="center" wrapText="1"/>
    </xf>
    <xf numFmtId="167" fontId="31" fillId="14" borderId="90" xfId="0" applyNumberFormat="1" applyFont="1" applyFill="1" applyBorder="1"/>
    <xf numFmtId="0" fontId="31" fillId="14" borderId="90" xfId="0" applyFont="1" applyFill="1" applyBorder="1"/>
    <xf numFmtId="0" fontId="31" fillId="14" borderId="169" xfId="0" applyFont="1" applyFill="1" applyBorder="1"/>
    <xf numFmtId="0" fontId="31" fillId="0" borderId="35" xfId="0" applyFont="1" applyBorder="1"/>
    <xf numFmtId="0" fontId="16" fillId="14" borderId="39" xfId="0" applyFont="1" applyFill="1" applyBorder="1" applyAlignment="1">
      <alignment horizontal="left" vertical="center" wrapText="1"/>
    </xf>
    <xf numFmtId="167" fontId="31" fillId="14" borderId="39" xfId="0" applyNumberFormat="1" applyFont="1" applyFill="1" applyBorder="1"/>
    <xf numFmtId="0" fontId="31" fillId="14" borderId="39" xfId="0" applyFont="1" applyFill="1" applyBorder="1"/>
    <xf numFmtId="0" fontId="31" fillId="14" borderId="128" xfId="0" applyFont="1" applyFill="1" applyBorder="1"/>
    <xf numFmtId="0" fontId="9" fillId="10" borderId="170" xfId="0" applyFont="1" applyFill="1" applyBorder="1" applyAlignment="1">
      <alignment vertical="center" wrapText="1"/>
    </xf>
    <xf numFmtId="0" fontId="31" fillId="0" borderId="145" xfId="0" applyFont="1" applyBorder="1"/>
    <xf numFmtId="167" fontId="31" fillId="14" borderId="146" xfId="0" applyNumberFormat="1" applyFont="1" applyFill="1" applyBorder="1"/>
    <xf numFmtId="0" fontId="31" fillId="14" borderId="146" xfId="0" applyFont="1" applyFill="1" applyBorder="1"/>
    <xf numFmtId="167" fontId="31" fillId="14" borderId="0" xfId="0" applyNumberFormat="1" applyFont="1" applyFill="1"/>
    <xf numFmtId="0" fontId="5" fillId="17" borderId="171" xfId="0" applyFont="1" applyFill="1" applyBorder="1" applyAlignment="1">
      <alignment horizontal="center" vertical="center"/>
    </xf>
    <xf numFmtId="0" fontId="5" fillId="17" borderId="172" xfId="0" applyFont="1" applyFill="1" applyBorder="1" applyAlignment="1">
      <alignment horizontal="center" vertical="center"/>
    </xf>
    <xf numFmtId="167" fontId="5" fillId="17" borderId="173" xfId="0" applyNumberFormat="1" applyFont="1" applyFill="1" applyBorder="1" applyAlignment="1">
      <alignment horizontal="center" vertical="center"/>
    </xf>
    <xf numFmtId="167" fontId="5" fillId="17" borderId="98" xfId="0" applyNumberFormat="1" applyFont="1" applyFill="1" applyBorder="1" applyAlignment="1">
      <alignment horizontal="center" vertical="center"/>
    </xf>
    <xf numFmtId="167" fontId="5" fillId="17" borderId="99" xfId="0" applyNumberFormat="1" applyFont="1" applyFill="1" applyBorder="1" applyAlignment="1">
      <alignment horizontal="center" vertical="center"/>
    </xf>
    <xf numFmtId="0" fontId="31" fillId="10" borderId="174" xfId="0" applyFont="1" applyFill="1" applyBorder="1"/>
    <xf numFmtId="0" fontId="31" fillId="10" borderId="145" xfId="0" applyFont="1" applyFill="1" applyBorder="1"/>
    <xf numFmtId="167" fontId="31" fillId="10" borderId="175" xfId="0" applyNumberFormat="1" applyFont="1" applyFill="1" applyBorder="1"/>
    <xf numFmtId="167" fontId="31" fillId="0" borderId="101" xfId="0" applyNumberFormat="1" applyFont="1" applyBorder="1"/>
    <xf numFmtId="167" fontId="31" fillId="0" borderId="102" xfId="0" applyNumberFormat="1" applyFont="1" applyBorder="1"/>
    <xf numFmtId="167" fontId="31" fillId="0" borderId="118" xfId="0" applyNumberFormat="1" applyFont="1" applyBorder="1"/>
    <xf numFmtId="0" fontId="31" fillId="10" borderId="176" xfId="0" applyFont="1" applyFill="1" applyBorder="1"/>
    <xf numFmtId="0" fontId="31" fillId="10" borderId="177" xfId="0" applyFont="1" applyFill="1" applyBorder="1"/>
    <xf numFmtId="167" fontId="31" fillId="10" borderId="178" xfId="0" applyNumberFormat="1" applyFont="1" applyFill="1" applyBorder="1"/>
    <xf numFmtId="167" fontId="31" fillId="0" borderId="104" xfId="0" applyNumberFormat="1" applyFont="1" applyBorder="1"/>
    <xf numFmtId="167" fontId="31" fillId="0" borderId="105" xfId="0" applyNumberFormat="1" applyFont="1" applyBorder="1"/>
    <xf numFmtId="0" fontId="56" fillId="10" borderId="176" xfId="0" applyFont="1" applyFill="1" applyBorder="1"/>
    <xf numFmtId="0" fontId="56" fillId="10" borderId="177" xfId="0" applyFont="1" applyFill="1" applyBorder="1"/>
    <xf numFmtId="0" fontId="31" fillId="10" borderId="179" xfId="0" applyFont="1" applyFill="1" applyBorder="1"/>
    <xf numFmtId="0" fontId="31" fillId="10" borderId="132" xfId="0" applyFont="1" applyFill="1" applyBorder="1"/>
    <xf numFmtId="167" fontId="31" fillId="10" borderId="104" xfId="0" applyNumberFormat="1" applyFont="1" applyFill="1" applyBorder="1"/>
    <xf numFmtId="167" fontId="5" fillId="17" borderId="172" xfId="0" applyNumberFormat="1" applyFont="1" applyFill="1" applyBorder="1" applyAlignment="1">
      <alignment horizontal="center" vertical="center"/>
    </xf>
    <xf numFmtId="0" fontId="5" fillId="17" borderId="127" xfId="0" applyFont="1" applyFill="1" applyBorder="1" applyAlignment="1">
      <alignment horizontal="center"/>
    </xf>
    <xf numFmtId="167" fontId="31" fillId="10" borderId="145" xfId="0" applyNumberFormat="1" applyFont="1" applyFill="1" applyBorder="1"/>
    <xf numFmtId="0" fontId="31" fillId="10" borderId="175" xfId="0" applyFont="1" applyFill="1" applyBorder="1"/>
    <xf numFmtId="0" fontId="31" fillId="0" borderId="116" xfId="0" applyFont="1" applyBorder="1"/>
    <xf numFmtId="167" fontId="31" fillId="10" borderId="177" xfId="0" applyNumberFormat="1" applyFont="1" applyFill="1" applyBorder="1"/>
    <xf numFmtId="0" fontId="31" fillId="10" borderId="178" xfId="0" applyFont="1" applyFill="1" applyBorder="1"/>
    <xf numFmtId="0" fontId="31" fillId="0" borderId="103" xfId="0" applyFont="1" applyBorder="1"/>
    <xf numFmtId="167" fontId="31" fillId="10" borderId="132" xfId="0" applyNumberFormat="1" applyFont="1" applyFill="1" applyBorder="1"/>
    <xf numFmtId="0" fontId="31" fillId="10" borderId="104" xfId="0" applyFont="1" applyFill="1" applyBorder="1"/>
    <xf numFmtId="0" fontId="5" fillId="17" borderId="98" xfId="0" applyFont="1" applyFill="1" applyBorder="1" applyAlignment="1">
      <alignment horizontal="center" vertical="center"/>
    </xf>
    <xf numFmtId="0" fontId="5" fillId="17" borderId="99" xfId="0" applyFont="1" applyFill="1" applyBorder="1" applyAlignment="1">
      <alignment horizontal="center" vertical="center"/>
    </xf>
    <xf numFmtId="0" fontId="31" fillId="0" borderId="89" xfId="0" applyFont="1" applyBorder="1"/>
    <xf numFmtId="167" fontId="56" fillId="10" borderId="177" xfId="0" applyNumberFormat="1" applyFont="1" applyFill="1" applyBorder="1"/>
    <xf numFmtId="0" fontId="31" fillId="0" borderId="108" xfId="0" applyFont="1" applyBorder="1"/>
    <xf numFmtId="167" fontId="31" fillId="0" borderId="108" xfId="0" applyNumberFormat="1" applyFont="1" applyBorder="1"/>
    <xf numFmtId="0" fontId="31" fillId="10" borderId="100" xfId="0" applyFont="1" applyFill="1" applyBorder="1"/>
    <xf numFmtId="0" fontId="31" fillId="10" borderId="103" xfId="0" applyFont="1" applyFill="1" applyBorder="1"/>
    <xf numFmtId="0" fontId="56" fillId="10" borderId="103" xfId="0" applyFont="1" applyFill="1" applyBorder="1"/>
    <xf numFmtId="0" fontId="56" fillId="10" borderId="104" xfId="0" applyFont="1" applyFill="1" applyBorder="1"/>
    <xf numFmtId="0" fontId="21" fillId="17" borderId="1" xfId="0" applyFont="1" applyFill="1" applyBorder="1" applyAlignment="1">
      <alignment horizontal="left" vertical="center"/>
    </xf>
    <xf numFmtId="0" fontId="21" fillId="17" borderId="1" xfId="0" applyFont="1" applyFill="1" applyBorder="1" applyAlignment="1">
      <alignment horizontal="center" vertical="center"/>
    </xf>
    <xf numFmtId="0" fontId="10" fillId="25" borderId="180" xfId="0" applyFont="1" applyFill="1" applyBorder="1" applyAlignment="1">
      <alignment horizontal="left" vertical="center"/>
    </xf>
    <xf numFmtId="167" fontId="26" fillId="25" borderId="181" xfId="0" applyNumberFormat="1" applyFont="1" applyFill="1" applyBorder="1" applyAlignment="1">
      <alignment horizontal="left" vertical="center"/>
    </xf>
    <xf numFmtId="10" fontId="10" fillId="25" borderId="181" xfId="0" applyNumberFormat="1" applyFont="1" applyFill="1" applyBorder="1" applyAlignment="1">
      <alignment horizontal="center" vertical="center"/>
    </xf>
    <xf numFmtId="0" fontId="52" fillId="0" borderId="183" xfId="0" applyFont="1" applyBorder="1" applyAlignment="1">
      <alignment vertical="center"/>
    </xf>
    <xf numFmtId="0" fontId="16" fillId="0" borderId="185" xfId="0" applyFont="1" applyBorder="1" applyAlignment="1">
      <alignment horizontal="center" vertical="center"/>
    </xf>
    <xf numFmtId="0" fontId="10" fillId="14" borderId="186" xfId="0" applyFont="1" applyFill="1" applyBorder="1" applyAlignment="1">
      <alignment horizontal="left" vertical="center"/>
    </xf>
    <xf numFmtId="167" fontId="10" fillId="14" borderId="187" xfId="0" applyNumberFormat="1" applyFont="1" applyFill="1" applyBorder="1" applyAlignment="1">
      <alignment horizontal="left" vertical="center"/>
    </xf>
    <xf numFmtId="10" fontId="10" fillId="14" borderId="187" xfId="0" applyNumberFormat="1" applyFont="1" applyFill="1" applyBorder="1" applyAlignment="1">
      <alignment horizontal="center" vertical="center"/>
    </xf>
    <xf numFmtId="167" fontId="10" fillId="14" borderId="188" xfId="0" applyNumberFormat="1" applyFont="1" applyFill="1" applyBorder="1" applyAlignment="1">
      <alignment horizontal="center" vertical="center"/>
    </xf>
    <xf numFmtId="0" fontId="10" fillId="25" borderId="186" xfId="0" applyFont="1" applyFill="1" applyBorder="1" applyAlignment="1">
      <alignment horizontal="left" vertical="center"/>
    </xf>
    <xf numFmtId="10" fontId="10" fillId="25" borderId="187" xfId="0" applyNumberFormat="1" applyFont="1" applyFill="1" applyBorder="1" applyAlignment="1">
      <alignment horizontal="center" vertical="center"/>
    </xf>
    <xf numFmtId="167" fontId="10" fillId="25" borderId="188" xfId="0" applyNumberFormat="1" applyFont="1" applyFill="1" applyBorder="1" applyAlignment="1">
      <alignment horizontal="center" vertical="center"/>
    </xf>
    <xf numFmtId="167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65" fontId="16" fillId="0" borderId="0" xfId="0" applyNumberFormat="1" applyFont="1" applyAlignment="1">
      <alignment vertical="center"/>
    </xf>
    <xf numFmtId="4" fontId="31" fillId="0" borderId="0" xfId="0" applyNumberFormat="1" applyFont="1"/>
    <xf numFmtId="0" fontId="6" fillId="0" borderId="0" xfId="0" applyFont="1" applyAlignment="1">
      <alignment vertical="center"/>
    </xf>
    <xf numFmtId="167" fontId="6" fillId="0" borderId="0" xfId="0" applyNumberFormat="1" applyFont="1" applyAlignment="1">
      <alignment vertical="center"/>
    </xf>
    <xf numFmtId="167" fontId="21" fillId="17" borderId="1" xfId="0" applyNumberFormat="1" applyFont="1" applyFill="1" applyBorder="1" applyAlignment="1">
      <alignment horizontal="left" vertical="center"/>
    </xf>
    <xf numFmtId="9" fontId="21" fillId="17" borderId="1" xfId="0" applyNumberFormat="1" applyFont="1" applyFill="1" applyBorder="1" applyAlignment="1">
      <alignment horizontal="center" vertical="center"/>
    </xf>
    <xf numFmtId="167" fontId="21" fillId="17" borderId="1" xfId="0" applyNumberFormat="1" applyFont="1" applyFill="1" applyBorder="1" applyAlignment="1">
      <alignment horizontal="center" vertical="center"/>
    </xf>
    <xf numFmtId="17" fontId="21" fillId="17" borderId="1" xfId="0" applyNumberFormat="1" applyFont="1" applyFill="1" applyBorder="1" applyAlignment="1">
      <alignment horizontal="center" vertical="center"/>
    </xf>
    <xf numFmtId="168" fontId="15" fillId="0" borderId="0" xfId="0" applyNumberFormat="1" applyFont="1" applyAlignment="1">
      <alignment horizontal="left"/>
    </xf>
    <xf numFmtId="168" fontId="16" fillId="0" borderId="0" xfId="0" applyNumberFormat="1" applyFont="1" applyAlignment="1">
      <alignment vertical="center"/>
    </xf>
    <xf numFmtId="4" fontId="16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167" fontId="10" fillId="0" borderId="0" xfId="0" applyNumberFormat="1" applyFont="1" applyAlignment="1">
      <alignment vertical="center"/>
    </xf>
    <xf numFmtId="4" fontId="10" fillId="0" borderId="0" xfId="0" applyNumberFormat="1" applyFont="1" applyAlignment="1">
      <alignment vertical="center"/>
    </xf>
    <xf numFmtId="167" fontId="10" fillId="0" borderId="0" xfId="0" applyNumberFormat="1" applyFont="1"/>
    <xf numFmtId="167" fontId="10" fillId="25" borderId="193" xfId="0" applyNumberFormat="1" applyFont="1" applyFill="1" applyBorder="1" applyAlignment="1">
      <alignment horizontal="center"/>
    </xf>
    <xf numFmtId="43" fontId="10" fillId="0" borderId="0" xfId="1" applyFont="1"/>
    <xf numFmtId="167" fontId="10" fillId="14" borderId="193" xfId="0" applyNumberFormat="1" applyFont="1" applyFill="1" applyBorder="1" applyAlignment="1">
      <alignment horizontal="center"/>
    </xf>
    <xf numFmtId="43" fontId="28" fillId="2" borderId="1" xfId="1" applyFont="1" applyFill="1" applyBorder="1" applyAlignment="1">
      <alignment horizontal="center"/>
    </xf>
    <xf numFmtId="43" fontId="0" fillId="0" borderId="1" xfId="1" applyFont="1" applyBorder="1"/>
    <xf numFmtId="43" fontId="28" fillId="2" borderId="194" xfId="1" applyFont="1" applyFill="1" applyBorder="1"/>
    <xf numFmtId="0" fontId="58" fillId="0" borderId="0" xfId="0" applyFont="1"/>
    <xf numFmtId="0" fontId="10" fillId="28" borderId="1" xfId="0" applyFont="1" applyFill="1" applyBorder="1" applyAlignment="1">
      <alignment horizontal="left" vertical="center"/>
    </xf>
    <xf numFmtId="0" fontId="10" fillId="14" borderId="1" xfId="0" applyFont="1" applyFill="1" applyBorder="1" applyAlignment="1">
      <alignment horizontal="left" vertical="center"/>
    </xf>
    <xf numFmtId="0" fontId="28" fillId="2" borderId="0" xfId="0" applyFont="1" applyFill="1"/>
    <xf numFmtId="0" fontId="21" fillId="26" borderId="1" xfId="0" applyFont="1" applyFill="1" applyBorder="1" applyAlignment="1">
      <alignment horizontal="left" vertical="center"/>
    </xf>
    <xf numFmtId="44" fontId="28" fillId="2" borderId="1" xfId="0" applyNumberFormat="1" applyFont="1" applyFill="1" applyBorder="1"/>
    <xf numFmtId="44" fontId="28" fillId="27" borderId="1" xfId="0" applyNumberFormat="1" applyFont="1" applyFill="1" applyBorder="1"/>
    <xf numFmtId="44" fontId="28" fillId="2" borderId="1" xfId="0" applyNumberFormat="1" applyFont="1" applyFill="1" applyBorder="1" applyAlignment="1">
      <alignment horizontal="center"/>
    </xf>
    <xf numFmtId="17" fontId="0" fillId="0" borderId="3" xfId="0" applyNumberFormat="1" applyBorder="1"/>
    <xf numFmtId="0" fontId="28" fillId="2" borderId="0" xfId="0" applyFont="1" applyFill="1" applyAlignment="1">
      <alignment vertical="center"/>
    </xf>
    <xf numFmtId="0" fontId="59" fillId="0" borderId="3" xfId="0" quotePrefix="1" applyFont="1" applyBorder="1" applyAlignment="1">
      <alignment vertical="top" wrapText="1"/>
    </xf>
    <xf numFmtId="0" fontId="0" fillId="0" borderId="3" xfId="0" applyBorder="1" applyAlignment="1">
      <alignment wrapText="1"/>
    </xf>
    <xf numFmtId="4" fontId="0" fillId="0" borderId="3" xfId="0" applyNumberFormat="1" applyBorder="1"/>
    <xf numFmtId="17" fontId="0" fillId="0" borderId="3" xfId="0" applyNumberFormat="1" applyBorder="1" applyAlignment="1">
      <alignment horizontal="left"/>
    </xf>
    <xf numFmtId="4" fontId="0" fillId="0" borderId="3" xfId="0" applyNumberFormat="1" applyBorder="1" applyAlignment="1">
      <alignment horizontal="left"/>
    </xf>
    <xf numFmtId="44" fontId="0" fillId="0" borderId="0" xfId="0" applyNumberFormat="1"/>
    <xf numFmtId="0" fontId="60" fillId="0" borderId="0" xfId="0" applyFont="1" applyAlignment="1">
      <alignment horizontal="center" vertical="center"/>
    </xf>
    <xf numFmtId="2" fontId="0" fillId="0" borderId="0" xfId="0" applyNumberFormat="1"/>
    <xf numFmtId="0" fontId="7" fillId="3" borderId="0" xfId="0" applyFont="1" applyFill="1" applyAlignment="1">
      <alignment horizontal="left"/>
    </xf>
    <xf numFmtId="9" fontId="3" fillId="0" borderId="0" xfId="6" applyFont="1" applyAlignment="1">
      <alignment horizontal="center" vertical="center"/>
    </xf>
    <xf numFmtId="4" fontId="3" fillId="0" borderId="0" xfId="0" applyNumberFormat="1" applyFont="1" applyAlignment="1">
      <alignment vertical="center"/>
    </xf>
    <xf numFmtId="0" fontId="4" fillId="0" borderId="48" xfId="0" applyFont="1" applyBorder="1" applyAlignment="1">
      <alignment vertical="center"/>
    </xf>
    <xf numFmtId="44" fontId="0" fillId="0" borderId="1" xfId="10" applyFont="1" applyBorder="1"/>
    <xf numFmtId="44" fontId="0" fillId="27" borderId="1" xfId="10" applyFont="1" applyFill="1" applyBorder="1"/>
    <xf numFmtId="44" fontId="0" fillId="0" borderId="1" xfId="10" applyFont="1" applyFill="1" applyBorder="1"/>
    <xf numFmtId="2" fontId="0" fillId="0" borderId="1" xfId="10" applyNumberFormat="1" applyFont="1" applyFill="1" applyBorder="1"/>
    <xf numFmtId="0" fontId="31" fillId="0" borderId="111" xfId="0" applyFont="1" applyBorder="1"/>
    <xf numFmtId="0" fontId="31" fillId="0" borderId="39" xfId="0" applyFont="1" applyBorder="1"/>
    <xf numFmtId="0" fontId="31" fillId="0" borderId="146" xfId="0" applyFont="1" applyBorder="1"/>
    <xf numFmtId="0" fontId="5" fillId="17" borderId="196" xfId="0" applyFont="1" applyFill="1" applyBorder="1" applyAlignment="1">
      <alignment horizontal="center" vertical="center"/>
    </xf>
    <xf numFmtId="0" fontId="31" fillId="10" borderId="146" xfId="0" applyFont="1" applyFill="1" applyBorder="1"/>
    <xf numFmtId="0" fontId="31" fillId="10" borderId="197" xfId="0" applyFont="1" applyFill="1" applyBorder="1"/>
    <xf numFmtId="0" fontId="56" fillId="10" borderId="197" xfId="0" applyFont="1" applyFill="1" applyBorder="1"/>
    <xf numFmtId="0" fontId="5" fillId="17" borderId="201" xfId="0" applyFont="1" applyFill="1" applyBorder="1" applyAlignment="1">
      <alignment horizontal="center" vertical="center"/>
    </xf>
    <xf numFmtId="167" fontId="5" fillId="17" borderId="202" xfId="0" applyNumberFormat="1" applyFont="1" applyFill="1" applyBorder="1" applyAlignment="1">
      <alignment horizontal="center" vertical="center"/>
    </xf>
    <xf numFmtId="0" fontId="31" fillId="10" borderId="203" xfId="0" applyFont="1" applyFill="1" applyBorder="1"/>
    <xf numFmtId="167" fontId="31" fillId="0" borderId="204" xfId="0" applyNumberFormat="1" applyFont="1" applyBorder="1"/>
    <xf numFmtId="0" fontId="31" fillId="10" borderId="205" xfId="0" applyFont="1" applyFill="1" applyBorder="1"/>
    <xf numFmtId="167" fontId="31" fillId="0" borderId="206" xfId="0" applyNumberFormat="1" applyFont="1" applyBorder="1"/>
    <xf numFmtId="0" fontId="56" fillId="10" borderId="205" xfId="0" applyFont="1" applyFill="1" applyBorder="1"/>
    <xf numFmtId="0" fontId="31" fillId="10" borderId="207" xfId="0" applyFont="1" applyFill="1" applyBorder="1"/>
    <xf numFmtId="0" fontId="31" fillId="10" borderId="208" xfId="0" applyFont="1" applyFill="1" applyBorder="1"/>
    <xf numFmtId="0" fontId="31" fillId="10" borderId="209" xfId="0" applyFont="1" applyFill="1" applyBorder="1"/>
    <xf numFmtId="167" fontId="31" fillId="10" borderId="209" xfId="0" applyNumberFormat="1" applyFont="1" applyFill="1" applyBorder="1"/>
    <xf numFmtId="0" fontId="31" fillId="10" borderId="210" xfId="0" applyFont="1" applyFill="1" applyBorder="1"/>
    <xf numFmtId="167" fontId="31" fillId="0" borderId="210" xfId="0" applyNumberFormat="1" applyFont="1" applyBorder="1"/>
    <xf numFmtId="167" fontId="31" fillId="0" borderId="211" xfId="0" applyNumberFormat="1" applyFont="1" applyBorder="1"/>
    <xf numFmtId="167" fontId="31" fillId="0" borderId="214" xfId="0" applyNumberFormat="1" applyFont="1" applyBorder="1"/>
    <xf numFmtId="0" fontId="31" fillId="0" borderId="215" xfId="0" applyFont="1" applyBorder="1"/>
    <xf numFmtId="0" fontId="31" fillId="0" borderId="216" xfId="0" applyFont="1" applyBorder="1"/>
    <xf numFmtId="167" fontId="5" fillId="17" borderId="212" xfId="0" applyNumberFormat="1" applyFont="1" applyFill="1" applyBorder="1" applyAlignment="1">
      <alignment horizontal="center" vertical="center"/>
    </xf>
    <xf numFmtId="167" fontId="31" fillId="0" borderId="213" xfId="0" applyNumberFormat="1" applyFont="1" applyBorder="1"/>
    <xf numFmtId="167" fontId="31" fillId="0" borderId="215" xfId="0" applyNumberFormat="1" applyFont="1" applyBorder="1"/>
    <xf numFmtId="0" fontId="5" fillId="17" borderId="219" xfId="0" applyFont="1" applyFill="1" applyBorder="1" applyAlignment="1">
      <alignment horizontal="center" vertical="center"/>
    </xf>
    <xf numFmtId="0" fontId="5" fillId="17" borderId="220" xfId="0" applyFont="1" applyFill="1" applyBorder="1" applyAlignment="1">
      <alignment horizontal="center" vertical="center"/>
    </xf>
    <xf numFmtId="4" fontId="31" fillId="0" borderId="214" xfId="0" applyNumberFormat="1" applyFont="1" applyBorder="1"/>
    <xf numFmtId="4" fontId="31" fillId="0" borderId="221" xfId="0" applyNumberFormat="1" applyFont="1" applyBorder="1"/>
    <xf numFmtId="0" fontId="31" fillId="0" borderId="194" xfId="0" applyFont="1" applyBorder="1"/>
    <xf numFmtId="167" fontId="31" fillId="0" borderId="194" xfId="0" applyNumberFormat="1" applyFont="1" applyBorder="1"/>
    <xf numFmtId="0" fontId="31" fillId="14" borderId="223" xfId="0" applyFont="1" applyFill="1" applyBorder="1"/>
    <xf numFmtId="0" fontId="31" fillId="14" borderId="224" xfId="0" applyFont="1" applyFill="1" applyBorder="1"/>
    <xf numFmtId="0" fontId="9" fillId="10" borderId="225" xfId="0" applyFont="1" applyFill="1" applyBorder="1" applyAlignment="1">
      <alignment vertical="center" wrapText="1"/>
    </xf>
    <xf numFmtId="0" fontId="31" fillId="0" borderId="226" xfId="0" applyFont="1" applyBorder="1"/>
    <xf numFmtId="0" fontId="31" fillId="0" borderId="227" xfId="0" applyFont="1" applyBorder="1"/>
    <xf numFmtId="0" fontId="16" fillId="14" borderId="227" xfId="0" applyFont="1" applyFill="1" applyBorder="1" applyAlignment="1">
      <alignment horizontal="left" vertical="center" wrapText="1"/>
    </xf>
    <xf numFmtId="0" fontId="31" fillId="14" borderId="227" xfId="0" applyFont="1" applyFill="1" applyBorder="1"/>
    <xf numFmtId="167" fontId="31" fillId="14" borderId="227" xfId="0" applyNumberFormat="1" applyFont="1" applyFill="1" applyBorder="1"/>
    <xf numFmtId="0" fontId="31" fillId="14" borderId="228" xfId="0" applyFont="1" applyFill="1" applyBorder="1"/>
    <xf numFmtId="0" fontId="9" fillId="10" borderId="229" xfId="0" applyFont="1" applyFill="1" applyBorder="1" applyAlignment="1">
      <alignment vertical="center" wrapText="1"/>
    </xf>
    <xf numFmtId="0" fontId="31" fillId="14" borderId="230" xfId="0" applyFont="1" applyFill="1" applyBorder="1"/>
    <xf numFmtId="0" fontId="9" fillId="10" borderId="231" xfId="0" applyFont="1" applyFill="1" applyBorder="1" applyAlignment="1">
      <alignment vertical="center" wrapText="1"/>
    </xf>
    <xf numFmtId="0" fontId="31" fillId="14" borderId="18" xfId="0" applyFont="1" applyFill="1" applyBorder="1"/>
    <xf numFmtId="0" fontId="31" fillId="14" borderId="19" xfId="0" applyFont="1" applyFill="1" applyBorder="1"/>
    <xf numFmtId="0" fontId="31" fillId="14" borderId="25" xfId="0" applyFont="1" applyFill="1" applyBorder="1"/>
    <xf numFmtId="0" fontId="31" fillId="14" borderId="26" xfId="0" applyFont="1" applyFill="1" applyBorder="1"/>
    <xf numFmtId="0" fontId="31" fillId="14" borderId="27" xfId="0" applyFont="1" applyFill="1" applyBorder="1"/>
    <xf numFmtId="0" fontId="62" fillId="3" borderId="0" xfId="0" applyFont="1" applyFill="1" applyAlignment="1">
      <alignment horizontal="center"/>
    </xf>
    <xf numFmtId="0" fontId="62" fillId="3" borderId="0" xfId="0" applyFont="1" applyFill="1" applyAlignment="1">
      <alignment horizontal="left"/>
    </xf>
    <xf numFmtId="0" fontId="63" fillId="0" borderId="0" xfId="0" applyFont="1"/>
    <xf numFmtId="4" fontId="0" fillId="0" borderId="0" xfId="0" applyNumberFormat="1"/>
    <xf numFmtId="43" fontId="7" fillId="0" borderId="13" xfId="1" applyFont="1" applyFill="1" applyBorder="1" applyAlignment="1">
      <alignment vertical="center" wrapText="1"/>
    </xf>
    <xf numFmtId="43" fontId="5" fillId="7" borderId="230" xfId="1" applyFont="1" applyFill="1" applyBorder="1" applyAlignment="1">
      <alignment horizontal="center" vertical="center" wrapText="1"/>
    </xf>
    <xf numFmtId="0" fontId="5" fillId="7" borderId="232" xfId="0" applyFont="1" applyFill="1" applyBorder="1" applyAlignment="1">
      <alignment horizontal="center" vertical="center" wrapText="1"/>
    </xf>
    <xf numFmtId="43" fontId="64" fillId="0" borderId="13" xfId="1" applyFont="1" applyFill="1" applyBorder="1" applyAlignment="1">
      <alignment vertical="center" wrapText="1"/>
    </xf>
    <xf numFmtId="43" fontId="7" fillId="3" borderId="238" xfId="1" applyFont="1" applyFill="1" applyBorder="1" applyAlignment="1">
      <alignment vertical="center" wrapText="1"/>
    </xf>
    <xf numFmtId="43" fontId="64" fillId="3" borderId="13" xfId="1" applyFont="1" applyFill="1" applyBorder="1" applyAlignment="1">
      <alignment vertical="center" wrapText="1"/>
    </xf>
    <xf numFmtId="43" fontId="64" fillId="3" borderId="241" xfId="1" applyFont="1" applyFill="1" applyBorder="1" applyAlignment="1">
      <alignment vertical="center" wrapText="1"/>
    </xf>
    <xf numFmtId="43" fontId="64" fillId="3" borderId="5" xfId="1" applyFont="1" applyFill="1" applyBorder="1" applyAlignment="1">
      <alignment vertical="center" wrapText="1"/>
    </xf>
    <xf numFmtId="167" fontId="31" fillId="0" borderId="178" xfId="0" applyNumberFormat="1" applyFont="1" applyBorder="1"/>
    <xf numFmtId="167" fontId="31" fillId="0" borderId="242" xfId="0" applyNumberFormat="1" applyFont="1" applyBorder="1"/>
    <xf numFmtId="0" fontId="31" fillId="0" borderId="243" xfId="0" applyFont="1" applyBorder="1"/>
    <xf numFmtId="167" fontId="31" fillId="31" borderId="177" xfId="0" applyNumberFormat="1" applyFont="1" applyFill="1" applyBorder="1"/>
    <xf numFmtId="43" fontId="32" fillId="0" borderId="80" xfId="1" applyFont="1" applyBorder="1" applyAlignment="1">
      <alignment horizontal="center" vertical="center" wrapText="1"/>
    </xf>
    <xf numFmtId="0" fontId="32" fillId="0" borderId="81" xfId="0" applyFont="1" applyBorder="1" applyAlignment="1">
      <alignment horizontal="center" vertical="center" wrapText="1"/>
    </xf>
    <xf numFmtId="0" fontId="32" fillId="0" borderId="48" xfId="0" applyFont="1" applyBorder="1" applyAlignment="1">
      <alignment vertical="center"/>
    </xf>
    <xf numFmtId="0" fontId="25" fillId="0" borderId="0" xfId="2" applyFont="1" applyAlignment="1">
      <alignment vertical="center" wrapText="1"/>
    </xf>
    <xf numFmtId="0" fontId="51" fillId="0" borderId="0" xfId="11" applyFont="1" applyAlignment="1">
      <alignment horizontal="left" vertical="center" wrapText="1"/>
    </xf>
    <xf numFmtId="49" fontId="16" fillId="0" borderId="0" xfId="11" applyNumberFormat="1" applyFont="1" applyAlignment="1">
      <alignment vertical="center"/>
    </xf>
    <xf numFmtId="0" fontId="16" fillId="10" borderId="0" xfId="11" applyFont="1" applyFill="1" applyAlignment="1">
      <alignment vertical="center"/>
    </xf>
    <xf numFmtId="165" fontId="16" fillId="10" borderId="0" xfId="12" applyFont="1" applyFill="1" applyAlignment="1">
      <alignment vertical="center"/>
    </xf>
    <xf numFmtId="165" fontId="16" fillId="10" borderId="0" xfId="12" applyFont="1" applyFill="1" applyAlignment="1">
      <alignment horizontal="center" vertical="center"/>
    </xf>
    <xf numFmtId="49" fontId="8" fillId="32" borderId="245" xfId="11" applyNumberFormat="1" applyFont="1" applyFill="1" applyBorder="1" applyAlignment="1">
      <alignment vertical="center"/>
    </xf>
    <xf numFmtId="49" fontId="8" fillId="32" borderId="247" xfId="11" applyNumberFormat="1" applyFont="1" applyFill="1" applyBorder="1" applyAlignment="1">
      <alignment vertical="center"/>
    </xf>
    <xf numFmtId="49" fontId="8" fillId="32" borderId="248" xfId="11" applyNumberFormat="1" applyFont="1" applyFill="1" applyBorder="1" applyAlignment="1">
      <alignment horizontal="left" vertical="center"/>
    </xf>
    <xf numFmtId="49" fontId="8" fillId="32" borderId="0" xfId="11" applyNumberFormat="1" applyFont="1" applyFill="1" applyAlignment="1">
      <alignment horizontal="left" vertical="center" wrapText="1"/>
    </xf>
    <xf numFmtId="169" fontId="52" fillId="3" borderId="222" xfId="13" applyNumberFormat="1" applyFont="1" applyFill="1" applyBorder="1" applyAlignment="1">
      <alignment horizontal="left" vertical="center" wrapText="1"/>
    </xf>
    <xf numFmtId="44" fontId="52" fillId="3" borderId="194" xfId="13" applyFont="1" applyFill="1" applyBorder="1" applyAlignment="1">
      <alignment vertical="center" wrapText="1"/>
    </xf>
    <xf numFmtId="44" fontId="52" fillId="3" borderId="246" xfId="13" applyFont="1" applyFill="1" applyBorder="1" applyAlignment="1">
      <alignment vertical="center" wrapText="1"/>
    </xf>
    <xf numFmtId="43" fontId="25" fillId="0" borderId="0" xfId="9" applyFont="1" applyAlignment="1">
      <alignment horizontal="center" vertical="center" wrapText="1"/>
    </xf>
    <xf numFmtId="43" fontId="25" fillId="0" borderId="0" xfId="9" applyFont="1" applyAlignment="1">
      <alignment horizontal="right" vertical="center" wrapText="1"/>
    </xf>
    <xf numFmtId="43" fontId="27" fillId="7" borderId="185" xfId="9" applyFont="1" applyFill="1" applyBorder="1" applyAlignment="1">
      <alignment horizontal="center" vertical="center" wrapText="1"/>
    </xf>
    <xf numFmtId="43" fontId="27" fillId="2" borderId="21" xfId="9" applyFont="1" applyFill="1" applyBorder="1" applyAlignment="1" applyProtection="1">
      <alignment horizontal="center" vertical="center" wrapText="1"/>
    </xf>
    <xf numFmtId="43" fontId="27" fillId="2" borderId="21" xfId="9" applyFont="1" applyFill="1" applyBorder="1" applyAlignment="1" applyProtection="1">
      <alignment horizontal="right" vertical="center" wrapText="1"/>
    </xf>
    <xf numFmtId="43" fontId="65" fillId="33" borderId="21" xfId="9" applyFont="1" applyFill="1" applyBorder="1" applyAlignment="1" applyProtection="1">
      <alignment horizontal="center" vertical="center" wrapText="1"/>
    </xf>
    <xf numFmtId="43" fontId="65" fillId="33" borderId="21" xfId="9" applyFont="1" applyFill="1" applyBorder="1" applyAlignment="1" applyProtection="1">
      <alignment horizontal="right" vertical="center" wrapText="1"/>
    </xf>
    <xf numFmtId="43" fontId="66" fillId="3" borderId="251" xfId="9" applyFont="1" applyFill="1" applyBorder="1" applyAlignment="1" applyProtection="1">
      <alignment horizontal="center" vertical="center" wrapText="1"/>
    </xf>
    <xf numFmtId="43" fontId="66" fillId="3" borderId="251" xfId="9" applyFont="1" applyFill="1" applyBorder="1" applyAlignment="1" applyProtection="1">
      <alignment horizontal="right" vertical="center" wrapText="1"/>
    </xf>
    <xf numFmtId="43" fontId="27" fillId="2" borderId="17" xfId="9" applyFont="1" applyFill="1" applyBorder="1" applyAlignment="1" applyProtection="1">
      <alignment horizontal="center" vertical="center" wrapText="1"/>
    </xf>
    <xf numFmtId="43" fontId="27" fillId="2" borderId="17" xfId="9" applyFont="1" applyFill="1" applyBorder="1" applyAlignment="1" applyProtection="1">
      <alignment horizontal="right" vertical="center" wrapText="1"/>
    </xf>
    <xf numFmtId="43" fontId="66" fillId="3" borderId="13" xfId="9" applyFont="1" applyFill="1" applyBorder="1" applyAlignment="1" applyProtection="1">
      <alignment horizontal="center" vertical="center" wrapText="1"/>
    </xf>
    <xf numFmtId="43" fontId="66" fillId="3" borderId="13" xfId="9" applyFont="1" applyFill="1" applyBorder="1" applyAlignment="1" applyProtection="1">
      <alignment horizontal="right" vertical="center" wrapText="1"/>
    </xf>
    <xf numFmtId="43" fontId="66" fillId="3" borderId="253" xfId="9" applyFont="1" applyFill="1" applyBorder="1" applyAlignment="1" applyProtection="1">
      <alignment horizontal="center" vertical="center" wrapText="1"/>
    </xf>
    <xf numFmtId="43" fontId="66" fillId="3" borderId="253" xfId="9" applyFont="1" applyFill="1" applyBorder="1" applyAlignment="1" applyProtection="1">
      <alignment horizontal="right" vertical="center" wrapText="1"/>
    </xf>
    <xf numFmtId="43" fontId="65" fillId="33" borderId="17" xfId="9" applyFont="1" applyFill="1" applyBorder="1" applyAlignment="1" applyProtection="1">
      <alignment horizontal="center" vertical="center" wrapText="1"/>
    </xf>
    <xf numFmtId="43" fontId="65" fillId="33" borderId="17" xfId="9" applyFont="1" applyFill="1" applyBorder="1" applyAlignment="1" applyProtection="1">
      <alignment horizontal="right" vertical="center" wrapText="1"/>
    </xf>
    <xf numFmtId="43" fontId="66" fillId="3" borderId="23" xfId="9" applyFont="1" applyFill="1" applyBorder="1" applyAlignment="1" applyProtection="1">
      <alignment horizontal="center" vertical="center" wrapText="1"/>
    </xf>
    <xf numFmtId="43" fontId="66" fillId="3" borderId="23" xfId="9" applyFont="1" applyFill="1" applyBorder="1" applyAlignment="1" applyProtection="1">
      <alignment horizontal="right" vertical="center" wrapText="1"/>
    </xf>
    <xf numFmtId="43" fontId="25" fillId="3" borderId="13" xfId="9" applyFont="1" applyFill="1" applyBorder="1" applyAlignment="1">
      <alignment horizontal="center" vertical="center" wrapText="1"/>
    </xf>
    <xf numFmtId="43" fontId="25" fillId="3" borderId="13" xfId="9" applyFont="1" applyFill="1" applyBorder="1" applyAlignment="1">
      <alignment horizontal="right" vertical="center" wrapText="1"/>
    </xf>
    <xf numFmtId="43" fontId="25" fillId="3" borderId="230" xfId="9" applyFont="1" applyFill="1" applyBorder="1" applyAlignment="1">
      <alignment horizontal="center" vertical="center" wrapText="1"/>
    </xf>
    <xf numFmtId="43" fontId="66" fillId="3" borderId="230" xfId="9" applyFont="1" applyFill="1" applyBorder="1" applyAlignment="1" applyProtection="1">
      <alignment horizontal="center" vertical="center" wrapText="1"/>
    </xf>
    <xf numFmtId="43" fontId="25" fillId="0" borderId="13" xfId="9" applyFont="1" applyFill="1" applyBorder="1" applyAlignment="1">
      <alignment horizontal="center" vertical="center" wrapText="1"/>
    </xf>
    <xf numFmtId="43" fontId="25" fillId="0" borderId="13" xfId="9" applyFont="1" applyFill="1" applyBorder="1" applyAlignment="1">
      <alignment horizontal="right" vertical="center" wrapText="1"/>
    </xf>
    <xf numFmtId="43" fontId="25" fillId="0" borderId="230" xfId="9" applyFont="1" applyFill="1" applyBorder="1" applyAlignment="1">
      <alignment horizontal="center" vertical="center" wrapText="1"/>
    </xf>
    <xf numFmtId="43" fontId="25" fillId="0" borderId="230" xfId="9" applyFont="1" applyFill="1" applyBorder="1" applyAlignment="1">
      <alignment horizontal="right" vertical="center" wrapText="1"/>
    </xf>
    <xf numFmtId="43" fontId="27" fillId="7" borderId="185" xfId="9" applyFont="1" applyFill="1" applyBorder="1" applyAlignment="1">
      <alignment horizontal="right" vertical="center" wrapText="1"/>
    </xf>
    <xf numFmtId="43" fontId="3" fillId="0" borderId="0" xfId="0" applyNumberFormat="1" applyFont="1" applyAlignment="1">
      <alignment horizontal="center" vertical="center"/>
    </xf>
    <xf numFmtId="0" fontId="25" fillId="0" borderId="0" xfId="11" applyFont="1" applyAlignment="1">
      <alignment vertical="center" wrapText="1"/>
    </xf>
    <xf numFmtId="0" fontId="52" fillId="0" borderId="0" xfId="11" applyFont="1" applyAlignment="1">
      <alignment horizontal="left" vertical="center"/>
    </xf>
    <xf numFmtId="14" fontId="52" fillId="0" borderId="0" xfId="11" applyNumberFormat="1" applyFont="1" applyAlignment="1">
      <alignment horizontal="left" vertical="center"/>
    </xf>
    <xf numFmtId="169" fontId="52" fillId="0" borderId="0" xfId="11" applyNumberFormat="1" applyFont="1" applyAlignment="1">
      <alignment horizontal="left" vertical="center" wrapText="1"/>
    </xf>
    <xf numFmtId="44" fontId="52" fillId="3" borderId="0" xfId="13" applyFont="1" applyFill="1" applyBorder="1" applyAlignment="1">
      <alignment vertical="center" wrapText="1"/>
    </xf>
    <xf numFmtId="0" fontId="25" fillId="0" borderId="0" xfId="11" applyFont="1" applyAlignment="1">
      <alignment horizontal="center" vertical="center" wrapText="1"/>
    </xf>
    <xf numFmtId="0" fontId="27" fillId="7" borderId="183" xfId="11" applyFont="1" applyFill="1" applyBorder="1" applyAlignment="1">
      <alignment horizontal="center" vertical="center" wrapText="1"/>
    </xf>
    <xf numFmtId="0" fontId="27" fillId="7" borderId="184" xfId="11" applyFont="1" applyFill="1" applyBorder="1" applyAlignment="1">
      <alignment horizontal="center" vertical="center" wrapText="1"/>
    </xf>
    <xf numFmtId="43" fontId="27" fillId="7" borderId="228" xfId="9" applyFont="1" applyFill="1" applyBorder="1" applyAlignment="1">
      <alignment horizontal="center" vertical="center" wrapText="1"/>
    </xf>
    <xf numFmtId="0" fontId="27" fillId="2" borderId="14" xfId="11" applyFont="1" applyFill="1" applyBorder="1" applyAlignment="1">
      <alignment horizontal="center" vertical="center" wrapText="1"/>
    </xf>
    <xf numFmtId="0" fontId="27" fillId="2" borderId="20" xfId="11" applyFont="1" applyFill="1" applyBorder="1" applyAlignment="1">
      <alignment horizontal="left" vertical="center" wrapText="1"/>
    </xf>
    <xf numFmtId="43" fontId="27" fillId="2" borderId="8" xfId="9" applyFont="1" applyFill="1" applyBorder="1" applyAlignment="1" applyProtection="1">
      <alignment horizontal="right" vertical="center" wrapText="1"/>
    </xf>
    <xf numFmtId="43" fontId="27" fillId="2" borderId="254" xfId="9" applyFont="1" applyFill="1" applyBorder="1" applyAlignment="1" applyProtection="1">
      <alignment horizontal="right" vertical="center" wrapText="1"/>
    </xf>
    <xf numFmtId="0" fontId="65" fillId="33" borderId="14" xfId="11" applyFont="1" applyFill="1" applyBorder="1" applyAlignment="1">
      <alignment horizontal="center" vertical="center" wrapText="1"/>
    </xf>
    <xf numFmtId="0" fontId="65" fillId="33" borderId="20" xfId="11" applyFont="1" applyFill="1" applyBorder="1" applyAlignment="1">
      <alignment horizontal="left" vertical="center" wrapText="1"/>
    </xf>
    <xf numFmtId="43" fontId="65" fillId="33" borderId="8" xfId="9" applyFont="1" applyFill="1" applyBorder="1" applyAlignment="1" applyProtection="1">
      <alignment horizontal="right" vertical="center" wrapText="1"/>
    </xf>
    <xf numFmtId="43" fontId="65" fillId="33" borderId="254" xfId="9" applyFont="1" applyFill="1" applyBorder="1" applyAlignment="1" applyProtection="1">
      <alignment horizontal="right" vertical="center" wrapText="1"/>
    </xf>
    <xf numFmtId="0" fontId="25" fillId="3" borderId="249" xfId="11" applyFont="1" applyFill="1" applyBorder="1" applyAlignment="1">
      <alignment horizontal="center" vertical="center" wrapText="1"/>
    </xf>
    <xf numFmtId="0" fontId="66" fillId="3" borderId="250" xfId="11" applyFont="1" applyFill="1" applyBorder="1" applyAlignment="1">
      <alignment horizontal="left" vertical="center" wrapText="1"/>
    </xf>
    <xf numFmtId="43" fontId="66" fillId="3" borderId="238" xfId="9" applyFont="1" applyFill="1" applyBorder="1" applyAlignment="1" applyProtection="1">
      <alignment horizontal="left" vertical="center" wrapText="1"/>
    </xf>
    <xf numFmtId="43" fontId="66" fillId="3" borderId="232" xfId="9" applyFont="1" applyFill="1" applyBorder="1" applyAlignment="1" applyProtection="1">
      <alignment horizontal="left" vertical="center" wrapText="1"/>
    </xf>
    <xf numFmtId="0" fontId="27" fillId="2" borderId="15" xfId="11" applyFont="1" applyFill="1" applyBorder="1" applyAlignment="1">
      <alignment horizontal="center" vertical="center" wrapText="1"/>
    </xf>
    <xf numFmtId="0" fontId="27" fillId="2" borderId="1" xfId="11" applyFont="1" applyFill="1" applyBorder="1" applyAlignment="1">
      <alignment horizontal="left" vertical="center" wrapText="1"/>
    </xf>
    <xf numFmtId="43" fontId="66" fillId="3" borderId="255" xfId="9" applyFont="1" applyFill="1" applyBorder="1" applyAlignment="1" applyProtection="1">
      <alignment horizontal="left" vertical="center" wrapText="1"/>
    </xf>
    <xf numFmtId="0" fontId="66" fillId="3" borderId="5" xfId="11" applyFont="1" applyFill="1" applyBorder="1" applyAlignment="1">
      <alignment horizontal="left" vertical="center" wrapText="1"/>
    </xf>
    <xf numFmtId="43" fontId="66" fillId="3" borderId="238" xfId="9" applyFont="1" applyFill="1" applyBorder="1" applyAlignment="1" applyProtection="1">
      <alignment horizontal="center" vertical="center" wrapText="1"/>
    </xf>
    <xf numFmtId="43" fontId="66" fillId="3" borderId="238" xfId="9" applyFont="1" applyFill="1" applyBorder="1" applyAlignment="1" applyProtection="1">
      <alignment horizontal="center" vertical="center"/>
    </xf>
    <xf numFmtId="0" fontId="66" fillId="3" borderId="252" xfId="11" applyFont="1" applyFill="1" applyBorder="1" applyAlignment="1">
      <alignment horizontal="left" vertical="center" wrapText="1"/>
    </xf>
    <xf numFmtId="43" fontId="66" fillId="3" borderId="256" xfId="9" applyFont="1" applyFill="1" applyBorder="1" applyAlignment="1" applyProtection="1">
      <alignment horizontal="center" vertical="center" wrapText="1"/>
    </xf>
    <xf numFmtId="43" fontId="66" fillId="3" borderId="256" xfId="9" applyFont="1" applyFill="1" applyBorder="1" applyAlignment="1" applyProtection="1">
      <alignment horizontal="left" vertical="center" wrapText="1"/>
    </xf>
    <xf numFmtId="0" fontId="65" fillId="33" borderId="15" xfId="11" applyFont="1" applyFill="1" applyBorder="1" applyAlignment="1">
      <alignment horizontal="center" vertical="center" wrapText="1"/>
    </xf>
    <xf numFmtId="0" fontId="65" fillId="33" borderId="1" xfId="11" applyFont="1" applyFill="1" applyBorder="1" applyAlignment="1">
      <alignment horizontal="left" vertical="center" wrapText="1"/>
    </xf>
    <xf numFmtId="0" fontId="25" fillId="3" borderId="22" xfId="11" applyFont="1" applyFill="1" applyBorder="1" applyAlignment="1">
      <alignment horizontal="center" vertical="center" wrapText="1"/>
    </xf>
    <xf numFmtId="0" fontId="66" fillId="3" borderId="4" xfId="11" applyFont="1" applyFill="1" applyBorder="1" applyAlignment="1">
      <alignment horizontal="left" vertical="center" wrapText="1"/>
    </xf>
    <xf numFmtId="0" fontId="25" fillId="3" borderId="24" xfId="11" applyFont="1" applyFill="1" applyBorder="1" applyAlignment="1">
      <alignment horizontal="center" vertical="center" wrapText="1"/>
    </xf>
    <xf numFmtId="43" fontId="65" fillId="33" borderId="2" xfId="9" applyFont="1" applyFill="1" applyBorder="1" applyAlignment="1" applyProtection="1">
      <alignment horizontal="right" vertical="center" wrapText="1"/>
    </xf>
    <xf numFmtId="0" fontId="66" fillId="3" borderId="24" xfId="11" applyFont="1" applyFill="1" applyBorder="1" applyAlignment="1">
      <alignment horizontal="center" vertical="center" wrapText="1"/>
    </xf>
    <xf numFmtId="43" fontId="27" fillId="2" borderId="2" xfId="9" applyFont="1" applyFill="1" applyBorder="1" applyAlignment="1" applyProtection="1">
      <alignment horizontal="right" vertical="center" wrapText="1"/>
    </xf>
    <xf numFmtId="43" fontId="66" fillId="3" borderId="238" xfId="9" applyFont="1" applyFill="1" applyBorder="1" applyAlignment="1" applyProtection="1">
      <alignment horizontal="right" vertical="center" wrapText="1"/>
    </xf>
    <xf numFmtId="43" fontId="66" fillId="3" borderId="255" xfId="9" applyFont="1" applyFill="1" applyBorder="1" applyAlignment="1" applyProtection="1">
      <alignment horizontal="right" vertical="center" wrapText="1"/>
    </xf>
    <xf numFmtId="0" fontId="66" fillId="3" borderId="233" xfId="11" applyFont="1" applyFill="1" applyBorder="1" applyAlignment="1">
      <alignment horizontal="left" vertical="center" wrapText="1"/>
    </xf>
    <xf numFmtId="43" fontId="66" fillId="3" borderId="232" xfId="9" applyFont="1" applyFill="1" applyBorder="1" applyAlignment="1" applyProtection="1">
      <alignment horizontal="right" vertical="center" wrapText="1"/>
    </xf>
    <xf numFmtId="43" fontId="25" fillId="3" borderId="238" xfId="9" applyFont="1" applyFill="1" applyBorder="1" applyAlignment="1">
      <alignment horizontal="left" vertical="center" wrapText="1"/>
    </xf>
    <xf numFmtId="43" fontId="25" fillId="3" borderId="255" xfId="9" applyFont="1" applyFill="1" applyBorder="1" applyAlignment="1">
      <alignment horizontal="left" vertical="center" wrapText="1"/>
    </xf>
    <xf numFmtId="43" fontId="25" fillId="3" borderId="232" xfId="9" applyFont="1" applyFill="1" applyBorder="1" applyAlignment="1">
      <alignment horizontal="left" vertical="center" wrapText="1"/>
    </xf>
    <xf numFmtId="43" fontId="65" fillId="33" borderId="2" xfId="9" applyFont="1" applyFill="1" applyBorder="1" applyAlignment="1" applyProtection="1">
      <alignment horizontal="left" vertical="center" wrapText="1"/>
    </xf>
    <xf numFmtId="43" fontId="25" fillId="3" borderId="256" xfId="9" applyFont="1" applyFill="1" applyBorder="1" applyAlignment="1">
      <alignment horizontal="left" vertical="center" wrapText="1"/>
    </xf>
    <xf numFmtId="0" fontId="25" fillId="3" borderId="5" xfId="11" applyFont="1" applyFill="1" applyBorder="1" applyAlignment="1">
      <alignment vertical="center" wrapText="1"/>
    </xf>
    <xf numFmtId="43" fontId="27" fillId="2" borderId="2" xfId="9" applyFont="1" applyFill="1" applyBorder="1" applyAlignment="1" applyProtection="1">
      <alignment horizontal="left" vertical="center" wrapText="1"/>
    </xf>
    <xf numFmtId="0" fontId="25" fillId="34" borderId="24" xfId="11" applyFont="1" applyFill="1" applyBorder="1" applyAlignment="1">
      <alignment horizontal="center" vertical="center" wrapText="1"/>
    </xf>
    <xf numFmtId="0" fontId="66" fillId="34" borderId="5" xfId="11" applyFont="1" applyFill="1" applyBorder="1" applyAlignment="1">
      <alignment horizontal="left" vertical="center" wrapText="1"/>
    </xf>
    <xf numFmtId="43" fontId="66" fillId="34" borderId="13" xfId="9" applyFont="1" applyFill="1" applyBorder="1" applyAlignment="1" applyProtection="1">
      <alignment horizontal="center" vertical="center" wrapText="1"/>
    </xf>
    <xf numFmtId="43" fontId="66" fillId="34" borderId="13" xfId="9" applyFont="1" applyFill="1" applyBorder="1" applyAlignment="1" applyProtection="1">
      <alignment horizontal="right" vertical="center" wrapText="1"/>
    </xf>
    <xf numFmtId="43" fontId="66" fillId="34" borderId="251" xfId="9" applyFont="1" applyFill="1" applyBorder="1" applyAlignment="1" applyProtection="1">
      <alignment horizontal="right" vertical="center" wrapText="1"/>
    </xf>
    <xf numFmtId="43" fontId="25" fillId="3" borderId="238" xfId="9" applyFont="1" applyFill="1" applyBorder="1" applyAlignment="1">
      <alignment horizontal="right" vertical="center" wrapText="1"/>
    </xf>
    <xf numFmtId="43" fontId="25" fillId="3" borderId="256" xfId="9" applyFont="1" applyFill="1" applyBorder="1" applyAlignment="1">
      <alignment horizontal="right" vertical="center" wrapText="1"/>
    </xf>
    <xf numFmtId="43" fontId="25" fillId="3" borderId="255" xfId="9" applyFont="1" applyFill="1" applyBorder="1" applyAlignment="1">
      <alignment horizontal="right" vertical="center" wrapText="1"/>
    </xf>
    <xf numFmtId="0" fontId="25" fillId="34" borderId="5" xfId="11" applyFont="1" applyFill="1" applyBorder="1" applyAlignment="1">
      <alignment vertical="center" wrapText="1"/>
    </xf>
    <xf numFmtId="43" fontId="25" fillId="34" borderId="13" xfId="9" applyFont="1" applyFill="1" applyBorder="1" applyAlignment="1">
      <alignment horizontal="center" vertical="center" wrapText="1"/>
    </xf>
    <xf numFmtId="43" fontId="25" fillId="34" borderId="13" xfId="9" applyFont="1" applyFill="1" applyBorder="1" applyAlignment="1">
      <alignment horizontal="right" vertical="center" wrapText="1"/>
    </xf>
    <xf numFmtId="43" fontId="25" fillId="34" borderId="238" xfId="9" applyFont="1" applyFill="1" applyBorder="1" applyAlignment="1">
      <alignment horizontal="left" vertical="center" wrapText="1"/>
    </xf>
    <xf numFmtId="43" fontId="25" fillId="0" borderId="255" xfId="9" applyFont="1" applyFill="1" applyBorder="1" applyAlignment="1">
      <alignment horizontal="left" vertical="center" wrapText="1"/>
    </xf>
    <xf numFmtId="0" fontId="25" fillId="3" borderId="233" xfId="11" applyFont="1" applyFill="1" applyBorder="1" applyAlignment="1">
      <alignment vertical="center" wrapText="1"/>
    </xf>
    <xf numFmtId="43" fontId="25" fillId="0" borderId="232" xfId="9" applyFont="1" applyFill="1" applyBorder="1" applyAlignment="1">
      <alignment horizontal="left" vertical="center" wrapText="1"/>
    </xf>
    <xf numFmtId="43" fontId="25" fillId="0" borderId="238" xfId="9" applyFont="1" applyFill="1" applyBorder="1" applyAlignment="1">
      <alignment horizontal="right" vertical="center" wrapText="1"/>
    </xf>
    <xf numFmtId="43" fontId="25" fillId="0" borderId="232" xfId="9" applyFont="1" applyFill="1" applyBorder="1" applyAlignment="1">
      <alignment horizontal="right" vertical="center" wrapText="1"/>
    </xf>
    <xf numFmtId="43" fontId="25" fillId="0" borderId="255" xfId="9" applyFont="1" applyFill="1" applyBorder="1" applyAlignment="1">
      <alignment horizontal="right" vertical="center" wrapText="1"/>
    </xf>
    <xf numFmtId="43" fontId="25" fillId="0" borderId="238" xfId="9" applyFont="1" applyFill="1" applyBorder="1" applyAlignment="1">
      <alignment horizontal="left" vertical="center" wrapText="1"/>
    </xf>
    <xf numFmtId="43" fontId="25" fillId="0" borderId="256" xfId="9" applyFont="1" applyFill="1" applyBorder="1" applyAlignment="1">
      <alignment horizontal="left" vertical="center" wrapText="1"/>
    </xf>
    <xf numFmtId="43" fontId="27" fillId="7" borderId="258" xfId="9" applyFont="1" applyFill="1" applyBorder="1" applyAlignment="1">
      <alignment horizontal="right" vertical="center" wrapText="1"/>
    </xf>
    <xf numFmtId="170" fontId="25" fillId="0" borderId="0" xfId="9" applyNumberFormat="1" applyFont="1" applyAlignment="1">
      <alignment horizontal="center" vertical="center" wrapText="1"/>
    </xf>
    <xf numFmtId="9" fontId="25" fillId="0" borderId="0" xfId="14" applyFont="1" applyAlignment="1">
      <alignment horizontal="center" vertical="center" wrapText="1"/>
    </xf>
    <xf numFmtId="4" fontId="25" fillId="0" borderId="0" xfId="11" applyNumberFormat="1" applyFont="1" applyAlignment="1">
      <alignment vertical="center" wrapText="1"/>
    </xf>
    <xf numFmtId="4" fontId="25" fillId="0" borderId="0" xfId="2" applyNumberFormat="1" applyFont="1" applyAlignment="1">
      <alignment vertical="center" wrapText="1"/>
    </xf>
    <xf numFmtId="43" fontId="3" fillId="35" borderId="0" xfId="1" applyFont="1" applyFill="1" applyAlignment="1">
      <alignment horizontal="center" vertical="center"/>
    </xf>
    <xf numFmtId="43" fontId="3" fillId="35" borderId="0" xfId="1" applyFont="1" applyFill="1" applyAlignment="1">
      <alignment vertical="center"/>
    </xf>
    <xf numFmtId="0" fontId="3" fillId="36" borderId="0" xfId="0" applyFont="1" applyFill="1" applyAlignment="1">
      <alignment vertical="center"/>
    </xf>
    <xf numFmtId="43" fontId="32" fillId="0" borderId="60" xfId="1" applyFont="1" applyFill="1" applyBorder="1" applyAlignment="1">
      <alignment horizontal="center" vertical="center" wrapText="1"/>
    </xf>
    <xf numFmtId="0" fontId="32" fillId="0" borderId="62" xfId="0" applyFont="1" applyBorder="1" applyAlignment="1">
      <alignment horizontal="center" vertical="center"/>
    </xf>
    <xf numFmtId="0" fontId="32" fillId="0" borderId="63" xfId="0" applyFont="1" applyBorder="1" applyAlignment="1">
      <alignment horizontal="center" vertical="center" wrapText="1"/>
    </xf>
    <xf numFmtId="43" fontId="3" fillId="0" borderId="61" xfId="1" applyFont="1" applyFill="1" applyBorder="1" applyAlignment="1">
      <alignment horizontal="center" vertical="center" wrapText="1"/>
    </xf>
    <xf numFmtId="0" fontId="3" fillId="0" borderId="62" xfId="0" applyFont="1" applyBorder="1" applyAlignment="1">
      <alignment horizontal="center" vertical="center" wrapText="1"/>
    </xf>
    <xf numFmtId="43" fontId="3" fillId="0" borderId="64" xfId="1" applyFont="1" applyFill="1" applyBorder="1" applyAlignment="1">
      <alignment horizontal="center" vertical="center"/>
    </xf>
    <xf numFmtId="0" fontId="31" fillId="0" borderId="259" xfId="0" applyFont="1" applyBorder="1"/>
    <xf numFmtId="14" fontId="31" fillId="0" borderId="145" xfId="0" applyNumberFormat="1" applyFont="1" applyBorder="1" applyAlignment="1">
      <alignment horizontal="left"/>
    </xf>
    <xf numFmtId="167" fontId="31" fillId="14" borderId="90" xfId="0" applyNumberFormat="1" applyFont="1" applyFill="1" applyBorder="1" applyAlignment="1">
      <alignment horizontal="center" vertical="center"/>
    </xf>
    <xf numFmtId="167" fontId="31" fillId="14" borderId="39" xfId="0" applyNumberFormat="1" applyFont="1" applyFill="1" applyBorder="1" applyAlignment="1">
      <alignment horizontal="center" vertical="center"/>
    </xf>
    <xf numFmtId="167" fontId="31" fillId="14" borderId="146" xfId="0" applyNumberFormat="1" applyFont="1" applyFill="1" applyBorder="1" applyAlignment="1">
      <alignment horizontal="center" vertical="center"/>
    </xf>
    <xf numFmtId="167" fontId="31" fillId="14" borderId="0" xfId="0" applyNumberFormat="1" applyFont="1" applyFill="1" applyAlignment="1">
      <alignment horizontal="center" vertical="center"/>
    </xf>
    <xf numFmtId="167" fontId="31" fillId="10" borderId="145" xfId="0" applyNumberFormat="1" applyFont="1" applyFill="1" applyBorder="1" applyAlignment="1">
      <alignment horizontal="center" vertical="center"/>
    </xf>
    <xf numFmtId="167" fontId="31" fillId="10" borderId="177" xfId="0" applyNumberFormat="1" applyFont="1" applyFill="1" applyBorder="1" applyAlignment="1">
      <alignment horizontal="center" vertical="center"/>
    </xf>
    <xf numFmtId="167" fontId="31" fillId="10" borderId="132" xfId="0" applyNumberFormat="1" applyFont="1" applyFill="1" applyBorder="1" applyAlignment="1">
      <alignment horizontal="center" vertical="center"/>
    </xf>
    <xf numFmtId="167" fontId="31" fillId="0" borderId="0" xfId="0" applyNumberFormat="1" applyFont="1" applyAlignment="1">
      <alignment horizontal="center" vertical="center"/>
    </xf>
    <xf numFmtId="167" fontId="31" fillId="0" borderId="108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1" fillId="14" borderId="96" xfId="0" applyFont="1" applyFill="1" applyBorder="1" applyAlignment="1">
      <alignment vertical="center"/>
    </xf>
    <xf numFmtId="0" fontId="31" fillId="14" borderId="0" xfId="0" applyFont="1" applyFill="1" applyAlignment="1">
      <alignment vertical="center"/>
    </xf>
    <xf numFmtId="0" fontId="31" fillId="14" borderId="97" xfId="0" applyFont="1" applyFill="1" applyBorder="1" applyAlignment="1">
      <alignment vertical="center"/>
    </xf>
    <xf numFmtId="167" fontId="5" fillId="17" borderId="89" xfId="0" applyNumberFormat="1" applyFont="1" applyFill="1" applyBorder="1" applyAlignment="1">
      <alignment horizontal="center" vertical="center"/>
    </xf>
    <xf numFmtId="167" fontId="31" fillId="0" borderId="135" xfId="0" applyNumberFormat="1" applyFont="1" applyBorder="1"/>
    <xf numFmtId="167" fontId="31" fillId="0" borderId="132" xfId="0" applyNumberFormat="1" applyFont="1" applyBorder="1"/>
    <xf numFmtId="0" fontId="67" fillId="14" borderId="0" xfId="0" applyFont="1" applyFill="1"/>
    <xf numFmtId="167" fontId="31" fillId="10" borderId="210" xfId="0" applyNumberFormat="1" applyFont="1" applyFill="1" applyBorder="1"/>
    <xf numFmtId="167" fontId="31" fillId="0" borderId="209" xfId="0" applyNumberFormat="1" applyFont="1" applyBorder="1"/>
    <xf numFmtId="0" fontId="5" fillId="17" borderId="212" xfId="0" applyFont="1" applyFill="1" applyBorder="1" applyAlignment="1">
      <alignment horizontal="center" vertical="center"/>
    </xf>
    <xf numFmtId="0" fontId="31" fillId="0" borderId="213" xfId="0" applyFont="1" applyBorder="1"/>
    <xf numFmtId="167" fontId="31" fillId="35" borderId="0" xfId="0" applyNumberFormat="1" applyFont="1" applyFill="1"/>
    <xf numFmtId="0" fontId="31" fillId="37" borderId="0" xfId="0" applyFont="1" applyFill="1"/>
    <xf numFmtId="0" fontId="56" fillId="14" borderId="96" xfId="0" applyFont="1" applyFill="1" applyBorder="1"/>
    <xf numFmtId="0" fontId="56" fillId="14" borderId="0" xfId="0" applyFont="1" applyFill="1"/>
    <xf numFmtId="0" fontId="16" fillId="14" borderId="146" xfId="0" applyFont="1" applyFill="1" applyBorder="1" applyAlignment="1">
      <alignment horizontal="left" vertical="center" wrapText="1"/>
    </xf>
    <xf numFmtId="0" fontId="5" fillId="17" borderId="89" xfId="0" applyFont="1" applyFill="1" applyBorder="1" applyAlignment="1">
      <alignment horizontal="center" vertical="center"/>
    </xf>
    <xf numFmtId="4" fontId="31" fillId="10" borderId="135" xfId="0" applyNumberFormat="1" applyFont="1" applyFill="1" applyBorder="1"/>
    <xf numFmtId="4" fontId="31" fillId="10" borderId="132" xfId="0" applyNumberFormat="1" applyFont="1" applyFill="1" applyBorder="1"/>
    <xf numFmtId="4" fontId="31" fillId="10" borderId="105" xfId="0" applyNumberFormat="1" applyFont="1" applyFill="1" applyBorder="1"/>
    <xf numFmtId="4" fontId="56" fillId="10" borderId="132" xfId="0" applyNumberFormat="1" applyFont="1" applyFill="1" applyBorder="1"/>
    <xf numFmtId="4" fontId="56" fillId="10" borderId="105" xfId="0" applyNumberFormat="1" applyFont="1" applyFill="1" applyBorder="1"/>
    <xf numFmtId="4" fontId="31" fillId="14" borderId="0" xfId="0" applyNumberFormat="1" applyFont="1" applyFill="1"/>
    <xf numFmtId="0" fontId="5" fillId="17" borderId="202" xfId="0" applyFont="1" applyFill="1" applyBorder="1" applyAlignment="1">
      <alignment horizontal="center" vertical="center"/>
    </xf>
    <xf numFmtId="0" fontId="31" fillId="10" borderId="260" xfId="0" applyFont="1" applyFill="1" applyBorder="1"/>
    <xf numFmtId="4" fontId="31" fillId="10" borderId="204" xfId="0" applyNumberFormat="1" applyFont="1" applyFill="1" applyBorder="1"/>
    <xf numFmtId="0" fontId="31" fillId="10" borderId="215" xfId="0" applyFont="1" applyFill="1" applyBorder="1"/>
    <xf numFmtId="4" fontId="31" fillId="10" borderId="206" xfId="0" applyNumberFormat="1" applyFont="1" applyFill="1" applyBorder="1"/>
    <xf numFmtId="0" fontId="31" fillId="10" borderId="216" xfId="0" applyFont="1" applyFill="1" applyBorder="1"/>
    <xf numFmtId="4" fontId="31" fillId="10" borderId="209" xfId="0" applyNumberFormat="1" applyFont="1" applyFill="1" applyBorder="1"/>
    <xf numFmtId="4" fontId="31" fillId="10" borderId="211" xfId="0" applyNumberFormat="1" applyFont="1" applyFill="1" applyBorder="1"/>
    <xf numFmtId="4" fontId="31" fillId="10" borderId="101" xfId="0" applyNumberFormat="1" applyFont="1" applyFill="1" applyBorder="1"/>
    <xf numFmtId="4" fontId="31" fillId="10" borderId="104" xfId="0" applyNumberFormat="1" applyFont="1" applyFill="1" applyBorder="1"/>
    <xf numFmtId="4" fontId="31" fillId="10" borderId="210" xfId="0" applyNumberFormat="1" applyFont="1" applyFill="1" applyBorder="1"/>
    <xf numFmtId="0" fontId="40" fillId="10" borderId="176" xfId="0" applyFont="1" applyFill="1" applyBorder="1"/>
    <xf numFmtId="0" fontId="40" fillId="10" borderId="177" xfId="0" applyFont="1" applyFill="1" applyBorder="1"/>
    <xf numFmtId="167" fontId="40" fillId="10" borderId="177" xfId="0" applyNumberFormat="1" applyFont="1" applyFill="1" applyBorder="1" applyAlignment="1">
      <alignment horizontal="center" vertical="center"/>
    </xf>
    <xf numFmtId="167" fontId="40" fillId="0" borderId="104" xfId="0" applyNumberFormat="1" applyFont="1" applyBorder="1"/>
    <xf numFmtId="167" fontId="40" fillId="0" borderId="132" xfId="0" applyNumberFormat="1" applyFont="1" applyBorder="1"/>
    <xf numFmtId="167" fontId="40" fillId="0" borderId="105" xfId="0" applyNumberFormat="1" applyFont="1" applyBorder="1"/>
    <xf numFmtId="43" fontId="16" fillId="0" borderId="184" xfId="0" applyNumberFormat="1" applyFont="1" applyBorder="1" applyAlignment="1">
      <alignment vertical="center"/>
    </xf>
    <xf numFmtId="2" fontId="16" fillId="0" borderId="0" xfId="0" applyNumberFormat="1" applyFont="1" applyAlignment="1">
      <alignment vertical="center"/>
    </xf>
    <xf numFmtId="0" fontId="16" fillId="38" borderId="0" xfId="0" applyFont="1" applyFill="1" applyAlignment="1">
      <alignment vertical="center"/>
    </xf>
    <xf numFmtId="2" fontId="16" fillId="38" borderId="0" xfId="0" applyNumberFormat="1" applyFont="1" applyFill="1" applyAlignment="1">
      <alignment vertical="center"/>
    </xf>
    <xf numFmtId="0" fontId="31" fillId="10" borderId="116" xfId="0" applyFont="1" applyFill="1" applyBorder="1"/>
    <xf numFmtId="169" fontId="3" fillId="0" borderId="0" xfId="0" applyNumberFormat="1" applyFont="1" applyAlignment="1">
      <alignment vertical="center"/>
    </xf>
    <xf numFmtId="0" fontId="3" fillId="0" borderId="232" xfId="0" applyFont="1" applyBorder="1" applyAlignment="1">
      <alignment horizontal="left" vertical="center" wrapText="1"/>
    </xf>
    <xf numFmtId="2" fontId="3" fillId="0" borderId="261" xfId="1" applyNumberFormat="1" applyFont="1" applyBorder="1" applyAlignment="1">
      <alignment horizontal="center" vertical="center" wrapText="1"/>
    </xf>
    <xf numFmtId="43" fontId="3" fillId="0" borderId="261" xfId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8" fillId="0" borderId="48" xfId="0" applyFont="1" applyBorder="1" applyAlignment="1">
      <alignment vertical="center"/>
    </xf>
    <xf numFmtId="0" fontId="69" fillId="0" borderId="0" xfId="0" applyFont="1" applyAlignment="1">
      <alignment vertical="center"/>
    </xf>
    <xf numFmtId="0" fontId="64" fillId="0" borderId="24" xfId="0" applyFont="1" applyBorder="1" applyAlignment="1">
      <alignment vertical="center" wrapText="1"/>
    </xf>
    <xf numFmtId="43" fontId="64" fillId="0" borderId="5" xfId="1" applyFont="1" applyFill="1" applyBorder="1" applyAlignment="1">
      <alignment horizontal="center" vertical="center" wrapText="1"/>
    </xf>
    <xf numFmtId="0" fontId="21" fillId="17" borderId="3" xfId="0" applyFont="1" applyFill="1" applyBorder="1" applyAlignment="1">
      <alignment horizontal="center" vertical="center"/>
    </xf>
    <xf numFmtId="0" fontId="10" fillId="29" borderId="1" xfId="0" applyFont="1" applyFill="1" applyBorder="1" applyAlignment="1">
      <alignment vertical="center" wrapText="1"/>
    </xf>
    <xf numFmtId="44" fontId="10" fillId="29" borderId="1" xfId="10" applyFont="1" applyFill="1" applyBorder="1" applyAlignment="1">
      <alignment horizontal="center" vertical="center"/>
    </xf>
    <xf numFmtId="43" fontId="10" fillId="29" borderId="10" xfId="1" applyFont="1" applyFill="1" applyBorder="1" applyAlignment="1">
      <alignment vertical="center" wrapText="1"/>
    </xf>
    <xf numFmtId="0" fontId="40" fillId="14" borderId="96" xfId="0" applyFont="1" applyFill="1" applyBorder="1"/>
    <xf numFmtId="0" fontId="40" fillId="10" borderId="205" xfId="0" applyFont="1" applyFill="1" applyBorder="1"/>
    <xf numFmtId="0" fontId="40" fillId="10" borderId="197" xfId="0" applyFont="1" applyFill="1" applyBorder="1"/>
    <xf numFmtId="43" fontId="10" fillId="0" borderId="1" xfId="1" applyFont="1" applyFill="1" applyBorder="1" applyAlignment="1">
      <alignment vertical="center" wrapText="1"/>
    </xf>
    <xf numFmtId="44" fontId="10" fillId="0" borderId="1" xfId="10" applyFont="1" applyFill="1" applyBorder="1" applyAlignment="1">
      <alignment vertical="center" wrapText="1"/>
    </xf>
    <xf numFmtId="44" fontId="10" fillId="0" borderId="1" xfId="10" applyFont="1" applyFill="1" applyBorder="1" applyAlignment="1">
      <alignment horizontal="center" vertical="center"/>
    </xf>
    <xf numFmtId="0" fontId="72" fillId="6" borderId="14" xfId="0" applyFont="1" applyFill="1" applyBorder="1" applyAlignment="1">
      <alignment vertical="center" wrapText="1"/>
    </xf>
    <xf numFmtId="0" fontId="16" fillId="3" borderId="8" xfId="0" applyFont="1" applyFill="1" applyBorder="1" applyAlignment="1">
      <alignment vertical="center"/>
    </xf>
    <xf numFmtId="0" fontId="72" fillId="6" borderId="9" xfId="0" applyFont="1" applyFill="1" applyBorder="1" applyAlignment="1">
      <alignment vertical="center" wrapText="1"/>
    </xf>
    <xf numFmtId="0" fontId="10" fillId="0" borderId="30" xfId="0" applyFont="1" applyBorder="1"/>
    <xf numFmtId="0" fontId="16" fillId="3" borderId="9" xfId="0" applyFont="1" applyFill="1" applyBorder="1" applyAlignment="1">
      <alignment horizontal="left" vertical="center" wrapText="1"/>
    </xf>
    <xf numFmtId="0" fontId="72" fillId="6" borderId="15" xfId="0" applyFont="1" applyFill="1" applyBorder="1" applyAlignment="1">
      <alignment vertical="center" wrapText="1"/>
    </xf>
    <xf numFmtId="0" fontId="16" fillId="3" borderId="2" xfId="0" applyFont="1" applyFill="1" applyBorder="1" applyAlignment="1">
      <alignment vertical="center"/>
    </xf>
    <xf numFmtId="0" fontId="72" fillId="6" borderId="10" xfId="0" applyFont="1" applyFill="1" applyBorder="1" applyAlignment="1">
      <alignment vertical="center" wrapText="1"/>
    </xf>
    <xf numFmtId="0" fontId="10" fillId="0" borderId="10" xfId="0" applyFont="1" applyBorder="1"/>
    <xf numFmtId="0" fontId="16" fillId="3" borderId="10" xfId="0" applyFont="1" applyFill="1" applyBorder="1" applyAlignment="1">
      <alignment horizontal="left" vertical="center" wrapText="1"/>
    </xf>
    <xf numFmtId="0" fontId="12" fillId="3" borderId="0" xfId="0" applyFont="1" applyFill="1" applyAlignment="1">
      <alignment vertical="center" wrapText="1"/>
    </xf>
    <xf numFmtId="0" fontId="12" fillId="3" borderId="0" xfId="0" applyFont="1" applyFill="1" applyAlignment="1">
      <alignment horizontal="left" vertical="center" wrapText="1"/>
    </xf>
    <xf numFmtId="0" fontId="10" fillId="3" borderId="0" xfId="0" applyFont="1" applyFill="1"/>
    <xf numFmtId="0" fontId="10" fillId="3" borderId="30" xfId="0" applyFont="1" applyFill="1" applyBorder="1"/>
    <xf numFmtId="0" fontId="12" fillId="3" borderId="19" xfId="0" applyFont="1" applyFill="1" applyBorder="1" applyAlignment="1">
      <alignment vertical="center" wrapText="1"/>
    </xf>
    <xf numFmtId="0" fontId="73" fillId="12" borderId="14" xfId="0" applyFont="1" applyFill="1" applyBorder="1" applyAlignment="1">
      <alignment horizontal="center" vertical="center"/>
    </xf>
    <xf numFmtId="0" fontId="73" fillId="12" borderId="21" xfId="0" applyFont="1" applyFill="1" applyBorder="1" applyAlignment="1">
      <alignment horizontal="center" vertical="center" wrapText="1"/>
    </xf>
    <xf numFmtId="0" fontId="15" fillId="0" borderId="190" xfId="0" applyFont="1" applyBorder="1" applyAlignment="1">
      <alignment horizontal="left" vertical="center" wrapText="1"/>
    </xf>
    <xf numFmtId="43" fontId="15" fillId="0" borderId="192" xfId="1" applyFont="1" applyFill="1" applyBorder="1" applyAlignment="1">
      <alignment horizontal="center" vertical="center"/>
    </xf>
    <xf numFmtId="0" fontId="0" fillId="3" borderId="0" xfId="0" applyFill="1"/>
    <xf numFmtId="0" fontId="73" fillId="12" borderId="263" xfId="0" applyFont="1" applyFill="1" applyBorder="1" applyAlignment="1">
      <alignment horizontal="center" vertical="center" wrapText="1"/>
    </xf>
    <xf numFmtId="0" fontId="73" fillId="3" borderId="19" xfId="0" applyFont="1" applyFill="1" applyBorder="1" applyAlignment="1">
      <alignment horizontal="center" vertical="center" wrapText="1"/>
    </xf>
    <xf numFmtId="0" fontId="73" fillId="12" borderId="264" xfId="0" applyFont="1" applyFill="1" applyBorder="1" applyAlignment="1">
      <alignment horizontal="center" vertical="center"/>
    </xf>
    <xf numFmtId="0" fontId="73" fillId="12" borderId="265" xfId="0" applyFont="1" applyFill="1" applyBorder="1" applyAlignment="1">
      <alignment horizontal="center" vertical="center" wrapText="1"/>
    </xf>
    <xf numFmtId="0" fontId="73" fillId="3" borderId="0" xfId="0" applyFont="1" applyFill="1" applyAlignment="1">
      <alignment horizontal="center" vertical="center" wrapText="1"/>
    </xf>
    <xf numFmtId="0" fontId="74" fillId="3" borderId="0" xfId="0" applyFont="1" applyFill="1" applyAlignment="1">
      <alignment horizontal="center" vertical="center" wrapText="1"/>
    </xf>
    <xf numFmtId="0" fontId="0" fillId="3" borderId="0" xfId="0" applyFill="1" applyAlignment="1">
      <alignment vertical="center"/>
    </xf>
    <xf numFmtId="44" fontId="15" fillId="3" borderId="266" xfId="0" applyNumberFormat="1" applyFont="1" applyFill="1" applyBorder="1" applyAlignment="1">
      <alignment vertical="center"/>
    </xf>
    <xf numFmtId="44" fontId="10" fillId="3" borderId="0" xfId="0" applyNumberFormat="1" applyFont="1" applyFill="1" applyAlignment="1">
      <alignment vertical="center"/>
    </xf>
    <xf numFmtId="0" fontId="15" fillId="0" borderId="24" xfId="0" applyFont="1" applyBorder="1" applyAlignment="1">
      <alignment horizontal="left" vertical="center" wrapText="1"/>
    </xf>
    <xf numFmtId="44" fontId="15" fillId="0" borderId="13" xfId="10" applyFont="1" applyFill="1" applyBorder="1" applyAlignment="1">
      <alignment horizontal="center" vertical="center"/>
    </xf>
    <xf numFmtId="43" fontId="15" fillId="3" borderId="0" xfId="1" applyFont="1" applyFill="1" applyBorder="1" applyAlignment="1">
      <alignment horizontal="center" vertical="center"/>
    </xf>
    <xf numFmtId="43" fontId="68" fillId="3" borderId="0" xfId="1" applyFont="1" applyFill="1" applyBorder="1" applyAlignment="1">
      <alignment horizontal="center" vertical="center"/>
    </xf>
    <xf numFmtId="44" fontId="15" fillId="3" borderId="267" xfId="0" applyNumberFormat="1" applyFont="1" applyFill="1" applyBorder="1" applyAlignment="1">
      <alignment vertical="center"/>
    </xf>
    <xf numFmtId="0" fontId="15" fillId="0" borderId="24" xfId="0" applyFont="1" applyBorder="1" applyAlignment="1">
      <alignment horizontal="left" vertical="center"/>
    </xf>
    <xf numFmtId="44" fontId="15" fillId="3" borderId="268" xfId="0" applyNumberFormat="1" applyFont="1" applyFill="1" applyBorder="1" applyAlignment="1">
      <alignment vertical="center"/>
    </xf>
    <xf numFmtId="0" fontId="15" fillId="0" borderId="269" xfId="0" applyFont="1" applyBorder="1" applyAlignment="1">
      <alignment horizontal="left" vertical="center"/>
    </xf>
    <xf numFmtId="44" fontId="15" fillId="0" borderId="270" xfId="10" applyFont="1" applyFill="1" applyBorder="1" applyAlignment="1">
      <alignment horizontal="center" vertical="center"/>
    </xf>
    <xf numFmtId="0" fontId="10" fillId="3" borderId="18" xfId="0" applyFont="1" applyFill="1" applyBorder="1"/>
    <xf numFmtId="0" fontId="15" fillId="3" borderId="0" xfId="0" applyFont="1" applyFill="1"/>
    <xf numFmtId="44" fontId="15" fillId="3" borderId="0" xfId="0" applyNumberFormat="1" applyFont="1" applyFill="1" applyAlignment="1">
      <alignment horizontal="left"/>
    </xf>
    <xf numFmtId="0" fontId="12" fillId="3" borderId="271" xfId="0" applyFont="1" applyFill="1" applyBorder="1" applyAlignment="1">
      <alignment vertical="center" wrapText="1"/>
    </xf>
    <xf numFmtId="0" fontId="73" fillId="3" borderId="272" xfId="0" applyFont="1" applyFill="1" applyBorder="1" applyAlignment="1">
      <alignment horizontal="center" vertical="center" wrapText="1"/>
    </xf>
    <xf numFmtId="0" fontId="73" fillId="12" borderId="234" xfId="0" applyFont="1" applyFill="1" applyBorder="1" applyAlignment="1">
      <alignment horizontal="center" vertical="center"/>
    </xf>
    <xf numFmtId="44" fontId="10" fillId="3" borderId="18" xfId="0" applyNumberFormat="1" applyFont="1" applyFill="1" applyBorder="1" applyAlignment="1">
      <alignment vertical="center"/>
    </xf>
    <xf numFmtId="0" fontId="15" fillId="0" borderId="22" xfId="0" applyFont="1" applyBorder="1" applyAlignment="1">
      <alignment horizontal="left" vertical="center" wrapText="1"/>
    </xf>
    <xf numFmtId="44" fontId="15" fillId="3" borderId="23" xfId="10" applyFont="1" applyFill="1" applyBorder="1" applyAlignment="1">
      <alignment horizontal="center" vertical="center"/>
    </xf>
    <xf numFmtId="44" fontId="15" fillId="3" borderId="13" xfId="10" applyFont="1" applyFill="1" applyBorder="1" applyAlignment="1">
      <alignment horizontal="center" vertical="center"/>
    </xf>
    <xf numFmtId="44" fontId="15" fillId="3" borderId="270" xfId="10" applyFont="1" applyFill="1" applyBorder="1" applyAlignment="1">
      <alignment horizontal="center" vertical="center"/>
    </xf>
    <xf numFmtId="0" fontId="15" fillId="3" borderId="18" xfId="0" applyFont="1" applyFill="1" applyBorder="1"/>
    <xf numFmtId="0" fontId="75" fillId="0" borderId="0" xfId="0" applyFont="1"/>
    <xf numFmtId="0" fontId="73" fillId="40" borderId="234" xfId="0" applyFont="1" applyFill="1" applyBorder="1" applyAlignment="1">
      <alignment horizontal="center" vertical="center"/>
    </xf>
    <xf numFmtId="0" fontId="73" fillId="40" borderId="21" xfId="0" applyFont="1" applyFill="1" applyBorder="1" applyAlignment="1">
      <alignment horizontal="center" vertical="center" wrapText="1"/>
    </xf>
    <xf numFmtId="44" fontId="15" fillId="0" borderId="23" xfId="10" applyFont="1" applyBorder="1" applyAlignment="1">
      <alignment horizontal="center" vertical="center"/>
    </xf>
    <xf numFmtId="44" fontId="15" fillId="0" borderId="13" xfId="10" applyFont="1" applyBorder="1" applyAlignment="1">
      <alignment horizontal="center" vertical="center"/>
    </xf>
    <xf numFmtId="0" fontId="15" fillId="0" borderId="269" xfId="0" applyFont="1" applyBorder="1" applyAlignment="1">
      <alignment horizontal="left" vertical="center" wrapText="1"/>
    </xf>
    <xf numFmtId="44" fontId="15" fillId="0" borderId="270" xfId="10" applyFont="1" applyBorder="1" applyAlignment="1">
      <alignment horizontal="center" vertical="center"/>
    </xf>
    <xf numFmtId="43" fontId="10" fillId="3" borderId="30" xfId="0" applyNumberFormat="1" applyFont="1" applyFill="1" applyBorder="1"/>
    <xf numFmtId="0" fontId="10" fillId="3" borderId="18" xfId="0" applyFont="1" applyFill="1" applyBorder="1" applyAlignment="1">
      <alignment vertical="center"/>
    </xf>
    <xf numFmtId="0" fontId="10" fillId="3" borderId="0" xfId="0" applyFont="1" applyFill="1" applyAlignment="1">
      <alignment vertical="center"/>
    </xf>
    <xf numFmtId="0" fontId="10" fillId="3" borderId="19" xfId="0" applyFont="1" applyFill="1" applyBorder="1" applyAlignment="1">
      <alignment vertical="center"/>
    </xf>
    <xf numFmtId="0" fontId="15" fillId="3" borderId="244" xfId="0" applyFont="1" applyFill="1" applyBorder="1" applyAlignment="1">
      <alignment horizontal="left" vertical="center" wrapText="1"/>
    </xf>
    <xf numFmtId="44" fontId="15" fillId="3" borderId="244" xfId="10" applyFont="1" applyFill="1" applyBorder="1" applyAlignment="1">
      <alignment horizontal="center" vertical="center"/>
    </xf>
    <xf numFmtId="0" fontId="15" fillId="3" borderId="0" xfId="0" applyFont="1" applyFill="1" applyAlignment="1">
      <alignment horizontal="left" vertical="center" wrapText="1"/>
    </xf>
    <xf numFmtId="44" fontId="15" fillId="3" borderId="0" xfId="10" applyFont="1" applyFill="1" applyBorder="1" applyAlignment="1">
      <alignment horizontal="center" vertical="center"/>
    </xf>
    <xf numFmtId="0" fontId="73" fillId="12" borderId="14" xfId="0" applyFont="1" applyFill="1" applyBorder="1" applyAlignment="1">
      <alignment horizontal="center" vertical="center" wrapText="1"/>
    </xf>
    <xf numFmtId="0" fontId="73" fillId="12" borderId="236" xfId="0" applyFont="1" applyFill="1" applyBorder="1" applyAlignment="1">
      <alignment horizontal="center" vertical="center"/>
    </xf>
    <xf numFmtId="0" fontId="73" fillId="12" borderId="228" xfId="0" applyFont="1" applyFill="1" applyBorder="1" applyAlignment="1">
      <alignment horizontal="center" vertical="center"/>
    </xf>
    <xf numFmtId="0" fontId="10" fillId="3" borderId="272" xfId="0" applyFont="1" applyFill="1" applyBorder="1"/>
    <xf numFmtId="44" fontId="15" fillId="3" borderId="190" xfId="0" applyNumberFormat="1" applyFont="1" applyFill="1" applyBorder="1" applyAlignment="1">
      <alignment vertical="center"/>
    </xf>
    <xf numFmtId="0" fontId="15" fillId="3" borderId="191" xfId="0" applyFont="1" applyFill="1" applyBorder="1"/>
    <xf numFmtId="44" fontId="15" fillId="3" borderId="192" xfId="0" applyNumberFormat="1" applyFont="1" applyFill="1" applyBorder="1" applyAlignment="1">
      <alignment horizontal="left"/>
    </xf>
    <xf numFmtId="0" fontId="10" fillId="3" borderId="0" xfId="0" applyFont="1" applyFill="1" applyAlignment="1">
      <alignment horizontal="left"/>
    </xf>
    <xf numFmtId="0" fontId="10" fillId="0" borderId="0" xfId="0" applyFont="1" applyAlignment="1">
      <alignment horizontal="left"/>
    </xf>
    <xf numFmtId="0" fontId="70" fillId="0" borderId="0" xfId="0" applyFont="1" applyAlignment="1">
      <alignment horizontal="center" vertical="center"/>
    </xf>
    <xf numFmtId="43" fontId="70" fillId="0" borderId="0" xfId="1" applyFont="1" applyFill="1" applyAlignment="1">
      <alignment horizontal="center" vertical="center"/>
    </xf>
    <xf numFmtId="43" fontId="70" fillId="0" borderId="0" xfId="1" applyFont="1" applyAlignment="1">
      <alignment horizontal="center" vertical="center"/>
    </xf>
    <xf numFmtId="4" fontId="19" fillId="0" borderId="0" xfId="1" applyNumberFormat="1" applyFont="1" applyAlignment="1">
      <alignment horizontal="center" vertical="center"/>
    </xf>
    <xf numFmtId="4" fontId="19" fillId="0" borderId="0" xfId="0" applyNumberFormat="1" applyFont="1" applyAlignment="1">
      <alignment vertical="center"/>
    </xf>
    <xf numFmtId="4" fontId="24" fillId="0" borderId="0" xfId="0" applyNumberFormat="1" applyFont="1" applyAlignment="1">
      <alignment vertical="center"/>
    </xf>
    <xf numFmtId="43" fontId="4" fillId="0" borderId="0" xfId="0" applyNumberFormat="1" applyFont="1" applyAlignment="1">
      <alignment vertical="center"/>
    </xf>
    <xf numFmtId="43" fontId="26" fillId="5" borderId="10" xfId="1" applyFont="1" applyFill="1" applyBorder="1" applyAlignment="1">
      <alignment vertical="center" wrapText="1"/>
    </xf>
    <xf numFmtId="43" fontId="16" fillId="0" borderId="0" xfId="0" applyNumberFormat="1" applyFont="1" applyAlignment="1">
      <alignment vertical="center"/>
    </xf>
    <xf numFmtId="43" fontId="19" fillId="0" borderId="0" xfId="1" applyFont="1" applyFill="1" applyAlignment="1">
      <alignment horizontal="center" vertical="center"/>
    </xf>
    <xf numFmtId="44" fontId="19" fillId="0" borderId="0" xfId="10" applyFont="1" applyFill="1" applyAlignment="1">
      <alignment vertical="center"/>
    </xf>
    <xf numFmtId="4" fontId="19" fillId="0" borderId="0" xfId="1" applyNumberFormat="1" applyFont="1" applyFill="1" applyAlignment="1">
      <alignment horizontal="center" vertical="center"/>
    </xf>
    <xf numFmtId="44" fontId="10" fillId="0" borderId="1" xfId="10" applyFont="1" applyFill="1" applyBorder="1" applyAlignment="1">
      <alignment horizontal="left" vertical="center" wrapText="1"/>
    </xf>
    <xf numFmtId="0" fontId="76" fillId="0" borderId="30" xfId="0" applyFont="1" applyBorder="1" applyAlignment="1">
      <alignment vertical="center"/>
    </xf>
    <xf numFmtId="0" fontId="26" fillId="0" borderId="1" xfId="0" applyFont="1" applyBorder="1" applyAlignment="1">
      <alignment vertical="center" wrapText="1"/>
    </xf>
    <xf numFmtId="43" fontId="26" fillId="0" borderId="1" xfId="1" applyFont="1" applyBorder="1" applyAlignment="1">
      <alignment vertical="center" wrapText="1"/>
    </xf>
    <xf numFmtId="44" fontId="26" fillId="0" borderId="1" xfId="10" applyFont="1" applyBorder="1" applyAlignment="1">
      <alignment horizontal="center" vertical="center"/>
    </xf>
    <xf numFmtId="0" fontId="71" fillId="0" borderId="1" xfId="0" applyFont="1" applyBorder="1" applyAlignment="1">
      <alignment vertical="center" wrapText="1"/>
    </xf>
    <xf numFmtId="43" fontId="71" fillId="5" borderId="10" xfId="1" applyFont="1" applyFill="1" applyBorder="1" applyAlignment="1">
      <alignment vertical="center" wrapText="1"/>
    </xf>
    <xf numFmtId="0" fontId="69" fillId="0" borderId="0" xfId="0" applyFont="1"/>
    <xf numFmtId="0" fontId="20" fillId="0" borderId="0" xfId="0" applyFont="1"/>
    <xf numFmtId="0" fontId="18" fillId="0" borderId="0" xfId="0" applyFont="1"/>
    <xf numFmtId="43" fontId="18" fillId="0" borderId="0" xfId="1" applyFont="1" applyBorder="1" applyAlignment="1"/>
    <xf numFmtId="0" fontId="19" fillId="0" borderId="0" xfId="0" applyFont="1"/>
    <xf numFmtId="43" fontId="10" fillId="5" borderId="10" xfId="1" applyFont="1" applyFill="1" applyBorder="1" applyAlignment="1">
      <alignment horizontal="right" vertical="center" wrapText="1"/>
    </xf>
    <xf numFmtId="43" fontId="19" fillId="0" borderId="0" xfId="0" applyNumberFormat="1" applyFont="1" applyAlignment="1">
      <alignment vertical="center"/>
    </xf>
    <xf numFmtId="4" fontId="10" fillId="25" borderId="182" xfId="0" applyNumberFormat="1" applyFont="1" applyFill="1" applyBorder="1" applyAlignment="1">
      <alignment horizontal="center" vertical="center"/>
    </xf>
    <xf numFmtId="4" fontId="10" fillId="14" borderId="188" xfId="0" applyNumberFormat="1" applyFont="1" applyFill="1" applyBorder="1" applyAlignment="1">
      <alignment horizontal="center" vertical="center"/>
    </xf>
    <xf numFmtId="43" fontId="29" fillId="0" borderId="1" xfId="1" applyFont="1" applyBorder="1"/>
    <xf numFmtId="0" fontId="10" fillId="28" borderId="186" xfId="0" applyFont="1" applyFill="1" applyBorder="1" applyAlignment="1">
      <alignment horizontal="left" vertical="center"/>
    </xf>
    <xf numFmtId="0" fontId="16" fillId="0" borderId="258" xfId="0" applyFont="1" applyBorder="1" applyAlignment="1">
      <alignment vertical="center"/>
    </xf>
    <xf numFmtId="0" fontId="10" fillId="42" borderId="186" xfId="0" applyFont="1" applyFill="1" applyBorder="1" applyAlignment="1">
      <alignment horizontal="left" vertical="center"/>
    </xf>
    <xf numFmtId="167" fontId="10" fillId="42" borderId="187" xfId="0" applyNumberFormat="1" applyFont="1" applyFill="1" applyBorder="1" applyAlignment="1">
      <alignment horizontal="left" vertical="center"/>
    </xf>
    <xf numFmtId="10" fontId="10" fillId="42" borderId="187" xfId="0" applyNumberFormat="1" applyFont="1" applyFill="1" applyBorder="1" applyAlignment="1">
      <alignment horizontal="center" vertical="center"/>
    </xf>
    <xf numFmtId="167" fontId="10" fillId="42" borderId="188" xfId="0" applyNumberFormat="1" applyFont="1" applyFill="1" applyBorder="1" applyAlignment="1">
      <alignment horizontal="center" vertical="center"/>
    </xf>
    <xf numFmtId="0" fontId="52" fillId="0" borderId="0" xfId="0" applyFont="1" applyAlignment="1">
      <alignment vertical="center"/>
    </xf>
    <xf numFmtId="0" fontId="21" fillId="17" borderId="14" xfId="0" applyFont="1" applyFill="1" applyBorder="1" applyAlignment="1">
      <alignment horizontal="left" vertical="center"/>
    </xf>
    <xf numFmtId="0" fontId="21" fillId="17" borderId="20" xfId="0" applyFont="1" applyFill="1" applyBorder="1" applyAlignment="1">
      <alignment horizontal="center" vertical="center"/>
    </xf>
    <xf numFmtId="0" fontId="10" fillId="25" borderId="273" xfId="0" applyFont="1" applyFill="1" applyBorder="1" applyAlignment="1">
      <alignment horizontal="left" vertical="center"/>
    </xf>
    <xf numFmtId="4" fontId="10" fillId="25" borderId="274" xfId="0" applyNumberFormat="1" applyFont="1" applyFill="1" applyBorder="1" applyAlignment="1">
      <alignment horizontal="center" vertical="center"/>
    </xf>
    <xf numFmtId="0" fontId="10" fillId="14" borderId="276" xfId="0" applyFont="1" applyFill="1" applyBorder="1" applyAlignment="1">
      <alignment horizontal="left" vertical="center"/>
    </xf>
    <xf numFmtId="4" fontId="10" fillId="14" borderId="277" xfId="0" applyNumberFormat="1" applyFont="1" applyFill="1" applyBorder="1" applyAlignment="1">
      <alignment horizontal="center" vertical="center"/>
    </xf>
    <xf numFmtId="44" fontId="10" fillId="14" borderId="275" xfId="10" applyFont="1" applyFill="1" applyBorder="1" applyAlignment="1">
      <alignment horizontal="center" vertical="center"/>
    </xf>
    <xf numFmtId="44" fontId="10" fillId="25" borderId="278" xfId="10" applyFont="1" applyFill="1" applyBorder="1" applyAlignment="1">
      <alignment horizontal="center" vertical="center"/>
    </xf>
    <xf numFmtId="10" fontId="15" fillId="0" borderId="0" xfId="6" applyNumberFormat="1" applyFont="1" applyAlignment="1">
      <alignment horizontal="left"/>
    </xf>
    <xf numFmtId="0" fontId="16" fillId="0" borderId="0" xfId="0" applyFont="1" applyAlignment="1">
      <alignment horizontal="left" vertical="center"/>
    </xf>
    <xf numFmtId="0" fontId="10" fillId="25" borderId="279" xfId="0" applyFont="1" applyFill="1" applyBorder="1" applyAlignment="1">
      <alignment horizontal="left" vertical="center"/>
    </xf>
    <xf numFmtId="4" fontId="10" fillId="25" borderId="11" xfId="0" applyNumberFormat="1" applyFont="1" applyFill="1" applyBorder="1" applyAlignment="1">
      <alignment horizontal="center" vertical="center"/>
    </xf>
    <xf numFmtId="44" fontId="10" fillId="25" borderId="280" xfId="10" applyFont="1" applyFill="1" applyBorder="1" applyAlignment="1">
      <alignment horizontal="center" vertical="center"/>
    </xf>
    <xf numFmtId="4" fontId="16" fillId="0" borderId="0" xfId="0" applyNumberFormat="1" applyFont="1" applyAlignment="1">
      <alignment horizontal="center" vertical="center"/>
    </xf>
    <xf numFmtId="49" fontId="16" fillId="0" borderId="0" xfId="0" applyNumberFormat="1" applyFont="1" applyAlignment="1">
      <alignment horizontal="left" vertical="center"/>
    </xf>
    <xf numFmtId="0" fontId="10" fillId="14" borderId="273" xfId="0" applyFont="1" applyFill="1" applyBorder="1" applyAlignment="1">
      <alignment horizontal="left" vertical="center"/>
    </xf>
    <xf numFmtId="4" fontId="10" fillId="14" borderId="274" xfId="0" applyNumberFormat="1" applyFont="1" applyFill="1" applyBorder="1" applyAlignment="1">
      <alignment horizontal="center" vertical="center"/>
    </xf>
    <xf numFmtId="44" fontId="10" fillId="14" borderId="278" xfId="10" applyFont="1" applyFill="1" applyBorder="1" applyAlignment="1">
      <alignment horizontal="center" vertical="center"/>
    </xf>
    <xf numFmtId="4" fontId="16" fillId="0" borderId="184" xfId="0" applyNumberFormat="1" applyFont="1" applyBorder="1" applyAlignment="1">
      <alignment vertical="center"/>
    </xf>
    <xf numFmtId="43" fontId="21" fillId="17" borderId="8" xfId="1" applyFont="1" applyFill="1" applyBorder="1" applyAlignment="1">
      <alignment horizontal="center" vertical="center"/>
    </xf>
    <xf numFmtId="43" fontId="21" fillId="17" borderId="2" xfId="1" applyFont="1" applyFill="1" applyBorder="1" applyAlignment="1">
      <alignment horizontal="center" vertical="center"/>
    </xf>
    <xf numFmtId="2" fontId="26" fillId="5" borderId="10" xfId="1" applyNumberFormat="1" applyFont="1" applyFill="1" applyBorder="1" applyAlignment="1">
      <alignment vertical="center" wrapText="1"/>
    </xf>
    <xf numFmtId="43" fontId="31" fillId="14" borderId="97" xfId="0" applyNumberFormat="1" applyFont="1" applyFill="1" applyBorder="1"/>
    <xf numFmtId="43" fontId="32" fillId="0" borderId="86" xfId="1" applyFont="1" applyFill="1" applyBorder="1" applyAlignment="1">
      <alignment horizontal="center" vertical="center"/>
    </xf>
    <xf numFmtId="0" fontId="9" fillId="10" borderId="284" xfId="0" applyFont="1" applyFill="1" applyBorder="1" applyAlignment="1">
      <alignment vertical="center" wrapText="1"/>
    </xf>
    <xf numFmtId="14" fontId="31" fillId="0" borderId="259" xfId="0" applyNumberFormat="1" applyFont="1" applyBorder="1" applyAlignment="1">
      <alignment horizontal="left"/>
    </xf>
    <xf numFmtId="0" fontId="16" fillId="14" borderId="42" xfId="0" applyFont="1" applyFill="1" applyBorder="1" applyAlignment="1">
      <alignment horizontal="left" vertical="center" wrapText="1"/>
    </xf>
    <xf numFmtId="167" fontId="31" fillId="14" borderId="42" xfId="0" applyNumberFormat="1" applyFont="1" applyFill="1" applyBorder="1"/>
    <xf numFmtId="0" fontId="31" fillId="14" borderId="42" xfId="0" applyFont="1" applyFill="1" applyBorder="1"/>
    <xf numFmtId="0" fontId="31" fillId="14" borderId="285" xfId="0" applyFont="1" applyFill="1" applyBorder="1"/>
    <xf numFmtId="44" fontId="18" fillId="0" borderId="0" xfId="0" applyNumberFormat="1" applyFont="1" applyAlignment="1">
      <alignment vertical="center"/>
    </xf>
    <xf numFmtId="0" fontId="31" fillId="0" borderId="177" xfId="0" applyFont="1" applyBorder="1"/>
    <xf numFmtId="167" fontId="31" fillId="0" borderId="177" xfId="0" applyNumberFormat="1" applyFont="1" applyBorder="1"/>
    <xf numFmtId="0" fontId="26" fillId="25" borderId="273" xfId="0" applyFont="1" applyFill="1" applyBorder="1" applyAlignment="1">
      <alignment horizontal="left" vertical="center"/>
    </xf>
    <xf numFmtId="4" fontId="26" fillId="25" borderId="274" xfId="0" applyNumberFormat="1" applyFont="1" applyFill="1" applyBorder="1" applyAlignment="1">
      <alignment horizontal="center" vertical="center"/>
    </xf>
    <xf numFmtId="44" fontId="26" fillId="25" borderId="278" xfId="10" applyFont="1" applyFill="1" applyBorder="1" applyAlignment="1">
      <alignment horizontal="center" vertical="center"/>
    </xf>
    <xf numFmtId="0" fontId="21" fillId="17" borderId="2" xfId="0" applyFont="1" applyFill="1" applyBorder="1" applyAlignment="1">
      <alignment horizontal="left" vertical="center"/>
    </xf>
    <xf numFmtId="43" fontId="10" fillId="0" borderId="1" xfId="1" applyFont="1" applyBorder="1" applyAlignment="1">
      <alignment horizontal="right" vertical="center" wrapText="1"/>
    </xf>
    <xf numFmtId="43" fontId="32" fillId="0" borderId="79" xfId="1" applyFont="1" applyFill="1" applyBorder="1" applyAlignment="1">
      <alignment horizontal="center" vertical="center" wrapText="1"/>
    </xf>
    <xf numFmtId="43" fontId="3" fillId="0" borderId="80" xfId="1" applyFont="1" applyFill="1" applyBorder="1" applyAlignment="1">
      <alignment horizontal="center" vertical="center" wrapText="1"/>
    </xf>
    <xf numFmtId="0" fontId="4" fillId="0" borderId="78" xfId="0" applyFont="1" applyBorder="1" applyAlignment="1">
      <alignment horizontal="left" vertical="center" wrapText="1"/>
    </xf>
    <xf numFmtId="43" fontId="4" fillId="0" borderId="79" xfId="1" applyFont="1" applyFill="1" applyBorder="1" applyAlignment="1">
      <alignment horizontal="center" vertical="center" wrapText="1"/>
    </xf>
    <xf numFmtId="43" fontId="4" fillId="0" borderId="80" xfId="1" applyFont="1" applyFill="1" applyBorder="1" applyAlignment="1">
      <alignment horizontal="center" vertical="center" wrapText="1"/>
    </xf>
    <xf numFmtId="0" fontId="4" fillId="0" borderId="65" xfId="0" applyFont="1" applyBorder="1" applyAlignment="1">
      <alignment horizontal="center" vertical="center"/>
    </xf>
    <xf numFmtId="0" fontId="4" fillId="0" borderId="81" xfId="0" applyFont="1" applyBorder="1" applyAlignment="1">
      <alignment horizontal="center" vertical="center" wrapText="1"/>
    </xf>
    <xf numFmtId="43" fontId="4" fillId="0" borderId="64" xfId="1" applyFont="1" applyFill="1" applyBorder="1" applyAlignment="1">
      <alignment horizontal="center" vertical="center"/>
    </xf>
    <xf numFmtId="0" fontId="21" fillId="17" borderId="190" xfId="0" applyFont="1" applyFill="1" applyBorder="1" applyAlignment="1">
      <alignment horizontal="right" vertical="center"/>
    </xf>
    <xf numFmtId="43" fontId="57" fillId="17" borderId="192" xfId="1" applyFont="1" applyFill="1" applyBorder="1" applyAlignment="1">
      <alignment horizontal="center" vertical="center"/>
    </xf>
    <xf numFmtId="4" fontId="21" fillId="17" borderId="191" xfId="0" applyNumberFormat="1" applyFont="1" applyFill="1" applyBorder="1" applyAlignment="1">
      <alignment horizontal="right" vertical="center"/>
    </xf>
    <xf numFmtId="4" fontId="57" fillId="17" borderId="282" xfId="1" applyNumberFormat="1" applyFont="1" applyFill="1" applyBorder="1" applyAlignment="1">
      <alignment horizontal="right" vertical="center"/>
    </xf>
    <xf numFmtId="44" fontId="19" fillId="0" borderId="0" xfId="0" applyNumberFormat="1" applyFont="1" applyAlignment="1">
      <alignment vertical="center"/>
    </xf>
    <xf numFmtId="0" fontId="19" fillId="0" borderId="0" xfId="0" applyFont="1" applyAlignment="1">
      <alignment horizontal="right" vertical="center"/>
    </xf>
    <xf numFmtId="4" fontId="19" fillId="0" borderId="0" xfId="0" applyNumberFormat="1" applyFont="1" applyAlignment="1">
      <alignment horizontal="right" vertical="center"/>
    </xf>
    <xf numFmtId="4" fontId="19" fillId="0" borderId="0" xfId="10" applyNumberFormat="1" applyFont="1" applyAlignment="1">
      <alignment horizontal="right" vertical="center"/>
    </xf>
    <xf numFmtId="9" fontId="19" fillId="0" borderId="0" xfId="6" applyFont="1" applyAlignment="1">
      <alignment vertical="center"/>
    </xf>
    <xf numFmtId="0" fontId="78" fillId="14" borderId="189" xfId="0" applyFont="1" applyFill="1" applyBorder="1" applyAlignment="1">
      <alignment horizontal="left" vertical="center"/>
    </xf>
    <xf numFmtId="4" fontId="78" fillId="14" borderId="187" xfId="0" applyNumberFormat="1" applyFont="1" applyFill="1" applyBorder="1" applyAlignment="1">
      <alignment horizontal="right" vertical="center"/>
    </xf>
    <xf numFmtId="4" fontId="78" fillId="14" borderId="281" xfId="0" applyNumberFormat="1" applyFont="1" applyFill="1" applyBorder="1" applyAlignment="1">
      <alignment horizontal="right" vertical="center"/>
    </xf>
    <xf numFmtId="0" fontId="78" fillId="25" borderId="189" xfId="0" applyFont="1" applyFill="1" applyBorder="1" applyAlignment="1">
      <alignment horizontal="left" vertical="center"/>
    </xf>
    <xf numFmtId="4" fontId="78" fillId="25" borderId="187" xfId="0" applyNumberFormat="1" applyFont="1" applyFill="1" applyBorder="1" applyAlignment="1">
      <alignment horizontal="right" vertical="center"/>
    </xf>
    <xf numFmtId="4" fontId="78" fillId="25" borderId="281" xfId="1" applyNumberFormat="1" applyFont="1" applyFill="1" applyBorder="1" applyAlignment="1">
      <alignment horizontal="right" vertical="center"/>
    </xf>
    <xf numFmtId="0" fontId="79" fillId="25" borderId="189" xfId="0" applyFont="1" applyFill="1" applyBorder="1" applyAlignment="1">
      <alignment horizontal="left" vertical="center"/>
    </xf>
    <xf numFmtId="4" fontId="79" fillId="25" borderId="187" xfId="0" applyNumberFormat="1" applyFont="1" applyFill="1" applyBorder="1" applyAlignment="1">
      <alignment horizontal="right" vertical="center"/>
    </xf>
    <xf numFmtId="4" fontId="79" fillId="25" borderId="281" xfId="1" applyNumberFormat="1" applyFont="1" applyFill="1" applyBorder="1" applyAlignment="1">
      <alignment horizontal="right" vertical="center"/>
    </xf>
    <xf numFmtId="0" fontId="79" fillId="14" borderId="189" xfId="0" applyFont="1" applyFill="1" applyBorder="1" applyAlignment="1">
      <alignment horizontal="left" vertical="center"/>
    </xf>
    <xf numFmtId="4" fontId="79" fillId="14" borderId="187" xfId="0" applyNumberFormat="1" applyFont="1" applyFill="1" applyBorder="1" applyAlignment="1">
      <alignment horizontal="right" vertical="center"/>
    </xf>
    <xf numFmtId="4" fontId="79" fillId="14" borderId="281" xfId="0" applyNumberFormat="1" applyFont="1" applyFill="1" applyBorder="1" applyAlignment="1">
      <alignment horizontal="right" vertical="center"/>
    </xf>
    <xf numFmtId="167" fontId="78" fillId="14" borderId="283" xfId="0" applyNumberFormat="1" applyFont="1" applyFill="1" applyBorder="1" applyAlignment="1">
      <alignment horizontal="center" vertical="center" wrapText="1"/>
    </xf>
    <xf numFmtId="43" fontId="79" fillId="25" borderId="283" xfId="1" applyFont="1" applyFill="1" applyBorder="1" applyAlignment="1">
      <alignment horizontal="center" vertical="center" wrapText="1"/>
    </xf>
    <xf numFmtId="167" fontId="79" fillId="14" borderId="283" xfId="0" applyNumberFormat="1" applyFont="1" applyFill="1" applyBorder="1" applyAlignment="1">
      <alignment horizontal="center" vertical="center" wrapText="1"/>
    </xf>
    <xf numFmtId="43" fontId="78" fillId="25" borderId="283" xfId="1" applyFont="1" applyFill="1" applyBorder="1" applyAlignment="1">
      <alignment horizontal="center" vertical="center" wrapText="1"/>
    </xf>
    <xf numFmtId="0" fontId="70" fillId="5" borderId="0" xfId="0" applyFont="1" applyFill="1" applyAlignment="1">
      <alignment horizontal="right" vertical="center"/>
    </xf>
    <xf numFmtId="43" fontId="3" fillId="29" borderId="60" xfId="1" applyFont="1" applyFill="1" applyBorder="1" applyAlignment="1">
      <alignment horizontal="center" vertical="center" wrapText="1"/>
    </xf>
    <xf numFmtId="171" fontId="19" fillId="0" borderId="0" xfId="0" applyNumberFormat="1" applyFont="1" applyAlignment="1">
      <alignment vertical="center"/>
    </xf>
    <xf numFmtId="0" fontId="80" fillId="0" borderId="0" xfId="15"/>
    <xf numFmtId="44" fontId="0" fillId="0" borderId="0" xfId="10" applyFont="1"/>
    <xf numFmtId="44" fontId="71" fillId="0" borderId="1" xfId="10" applyFont="1" applyBorder="1" applyAlignment="1">
      <alignment horizontal="left" vertical="center" wrapText="1"/>
    </xf>
    <xf numFmtId="44" fontId="69" fillId="0" borderId="0" xfId="10" applyFont="1" applyAlignment="1">
      <alignment vertical="center"/>
    </xf>
    <xf numFmtId="44" fontId="69" fillId="0" borderId="1" xfId="10" applyFont="1" applyBorder="1" applyAlignment="1">
      <alignment horizontal="left" vertical="center" wrapText="1"/>
    </xf>
    <xf numFmtId="0" fontId="0" fillId="0" borderId="0" xfId="0"/>
    <xf numFmtId="43" fontId="69" fillId="5" borderId="10" xfId="1" applyFont="1" applyFill="1" applyBorder="1" applyAlignment="1">
      <alignment vertical="center" wrapText="1"/>
    </xf>
    <xf numFmtId="44" fontId="71" fillId="0" borderId="1" xfId="10" applyFont="1" applyBorder="1" applyAlignment="1">
      <alignment horizontal="center" vertical="center"/>
    </xf>
    <xf numFmtId="2" fontId="19" fillId="0" borderId="0" xfId="0" applyNumberFormat="1" applyFont="1" applyAlignment="1">
      <alignment vertical="center"/>
    </xf>
    <xf numFmtId="43" fontId="4" fillId="0" borderId="64" xfId="1" applyFont="1" applyBorder="1" applyAlignment="1">
      <alignment horizontal="center" vertical="center"/>
    </xf>
    <xf numFmtId="0" fontId="39" fillId="0" borderId="77" xfId="0" applyFont="1" applyBorder="1" applyAlignment="1">
      <alignment horizontal="left" vertical="center" wrapText="1"/>
    </xf>
    <xf numFmtId="43" fontId="39" fillId="0" borderId="61" xfId="1" applyFont="1" applyBorder="1" applyAlignment="1">
      <alignment horizontal="center" vertical="center" wrapText="1"/>
    </xf>
    <xf numFmtId="166" fontId="39" fillId="0" borderId="61" xfId="1" applyNumberFormat="1" applyFont="1" applyBorder="1" applyAlignment="1">
      <alignment horizontal="center" vertical="center"/>
    </xf>
    <xf numFmtId="0" fontId="39" fillId="0" borderId="62" xfId="0" applyFont="1" applyBorder="1" applyAlignment="1">
      <alignment horizontal="center" vertical="center"/>
    </xf>
    <xf numFmtId="0" fontId="39" fillId="0" borderId="63" xfId="0" applyFont="1" applyBorder="1" applyAlignment="1">
      <alignment horizontal="center" vertical="center" wrapText="1"/>
    </xf>
    <xf numFmtId="43" fontId="39" fillId="0" borderId="64" xfId="1" applyFont="1" applyBorder="1" applyAlignment="1">
      <alignment horizontal="center" vertical="center"/>
    </xf>
    <xf numFmtId="43" fontId="39" fillId="0" borderId="60" xfId="1" applyFont="1" applyFill="1" applyBorder="1" applyAlignment="1">
      <alignment horizontal="center" vertical="center" wrapText="1"/>
    </xf>
    <xf numFmtId="0" fontId="39" fillId="0" borderId="48" xfId="0" applyFont="1" applyBorder="1" applyAlignment="1">
      <alignment vertical="center"/>
    </xf>
    <xf numFmtId="0" fontId="3" fillId="0" borderId="77" xfId="0" applyFont="1" applyFill="1" applyBorder="1" applyAlignment="1">
      <alignment horizontal="left" vertical="center" wrapText="1"/>
    </xf>
    <xf numFmtId="2" fontId="3" fillId="0" borderId="60" xfId="1" applyNumberFormat="1" applyFont="1" applyFill="1" applyBorder="1" applyAlignment="1">
      <alignment horizontal="center" vertical="center" wrapText="1"/>
    </xf>
    <xf numFmtId="43" fontId="3" fillId="0" borderId="60" xfId="1" applyFont="1" applyFill="1" applyBorder="1" applyAlignment="1">
      <alignment horizontal="center" vertical="center" wrapText="1"/>
    </xf>
    <xf numFmtId="0" fontId="3" fillId="0" borderId="62" xfId="0" applyFont="1" applyFill="1" applyBorder="1" applyAlignment="1">
      <alignment horizontal="center" vertical="center"/>
    </xf>
    <xf numFmtId="0" fontId="3" fillId="0" borderId="63" xfId="0" applyFont="1" applyFill="1" applyBorder="1" applyAlignment="1">
      <alignment horizontal="center" vertical="center" wrapText="1"/>
    </xf>
    <xf numFmtId="0" fontId="39" fillId="0" borderId="0" xfId="0" applyFont="1" applyAlignment="1">
      <alignment vertical="center"/>
    </xf>
    <xf numFmtId="43" fontId="4" fillId="0" borderId="79" xfId="1" applyFont="1" applyBorder="1" applyAlignment="1">
      <alignment horizontal="center" vertical="center" wrapText="1"/>
    </xf>
    <xf numFmtId="43" fontId="4" fillId="0" borderId="80" xfId="1" applyFont="1" applyBorder="1" applyAlignment="1">
      <alignment horizontal="center" vertical="center" wrapText="1"/>
    </xf>
    <xf numFmtId="166" fontId="4" fillId="0" borderId="80" xfId="1" applyNumberFormat="1" applyFont="1" applyBorder="1" applyAlignment="1">
      <alignment horizontal="center" vertical="center"/>
    </xf>
    <xf numFmtId="43" fontId="71" fillId="0" borderId="1" xfId="1" applyFont="1" applyBorder="1" applyAlignment="1">
      <alignment vertical="center" wrapText="1"/>
    </xf>
    <xf numFmtId="43" fontId="32" fillId="0" borderId="80" xfId="1" applyFont="1" applyFill="1" applyBorder="1" applyAlignment="1">
      <alignment horizontal="center" vertical="center" wrapText="1"/>
    </xf>
    <xf numFmtId="0" fontId="4" fillId="0" borderId="78" xfId="0" applyFont="1" applyFill="1" applyBorder="1" applyAlignment="1">
      <alignment horizontal="left" vertical="center" wrapText="1"/>
    </xf>
    <xf numFmtId="4" fontId="4" fillId="0" borderId="79" xfId="1" applyNumberFormat="1" applyFont="1" applyFill="1" applyBorder="1" applyAlignment="1">
      <alignment horizontal="center" vertical="center" wrapText="1"/>
    </xf>
    <xf numFmtId="0" fontId="4" fillId="0" borderId="65" xfId="0" applyFont="1" applyFill="1" applyBorder="1" applyAlignment="1">
      <alignment horizontal="center" vertical="center"/>
    </xf>
    <xf numFmtId="0" fontId="4" fillId="0" borderId="81" xfId="0" applyFont="1" applyFill="1" applyBorder="1" applyAlignment="1">
      <alignment horizontal="center" vertical="center" wrapText="1"/>
    </xf>
    <xf numFmtId="43" fontId="4" fillId="0" borderId="195" xfId="1" applyFont="1" applyFill="1" applyBorder="1" applyAlignment="1">
      <alignment horizontal="center" vertical="center"/>
    </xf>
    <xf numFmtId="0" fontId="4" fillId="0" borderId="77" xfId="0" applyFont="1" applyFill="1" applyBorder="1" applyAlignment="1">
      <alignment horizontal="left" vertical="center" wrapText="1"/>
    </xf>
    <xf numFmtId="2" fontId="4" fillId="0" borderId="60" xfId="1" applyNumberFormat="1" applyFont="1" applyFill="1" applyBorder="1" applyAlignment="1">
      <alignment horizontal="center" vertical="center" wrapText="1"/>
    </xf>
    <xf numFmtId="43" fontId="4" fillId="0" borderId="60" xfId="1" applyFont="1" applyFill="1" applyBorder="1" applyAlignment="1">
      <alignment horizontal="center" vertical="center" wrapText="1"/>
    </xf>
    <xf numFmtId="0" fontId="4" fillId="0" borderId="63" xfId="0" applyFont="1" applyFill="1" applyBorder="1" applyAlignment="1">
      <alignment horizontal="center" vertical="center" wrapText="1"/>
    </xf>
    <xf numFmtId="43" fontId="7" fillId="3" borderId="237" xfId="1" applyFont="1" applyFill="1" applyBorder="1" applyAlignment="1">
      <alignment vertical="center" wrapText="1"/>
    </xf>
    <xf numFmtId="43" fontId="7" fillId="3" borderId="240" xfId="1" applyFont="1" applyFill="1" applyBorder="1" applyAlignment="1">
      <alignment vertical="center" wrapText="1"/>
    </xf>
    <xf numFmtId="43" fontId="7" fillId="3" borderId="238" xfId="1" applyFont="1" applyFill="1" applyBorder="1" applyAlignment="1">
      <alignment vertical="center" wrapText="1"/>
    </xf>
    <xf numFmtId="43" fontId="7" fillId="3" borderId="241" xfId="1" applyFont="1" applyFill="1" applyBorder="1" applyAlignment="1">
      <alignment vertical="center" wrapText="1"/>
    </xf>
    <xf numFmtId="0" fontId="11" fillId="4" borderId="15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center" vertical="center" wrapText="1"/>
    </xf>
    <xf numFmtId="0" fontId="5" fillId="7" borderId="234" xfId="0" applyFont="1" applyFill="1" applyBorder="1" applyAlignment="1">
      <alignment horizontal="center" vertical="center"/>
    </xf>
    <xf numFmtId="0" fontId="5" fillId="7" borderId="235" xfId="0" applyFont="1" applyFill="1" applyBorder="1" applyAlignment="1">
      <alignment horizontal="center" vertical="center"/>
    </xf>
    <xf numFmtId="0" fontId="5" fillId="7" borderId="236" xfId="0" applyFont="1" applyFill="1" applyBorder="1" applyAlignment="1">
      <alignment horizontal="center" vertical="center" wrapText="1"/>
    </xf>
    <xf numFmtId="0" fontId="5" fillId="7" borderId="11" xfId="0" applyFont="1" applyFill="1" applyBorder="1" applyAlignment="1">
      <alignment horizontal="center" vertical="center" wrapText="1"/>
    </xf>
    <xf numFmtId="43" fontId="5" fillId="7" borderId="8" xfId="1" applyFont="1" applyFill="1" applyBorder="1" applyAlignment="1">
      <alignment horizontal="center" vertical="center" wrapText="1"/>
    </xf>
    <xf numFmtId="43" fontId="5" fillId="7" borderId="239" xfId="1" applyFont="1" applyFill="1" applyBorder="1" applyAlignment="1">
      <alignment horizontal="center" vertical="center" wrapText="1"/>
    </xf>
    <xf numFmtId="43" fontId="64" fillId="0" borderId="238" xfId="1" applyFont="1" applyFill="1" applyBorder="1" applyAlignment="1">
      <alignment horizontal="center" vertical="center" wrapText="1"/>
    </xf>
    <xf numFmtId="43" fontId="64" fillId="0" borderId="241" xfId="1" applyFont="1" applyFill="1" applyBorder="1" applyAlignment="1">
      <alignment horizontal="center" vertical="center" wrapText="1"/>
    </xf>
    <xf numFmtId="0" fontId="8" fillId="9" borderId="7" xfId="0" applyFont="1" applyFill="1" applyBorder="1" applyAlignment="1">
      <alignment horizontal="center" vertical="center" wrapText="1"/>
    </xf>
    <xf numFmtId="0" fontId="8" fillId="9" borderId="29" xfId="0" applyFont="1" applyFill="1" applyBorder="1" applyAlignment="1">
      <alignment horizontal="center" vertical="center" wrapText="1"/>
    </xf>
    <xf numFmtId="0" fontId="8" fillId="9" borderId="28" xfId="0" applyFont="1" applyFill="1" applyBorder="1" applyAlignment="1">
      <alignment horizontal="center" vertical="center" wrapText="1"/>
    </xf>
    <xf numFmtId="0" fontId="21" fillId="8" borderId="1" xfId="0" applyFont="1" applyFill="1" applyBorder="1" applyAlignment="1">
      <alignment horizontal="right" vertical="center" wrapText="1"/>
    </xf>
    <xf numFmtId="0" fontId="11" fillId="4" borderId="2" xfId="0" applyFont="1" applyFill="1" applyBorder="1" applyAlignment="1">
      <alignment horizontal="left" vertical="center" wrapText="1"/>
    </xf>
    <xf numFmtId="0" fontId="11" fillId="4" borderId="10" xfId="0" applyFont="1" applyFill="1" applyBorder="1" applyAlignment="1">
      <alignment horizontal="left" vertical="center"/>
    </xf>
    <xf numFmtId="0" fontId="11" fillId="4" borderId="3" xfId="0" applyFont="1" applyFill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21" fillId="8" borderId="2" xfId="0" applyFont="1" applyFill="1" applyBorder="1" applyAlignment="1">
      <alignment horizontal="center" vertical="center" wrapText="1"/>
    </xf>
    <xf numFmtId="0" fontId="21" fillId="8" borderId="3" xfId="0" applyFont="1" applyFill="1" applyBorder="1" applyAlignment="1">
      <alignment horizontal="center" vertical="center" wrapText="1"/>
    </xf>
    <xf numFmtId="0" fontId="21" fillId="9" borderId="7" xfId="0" applyFont="1" applyFill="1" applyBorder="1" applyAlignment="1">
      <alignment horizontal="center" vertical="center" wrapText="1"/>
    </xf>
    <xf numFmtId="0" fontId="21" fillId="9" borderId="29" xfId="0" applyFont="1" applyFill="1" applyBorder="1" applyAlignment="1">
      <alignment horizontal="center" vertical="center" wrapText="1"/>
    </xf>
    <xf numFmtId="0" fontId="21" fillId="9" borderId="28" xfId="0" applyFont="1" applyFill="1" applyBorder="1" applyAlignment="1">
      <alignment horizontal="center" vertical="center" wrapText="1"/>
    </xf>
    <xf numFmtId="0" fontId="10" fillId="0" borderId="32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11" fillId="4" borderId="10" xfId="0" applyFont="1" applyFill="1" applyBorder="1" applyAlignment="1">
      <alignment horizontal="left" vertical="center" wrapText="1"/>
    </xf>
    <xf numFmtId="0" fontId="70" fillId="41" borderId="0" xfId="0" applyFont="1" applyFill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76" fillId="0" borderId="232" xfId="0" applyFont="1" applyBorder="1" applyAlignment="1">
      <alignment horizontal="center" vertical="center" textRotation="90"/>
    </xf>
    <xf numFmtId="0" fontId="38" fillId="13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3" fillId="0" borderId="0" xfId="0" applyFont="1" applyAlignment="1">
      <alignment horizontal="left" vertical="center" wrapText="1"/>
    </xf>
    <xf numFmtId="0" fontId="0" fillId="0" borderId="0" xfId="0"/>
    <xf numFmtId="43" fontId="38" fillId="12" borderId="50" xfId="1" applyFont="1" applyFill="1" applyBorder="1" applyAlignment="1">
      <alignment horizontal="center" vertical="center"/>
    </xf>
    <xf numFmtId="43" fontId="38" fillId="12" borderId="51" xfId="1" applyFont="1" applyFill="1" applyBorder="1" applyAlignment="1">
      <alignment horizontal="center" vertical="center"/>
    </xf>
    <xf numFmtId="0" fontId="38" fillId="12" borderId="50" xfId="0" applyFont="1" applyFill="1" applyBorder="1" applyAlignment="1">
      <alignment horizontal="center" vertical="center"/>
    </xf>
    <xf numFmtId="0" fontId="38" fillId="12" borderId="51" xfId="0" applyFont="1" applyFill="1" applyBorder="1" applyAlignment="1">
      <alignment horizontal="center" vertical="center"/>
    </xf>
    <xf numFmtId="0" fontId="38" fillId="13" borderId="71" xfId="0" applyFont="1" applyFill="1" applyBorder="1" applyAlignment="1">
      <alignment horizontal="center" vertical="center" wrapText="1"/>
    </xf>
    <xf numFmtId="0" fontId="38" fillId="13" borderId="72" xfId="0" applyFont="1" applyFill="1" applyBorder="1" applyAlignment="1">
      <alignment horizontal="center" vertical="center" wrapText="1"/>
    </xf>
    <xf numFmtId="0" fontId="3" fillId="0" borderId="74" xfId="0" applyFont="1" applyBorder="1" applyAlignment="1">
      <alignment horizontal="center" vertical="center"/>
    </xf>
    <xf numFmtId="0" fontId="3" fillId="0" borderId="75" xfId="0" applyFont="1" applyBorder="1" applyAlignment="1">
      <alignment horizontal="center" vertical="center"/>
    </xf>
    <xf numFmtId="167" fontId="42" fillId="19" borderId="198" xfId="0" applyNumberFormat="1" applyFont="1" applyFill="1" applyBorder="1" applyAlignment="1">
      <alignment horizontal="center"/>
    </xf>
    <xf numFmtId="0" fontId="40" fillId="0" borderId="200" xfId="0" applyFont="1" applyBorder="1"/>
    <xf numFmtId="0" fontId="11" fillId="15" borderId="96" xfId="0" applyFont="1" applyFill="1" applyBorder="1" applyAlignment="1">
      <alignment horizontal="center" vertical="center" wrapText="1"/>
    </xf>
    <xf numFmtId="0" fontId="40" fillId="0" borderId="0" xfId="0" applyFont="1"/>
    <xf numFmtId="0" fontId="40" fillId="0" borderId="97" xfId="0" applyFont="1" applyBorder="1"/>
    <xf numFmtId="0" fontId="11" fillId="16" borderId="96" xfId="0" applyFont="1" applyFill="1" applyBorder="1" applyAlignment="1">
      <alignment horizontal="center" vertical="center" wrapText="1"/>
    </xf>
    <xf numFmtId="0" fontId="42" fillId="19" borderId="198" xfId="0" applyFont="1" applyFill="1" applyBorder="1" applyAlignment="1">
      <alignment horizontal="center"/>
    </xf>
    <xf numFmtId="0" fontId="42" fillId="19" borderId="199" xfId="0" applyFont="1" applyFill="1" applyBorder="1" applyAlignment="1">
      <alignment horizontal="center"/>
    </xf>
    <xf numFmtId="0" fontId="40" fillId="0" borderId="199" xfId="0" applyFont="1" applyBorder="1"/>
    <xf numFmtId="0" fontId="42" fillId="19" borderId="217" xfId="0" applyFont="1" applyFill="1" applyBorder="1" applyAlignment="1">
      <alignment horizontal="center"/>
    </xf>
    <xf numFmtId="0" fontId="40" fillId="0" borderId="218" xfId="0" applyFont="1" applyBorder="1"/>
    <xf numFmtId="0" fontId="11" fillId="15" borderId="18" xfId="0" applyFont="1" applyFill="1" applyBorder="1" applyAlignment="1">
      <alignment horizontal="center" vertical="center" wrapText="1"/>
    </xf>
    <xf numFmtId="0" fontId="40" fillId="0" borderId="19" xfId="0" applyFont="1" applyBorder="1"/>
    <xf numFmtId="0" fontId="11" fillId="16" borderId="18" xfId="0" applyFont="1" applyFill="1" applyBorder="1" applyAlignment="1">
      <alignment horizontal="center" vertical="center" wrapText="1"/>
    </xf>
    <xf numFmtId="0" fontId="61" fillId="30" borderId="0" xfId="0" applyFont="1" applyFill="1" applyAlignment="1">
      <alignment horizontal="center" vertical="center"/>
    </xf>
    <xf numFmtId="0" fontId="39" fillId="13" borderId="84" xfId="0" applyFont="1" applyFill="1" applyBorder="1" applyAlignment="1">
      <alignment horizontal="center" vertical="center" wrapText="1"/>
    </xf>
    <xf numFmtId="0" fontId="39" fillId="13" borderId="6" xfId="0" applyFont="1" applyFill="1" applyBorder="1" applyAlignment="1">
      <alignment horizontal="center" vertical="center" wrapText="1"/>
    </xf>
    <xf numFmtId="43" fontId="70" fillId="30" borderId="0" xfId="1" applyFont="1" applyFill="1" applyAlignment="1">
      <alignment horizontal="center" vertical="center"/>
    </xf>
    <xf numFmtId="0" fontId="17" fillId="3" borderId="262" xfId="0" applyFont="1" applyFill="1" applyBorder="1" applyAlignment="1">
      <alignment horizontal="left" vertical="center" wrapText="1"/>
    </xf>
    <xf numFmtId="0" fontId="17" fillId="3" borderId="30" xfId="0" applyFont="1" applyFill="1" applyBorder="1" applyAlignment="1">
      <alignment horizontal="left" vertical="center" wrapText="1"/>
    </xf>
    <xf numFmtId="0" fontId="11" fillId="39" borderId="18" xfId="0" applyFont="1" applyFill="1" applyBorder="1" applyAlignment="1">
      <alignment horizontal="center" vertical="center" wrapText="1"/>
    </xf>
    <xf numFmtId="0" fontId="11" fillId="39" borderId="0" xfId="0" applyFont="1" applyFill="1" applyAlignment="1">
      <alignment horizontal="center" vertical="center" wrapText="1"/>
    </xf>
    <xf numFmtId="0" fontId="11" fillId="2" borderId="18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52" fillId="38" borderId="0" xfId="0" applyFont="1" applyFill="1" applyAlignment="1">
      <alignment horizontal="center" vertical="center"/>
    </xf>
    <xf numFmtId="0" fontId="5" fillId="20" borderId="122" xfId="0" applyFont="1" applyFill="1" applyBorder="1" applyAlignment="1">
      <alignment horizontal="center" vertical="center" wrapText="1"/>
    </xf>
    <xf numFmtId="0" fontId="40" fillId="0" borderId="123" xfId="0" applyFont="1" applyBorder="1"/>
    <xf numFmtId="0" fontId="40" fillId="0" borderId="124" xfId="0" applyFont="1" applyBorder="1"/>
    <xf numFmtId="0" fontId="31" fillId="0" borderId="0" xfId="0" applyFont="1" applyAlignment="1">
      <alignment horizontal="center"/>
    </xf>
    <xf numFmtId="0" fontId="11" fillId="15" borderId="94" xfId="0" applyFont="1" applyFill="1" applyBorder="1" applyAlignment="1">
      <alignment horizontal="center" vertical="center" wrapText="1"/>
    </xf>
    <xf numFmtId="0" fontId="40" fillId="0" borderId="39" xfId="0" applyFont="1" applyBorder="1"/>
    <xf numFmtId="0" fontId="40" fillId="0" borderId="95" xfId="0" applyFont="1" applyBorder="1"/>
    <xf numFmtId="0" fontId="11" fillId="16" borderId="94" xfId="0" applyFont="1" applyFill="1" applyBorder="1" applyAlignment="1">
      <alignment horizontal="center" vertical="center" wrapText="1"/>
    </xf>
    <xf numFmtId="167" fontId="47" fillId="14" borderId="132" xfId="0" applyNumberFormat="1" applyFont="1" applyFill="1" applyBorder="1" applyAlignment="1">
      <alignment horizontal="left" vertical="center"/>
    </xf>
    <xf numFmtId="0" fontId="40" fillId="0" borderId="133" xfId="0" applyFont="1" applyBorder="1"/>
    <xf numFmtId="0" fontId="40" fillId="0" borderId="134" xfId="0" applyFont="1" applyBorder="1"/>
    <xf numFmtId="167" fontId="44" fillId="22" borderId="35" xfId="0" applyNumberFormat="1" applyFont="1" applyFill="1" applyBorder="1" applyAlignment="1">
      <alignment horizontal="left" vertical="center"/>
    </xf>
    <xf numFmtId="167" fontId="47" fillId="0" borderId="132" xfId="0" applyNumberFormat="1" applyFont="1" applyBorder="1" applyAlignment="1">
      <alignment horizontal="left" vertical="center"/>
    </xf>
    <xf numFmtId="167" fontId="45" fillId="20" borderId="35" xfId="0" applyNumberFormat="1" applyFont="1" applyFill="1" applyBorder="1" applyAlignment="1">
      <alignment horizontal="center" vertical="center"/>
    </xf>
    <xf numFmtId="0" fontId="40" fillId="0" borderId="130" xfId="0" applyFont="1" applyBorder="1"/>
    <xf numFmtId="167" fontId="44" fillId="21" borderId="35" xfId="0" applyNumberFormat="1" applyFont="1" applyFill="1" applyBorder="1" applyAlignment="1">
      <alignment horizontal="center" vertical="center"/>
    </xf>
    <xf numFmtId="167" fontId="44" fillId="21" borderId="35" xfId="0" applyNumberFormat="1" applyFont="1" applyFill="1" applyBorder="1" applyAlignment="1">
      <alignment horizontal="left" vertical="center"/>
    </xf>
    <xf numFmtId="0" fontId="53" fillId="22" borderId="165" xfId="0" applyFont="1" applyFill="1" applyBorder="1" applyAlignment="1">
      <alignment horizontal="right" vertical="center" wrapText="1"/>
    </xf>
    <xf numFmtId="0" fontId="40" fillId="0" borderId="166" xfId="0" applyFont="1" applyBorder="1"/>
    <xf numFmtId="0" fontId="40" fillId="0" borderId="167" xfId="0" applyFont="1" applyBorder="1"/>
    <xf numFmtId="0" fontId="51" fillId="0" borderId="145" xfId="0" applyFont="1" applyBorder="1" applyAlignment="1">
      <alignment horizontal="left" vertical="center" wrapText="1"/>
    </xf>
    <xf numFmtId="0" fontId="40" fillId="0" borderId="146" xfId="0" applyFont="1" applyBorder="1"/>
    <xf numFmtId="0" fontId="40" fillId="0" borderId="147" xfId="0" applyFont="1" applyBorder="1"/>
    <xf numFmtId="0" fontId="40" fillId="0" borderId="148" xfId="0" applyFont="1" applyBorder="1"/>
    <xf numFmtId="0" fontId="40" fillId="0" borderId="149" xfId="0" applyFont="1" applyBorder="1"/>
    <xf numFmtId="0" fontId="40" fillId="0" borderId="150" xfId="0" applyFont="1" applyBorder="1"/>
    <xf numFmtId="0" fontId="40" fillId="0" borderId="111" xfId="0" applyFont="1" applyBorder="1"/>
    <xf numFmtId="0" fontId="40" fillId="0" borderId="151" xfId="0" applyFont="1" applyBorder="1"/>
    <xf numFmtId="0" fontId="52" fillId="0" borderId="89" xfId="0" applyFont="1" applyBorder="1" applyAlignment="1">
      <alignment horizontal="left" vertical="center"/>
    </xf>
    <xf numFmtId="0" fontId="40" fillId="0" borderId="90" xfId="0" applyFont="1" applyBorder="1"/>
    <xf numFmtId="0" fontId="40" fillId="0" borderId="152" xfId="0" applyFont="1" applyBorder="1"/>
    <xf numFmtId="0" fontId="52" fillId="0" borderId="35" xfId="0" applyFont="1" applyBorder="1" applyAlignment="1">
      <alignment horizontal="left" vertical="center"/>
    </xf>
    <xf numFmtId="14" fontId="52" fillId="0" borderId="35" xfId="0" applyNumberFormat="1" applyFont="1" applyBorder="1" applyAlignment="1">
      <alignment horizontal="left" vertical="center"/>
    </xf>
    <xf numFmtId="0" fontId="52" fillId="0" borderId="153" xfId="0" applyFont="1" applyBorder="1" applyAlignment="1">
      <alignment horizontal="left" vertical="center"/>
    </xf>
    <xf numFmtId="0" fontId="40" fillId="0" borderId="154" xfId="0" applyFont="1" applyBorder="1"/>
    <xf numFmtId="0" fontId="40" fillId="0" borderId="155" xfId="0" applyFont="1" applyBorder="1"/>
    <xf numFmtId="0" fontId="8" fillId="24" borderId="122" xfId="0" applyFont="1" applyFill="1" applyBorder="1" applyAlignment="1">
      <alignment horizontal="center" vertical="center" wrapText="1"/>
    </xf>
    <xf numFmtId="0" fontId="40" fillId="0" borderId="156" xfId="0" applyFont="1" applyBorder="1"/>
    <xf numFmtId="0" fontId="42" fillId="19" borderId="198" xfId="0" applyFont="1" applyFill="1" applyBorder="1" applyAlignment="1">
      <alignment horizontal="center" vertical="center"/>
    </xf>
    <xf numFmtId="0" fontId="40" fillId="0" borderId="199" xfId="0" applyFont="1" applyBorder="1" applyAlignment="1">
      <alignment vertical="center"/>
    </xf>
    <xf numFmtId="0" fontId="40" fillId="0" borderId="200" xfId="0" applyFont="1" applyBorder="1" applyAlignment="1">
      <alignment vertical="center"/>
    </xf>
    <xf numFmtId="0" fontId="42" fillId="19" borderId="122" xfId="0" applyFont="1" applyFill="1" applyBorder="1" applyAlignment="1">
      <alignment horizontal="center" vertical="center"/>
    </xf>
    <xf numFmtId="0" fontId="40" fillId="0" borderId="123" xfId="0" applyFont="1" applyBorder="1" applyAlignment="1">
      <alignment vertical="center"/>
    </xf>
    <xf numFmtId="0" fontId="40" fillId="0" borderId="156" xfId="0" applyFont="1" applyBorder="1" applyAlignment="1">
      <alignment vertical="center"/>
    </xf>
    <xf numFmtId="0" fontId="42" fillId="19" borderId="122" xfId="0" applyFont="1" applyFill="1" applyBorder="1" applyAlignment="1">
      <alignment horizontal="center"/>
    </xf>
    <xf numFmtId="0" fontId="3" fillId="0" borderId="50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81" fillId="0" borderId="30" xfId="0" applyFont="1" applyBorder="1" applyAlignment="1">
      <alignment horizontal="center" vertical="center"/>
    </xf>
    <xf numFmtId="0" fontId="21" fillId="17" borderId="14" xfId="0" applyFont="1" applyFill="1" applyBorder="1" applyAlignment="1">
      <alignment horizontal="center" vertical="center"/>
    </xf>
    <xf numFmtId="0" fontId="40" fillId="0" borderId="15" xfId="0" applyFont="1" applyBorder="1"/>
    <xf numFmtId="0" fontId="57" fillId="17" borderId="20" xfId="0" applyFont="1" applyFill="1" applyBorder="1" applyAlignment="1">
      <alignment horizontal="center" vertical="center"/>
    </xf>
    <xf numFmtId="0" fontId="40" fillId="0" borderId="20" xfId="0" applyFont="1" applyBorder="1"/>
    <xf numFmtId="43" fontId="21" fillId="17" borderId="228" xfId="1" applyFont="1" applyFill="1" applyBorder="1" applyAlignment="1">
      <alignment horizontal="center" vertical="center"/>
    </xf>
    <xf numFmtId="43" fontId="21" fillId="17" borderId="287" xfId="1" applyFont="1" applyFill="1" applyBorder="1" applyAlignment="1">
      <alignment horizontal="center" vertical="center"/>
    </xf>
    <xf numFmtId="0" fontId="52" fillId="0" borderId="30" xfId="0" applyFont="1" applyBorder="1" applyAlignment="1">
      <alignment horizontal="center" vertical="center"/>
    </xf>
    <xf numFmtId="0" fontId="29" fillId="0" borderId="30" xfId="0" applyFont="1" applyBorder="1" applyAlignment="1">
      <alignment horizontal="center"/>
    </xf>
    <xf numFmtId="0" fontId="21" fillId="17" borderId="2" xfId="0" applyFont="1" applyFill="1" applyBorder="1" applyAlignment="1">
      <alignment horizontal="center" vertical="center"/>
    </xf>
    <xf numFmtId="0" fontId="21" fillId="17" borderId="3" xfId="0" applyFont="1" applyFill="1" applyBorder="1" applyAlignment="1">
      <alignment horizontal="center" vertical="center"/>
    </xf>
    <xf numFmtId="43" fontId="21" fillId="17" borderId="1" xfId="1" applyFont="1" applyFill="1" applyBorder="1" applyAlignment="1">
      <alignment horizontal="center" vertical="center"/>
    </xf>
    <xf numFmtId="0" fontId="21" fillId="17" borderId="2" xfId="0" applyFont="1" applyFill="1" applyBorder="1" applyAlignment="1">
      <alignment horizontal="center" vertical="center" wrapText="1"/>
    </xf>
    <xf numFmtId="0" fontId="30" fillId="30" borderId="0" xfId="0" applyFont="1" applyFill="1" applyAlignment="1">
      <alignment horizontal="center"/>
    </xf>
    <xf numFmtId="43" fontId="66" fillId="3" borderId="256" xfId="9" applyFont="1" applyFill="1" applyBorder="1" applyAlignment="1" applyProtection="1">
      <alignment horizontal="left" vertical="center" wrapText="1"/>
    </xf>
    <xf numFmtId="43" fontId="66" fillId="3" borderId="254" xfId="9" applyFont="1" applyFill="1" applyBorder="1" applyAlignment="1" applyProtection="1">
      <alignment horizontal="left" vertical="center" wrapText="1"/>
    </xf>
    <xf numFmtId="43" fontId="25" fillId="3" borderId="257" xfId="9" applyFont="1" applyFill="1" applyBorder="1" applyAlignment="1">
      <alignment horizontal="left" vertical="center" wrapText="1"/>
    </xf>
    <xf numFmtId="43" fontId="25" fillId="3" borderId="255" xfId="9" applyFont="1" applyFill="1" applyBorder="1" applyAlignment="1">
      <alignment horizontal="left" vertical="center" wrapText="1"/>
    </xf>
    <xf numFmtId="0" fontId="27" fillId="7" borderId="183" xfId="11" applyFont="1" applyFill="1" applyBorder="1" applyAlignment="1">
      <alignment horizontal="right" vertical="center" wrapText="1"/>
    </xf>
    <xf numFmtId="0" fontId="27" fillId="7" borderId="184" xfId="11" applyFont="1" applyFill="1" applyBorder="1" applyAlignment="1">
      <alignment horizontal="right" vertical="center" wrapText="1"/>
    </xf>
    <xf numFmtId="0" fontId="51" fillId="0" borderId="217" xfId="11" applyFont="1" applyBorder="1" applyAlignment="1">
      <alignment horizontal="left" vertical="center" wrapText="1"/>
    </xf>
    <xf numFmtId="0" fontId="51" fillId="0" borderId="244" xfId="11" applyFont="1" applyBorder="1" applyAlignment="1">
      <alignment horizontal="left" vertical="center" wrapText="1"/>
    </xf>
    <xf numFmtId="0" fontId="51" fillId="0" borderId="218" xfId="11" applyFont="1" applyBorder="1" applyAlignment="1">
      <alignment horizontal="left" vertical="center" wrapText="1"/>
    </xf>
    <xf numFmtId="0" fontId="51" fillId="0" borderId="18" xfId="11" applyFont="1" applyBorder="1" applyAlignment="1">
      <alignment horizontal="left" vertical="center" wrapText="1"/>
    </xf>
    <xf numFmtId="0" fontId="51" fillId="0" borderId="0" xfId="11" applyFont="1" applyAlignment="1">
      <alignment horizontal="left" vertical="center" wrapText="1"/>
    </xf>
    <xf numFmtId="0" fontId="51" fillId="0" borderId="19" xfId="11" applyFont="1" applyBorder="1" applyAlignment="1">
      <alignment horizontal="left" vertical="center" wrapText="1"/>
    </xf>
    <xf numFmtId="0" fontId="51" fillId="0" borderId="25" xfId="11" applyFont="1" applyBorder="1" applyAlignment="1">
      <alignment horizontal="left" vertical="center" wrapText="1"/>
    </xf>
    <xf numFmtId="0" fontId="51" fillId="0" borderId="26" xfId="11" applyFont="1" applyBorder="1" applyAlignment="1">
      <alignment horizontal="left" vertical="center" wrapText="1"/>
    </xf>
    <xf numFmtId="0" fontId="51" fillId="0" borderId="27" xfId="11" applyFont="1" applyBorder="1" applyAlignment="1">
      <alignment horizontal="left" vertical="center" wrapText="1"/>
    </xf>
    <xf numFmtId="0" fontId="52" fillId="0" borderId="222" xfId="11" applyFont="1" applyBorder="1" applyAlignment="1">
      <alignment horizontal="left" vertical="center"/>
    </xf>
    <xf numFmtId="0" fontId="52" fillId="0" borderId="194" xfId="11" applyFont="1" applyBorder="1" applyAlignment="1">
      <alignment horizontal="left" vertical="center"/>
    </xf>
    <xf numFmtId="0" fontId="52" fillId="0" borderId="246" xfId="11" applyFont="1" applyBorder="1" applyAlignment="1">
      <alignment horizontal="left" vertical="center"/>
    </xf>
    <xf numFmtId="14" fontId="52" fillId="0" borderId="222" xfId="11" applyNumberFormat="1" applyFont="1" applyBorder="1" applyAlignment="1">
      <alignment horizontal="left" vertical="center"/>
    </xf>
    <xf numFmtId="14" fontId="52" fillId="0" borderId="194" xfId="11" applyNumberFormat="1" applyFont="1" applyBorder="1" applyAlignment="1">
      <alignment horizontal="left" vertical="center"/>
    </xf>
    <xf numFmtId="14" fontId="52" fillId="0" borderId="246" xfId="11" applyNumberFormat="1" applyFont="1" applyBorder="1" applyAlignment="1">
      <alignment horizontal="left" vertical="center"/>
    </xf>
    <xf numFmtId="169" fontId="52" fillId="0" borderId="222" xfId="11" applyNumberFormat="1" applyFont="1" applyBorder="1" applyAlignment="1">
      <alignment horizontal="left" vertical="center" wrapText="1"/>
    </xf>
    <xf numFmtId="169" fontId="52" fillId="0" borderId="194" xfId="11" applyNumberFormat="1" applyFont="1" applyBorder="1" applyAlignment="1">
      <alignment horizontal="left" vertical="center" wrapText="1"/>
    </xf>
    <xf numFmtId="169" fontId="52" fillId="0" borderId="246" xfId="11" applyNumberFormat="1" applyFont="1" applyBorder="1" applyAlignment="1">
      <alignment horizontal="left" vertical="center" wrapText="1"/>
    </xf>
    <xf numFmtId="0" fontId="18" fillId="25" borderId="286" xfId="0" applyFont="1" applyFill="1" applyBorder="1" applyAlignment="1">
      <alignment horizontal="left" vertical="center"/>
    </xf>
    <xf numFmtId="4" fontId="18" fillId="25" borderId="274" xfId="0" applyNumberFormat="1" applyFont="1" applyFill="1" applyBorder="1" applyAlignment="1">
      <alignment horizontal="center" vertical="center"/>
    </xf>
    <xf numFmtId="44" fontId="18" fillId="25" borderId="275" xfId="10" applyFont="1" applyFill="1" applyBorder="1" applyAlignment="1">
      <alignment vertical="center"/>
    </xf>
  </cellXfs>
  <cellStyles count="16">
    <cellStyle name="Hiperlink" xfId="15" builtinId="8"/>
    <cellStyle name="Moeda" xfId="10" builtinId="4"/>
    <cellStyle name="Moeda 2" xfId="13" xr:uid="{4E581D63-33C7-491A-AD53-1EDAAF436448}"/>
    <cellStyle name="Normal" xfId="0" builtinId="0"/>
    <cellStyle name="Normal 2" xfId="2" xr:uid="{00000000-0005-0000-0000-000001000000}"/>
    <cellStyle name="Normal 3" xfId="7" xr:uid="{E04F1BAC-8E74-4A37-9445-C7335308FD48}"/>
    <cellStyle name="Normal 4" xfId="11" xr:uid="{13D9622F-E44A-471C-8782-FA16B7341C23}"/>
    <cellStyle name="Normal 7" xfId="5" xr:uid="{B5D56057-44D1-4A2B-9814-263CBEA5E92D}"/>
    <cellStyle name="Porcentagem" xfId="6" builtinId="5"/>
    <cellStyle name="Porcentagem 2" xfId="14" xr:uid="{0BF8F3FE-076F-4776-B968-0CD96258F635}"/>
    <cellStyle name="Vírgula" xfId="1" builtinId="3"/>
    <cellStyle name="Vírgula 2" xfId="3" xr:uid="{00000000-0005-0000-0000-000003000000}"/>
    <cellStyle name="Vírgula 3" xfId="4" xr:uid="{CB7286E0-BC89-40FF-A0E8-A589AC34F77F}"/>
    <cellStyle name="Vírgula 3 2" xfId="8" xr:uid="{D82165B7-4EED-487C-97CF-88B56AB4ACE7}"/>
    <cellStyle name="Vírgula 4" xfId="9" xr:uid="{36500701-2F34-46A0-BEC0-E5982B15FF0A}"/>
    <cellStyle name="Vírgula 5" xfId="12" xr:uid="{CEB5C27F-59E5-418E-9E4A-B45C9E72195E}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4" formatCode="#,##0.00"/>
      <fill>
        <patternFill patternType="solid">
          <fgColor rgb="FFFFFFFF"/>
          <bgColor rgb="FFFFFFFF"/>
        </patternFill>
      </fill>
      <border diagonalUp="0" diagonalDown="0">
        <left style="thin">
          <color rgb="FF000000"/>
        </left>
        <right/>
        <top style="hair">
          <color rgb="FF000000"/>
        </top>
        <bottom style="hair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4" formatCode="#,##0.00"/>
      <fill>
        <patternFill patternType="solid">
          <fgColor rgb="FFFFFFFF"/>
          <bgColor rgb="FFFFFFFF"/>
        </patternFill>
      </fill>
      <border diagonalUp="0" diagonalDown="0">
        <left style="thin">
          <color rgb="FF000000"/>
        </left>
        <right/>
        <top style="hair">
          <color rgb="FF000000"/>
        </top>
        <bottom style="hair">
          <color rgb="FF000000"/>
        </bottom>
        <vertical/>
        <horizontal/>
      </border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theme="6"/>
          <bgColor theme="6"/>
        </patternFill>
      </fill>
    </dxf>
  </dxfs>
  <tableStyles count="1" defaultTableStyle="TableStyleMedium2" defaultPivotStyle="PivotStyleLight16">
    <tableStyle name="FACHADA-style" pivot="0" count="3" xr9:uid="{E411F99F-C7A4-43F3-A81F-DCF528009C2D}">
      <tableStyleElement type="headerRow" dxfId="9"/>
      <tableStyleElement type="firstRowStripe" dxfId="8"/>
      <tableStyleElement type="secondRowStripe" dxfId="7"/>
    </tableStyle>
  </tableStyles>
  <colors>
    <mruColors>
      <color rgb="FFA80000"/>
      <color rgb="FF8E0000"/>
      <color rgb="FF004600"/>
      <color rgb="FFFF9393"/>
      <color rgb="FFFC9E9E"/>
      <color rgb="FF003C66"/>
      <color rgb="FF0016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externalLink" Target="externalLinks/externalLink3.xml"/><Relationship Id="rId50" Type="http://schemas.openxmlformats.org/officeDocument/2006/relationships/theme" Target="theme/theme1.xml"/><Relationship Id="rId55" Type="http://schemas.microsoft.com/office/2017/10/relationships/person" Target="persons/pers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1.xml"/><Relationship Id="rId53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externalLink" Target="externalLinks/externalLink4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2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5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5.pn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97595</xdr:colOff>
      <xdr:row>0</xdr:row>
      <xdr:rowOff>225491</xdr:rowOff>
    </xdr:from>
    <xdr:to>
      <xdr:col>7</xdr:col>
      <xdr:colOff>1521657</xdr:colOff>
      <xdr:row>2</xdr:row>
      <xdr:rowOff>3071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D0A8EF1-5172-424E-904A-801C19BD0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3045" y="225491"/>
          <a:ext cx="1424062" cy="2398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152401</xdr:rowOff>
    </xdr:from>
    <xdr:to>
      <xdr:col>11</xdr:col>
      <xdr:colOff>110216</xdr:colOff>
      <xdr:row>50</xdr:row>
      <xdr:rowOff>740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9849611-E427-0505-E197-90ED02A38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956613"/>
          <a:ext cx="12269912" cy="52966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106661</xdr:colOff>
      <xdr:row>40</xdr:row>
      <xdr:rowOff>162969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D70B9D5-8C5B-5472-A727-EBFD7ABC42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517861" cy="747816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152400</xdr:rowOff>
    </xdr:from>
    <xdr:to>
      <xdr:col>8</xdr:col>
      <xdr:colOff>164080</xdr:colOff>
      <xdr:row>66</xdr:row>
      <xdr:rowOff>106012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BB15D48-7741-47A9-9051-B6974C722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650480"/>
          <a:ext cx="5040880" cy="45256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31439</xdr:colOff>
      <xdr:row>1</xdr:row>
      <xdr:rowOff>94540</xdr:rowOff>
    </xdr:from>
    <xdr:ext cx="1428750" cy="276225"/>
    <xdr:pic>
      <xdr:nvPicPr>
        <xdr:cNvPr id="2" name="image1.png">
          <a:extLst>
            <a:ext uri="{FF2B5EF4-FFF2-40B4-BE49-F238E27FC236}">
              <a16:creationId xmlns:a16="http://schemas.microsoft.com/office/drawing/2014/main" id="{9815979B-F2D1-4849-8B68-5C8ED827F9C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399979" y="262180"/>
          <a:ext cx="1428750" cy="2762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0</xdr:colOff>
      <xdr:row>30</xdr:row>
      <xdr:rowOff>157076</xdr:rowOff>
    </xdr:from>
    <xdr:to>
      <xdr:col>6</xdr:col>
      <xdr:colOff>460299</xdr:colOff>
      <xdr:row>38</xdr:row>
      <xdr:rowOff>117279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A0DF8193-B863-4673-5409-10D5B9DB8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311782"/>
          <a:ext cx="7840717" cy="133426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</xdr:row>
      <xdr:rowOff>66675</xdr:rowOff>
    </xdr:from>
    <xdr:ext cx="1381125" cy="228600"/>
    <xdr:pic>
      <xdr:nvPicPr>
        <xdr:cNvPr id="2" name="image1.png">
          <a:extLst>
            <a:ext uri="{FF2B5EF4-FFF2-40B4-BE49-F238E27FC236}">
              <a16:creationId xmlns:a16="http://schemas.microsoft.com/office/drawing/2014/main" id="{E46252AD-3E94-4A10-B9EE-B635C988E8C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230600" y="257175"/>
          <a:ext cx="1381125" cy="2286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0</xdr:colOff>
      <xdr:row>486</xdr:row>
      <xdr:rowOff>0</xdr:rowOff>
    </xdr:from>
    <xdr:to>
      <xdr:col>2</xdr:col>
      <xdr:colOff>2516515</xdr:colOff>
      <xdr:row>1030</xdr:row>
      <xdr:rowOff>181150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D7C04B-7926-A392-3909-D1192C5A6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5016340"/>
          <a:ext cx="4353533" cy="312463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137160</xdr:colOff>
      <xdr:row>1</xdr:row>
      <xdr:rowOff>43815</xdr:rowOff>
    </xdr:from>
    <xdr:ext cx="1381125" cy="228600"/>
    <xdr:pic>
      <xdr:nvPicPr>
        <xdr:cNvPr id="2" name="image1.png">
          <a:extLst>
            <a:ext uri="{FF2B5EF4-FFF2-40B4-BE49-F238E27FC236}">
              <a16:creationId xmlns:a16="http://schemas.microsoft.com/office/drawing/2014/main" id="{A8893E71-3917-4648-A535-6893A6E982A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291560" y="234315"/>
          <a:ext cx="1381125" cy="228600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76200</xdr:colOff>
      <xdr:row>1</xdr:row>
      <xdr:rowOff>66675</xdr:rowOff>
    </xdr:from>
    <xdr:ext cx="1381125" cy="228600"/>
    <xdr:pic>
      <xdr:nvPicPr>
        <xdr:cNvPr id="2" name="image1.png">
          <a:extLst>
            <a:ext uri="{FF2B5EF4-FFF2-40B4-BE49-F238E27FC236}">
              <a16:creationId xmlns:a16="http://schemas.microsoft.com/office/drawing/2014/main" id="{EFF8C440-B947-4793-856B-B5A2E2F2F75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230600" y="257175"/>
          <a:ext cx="1381125" cy="2286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0</xdr:colOff>
      <xdr:row>483</xdr:row>
      <xdr:rowOff>0</xdr:rowOff>
    </xdr:from>
    <xdr:to>
      <xdr:col>3</xdr:col>
      <xdr:colOff>1515083</xdr:colOff>
      <xdr:row>500</xdr:row>
      <xdr:rowOff>145216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EBCD48D-0189-438A-854A-51F533B41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5016340"/>
          <a:ext cx="4353533" cy="312463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697051</xdr:colOff>
      <xdr:row>1</xdr:row>
      <xdr:rowOff>67508</xdr:rowOff>
    </xdr:from>
    <xdr:ext cx="1428750" cy="276225"/>
    <xdr:pic>
      <xdr:nvPicPr>
        <xdr:cNvPr id="2" name="image1.png">
          <a:extLst>
            <a:ext uri="{FF2B5EF4-FFF2-40B4-BE49-F238E27FC236}">
              <a16:creationId xmlns:a16="http://schemas.microsoft.com/office/drawing/2014/main" id="{85B4AAF8-D02F-4E5F-8454-CF9D7209B51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50251" y="235148"/>
          <a:ext cx="1428750" cy="2762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0</xdr:colOff>
      <xdr:row>40</xdr:row>
      <xdr:rowOff>119380</xdr:rowOff>
    </xdr:from>
    <xdr:to>
      <xdr:col>2</xdr:col>
      <xdr:colOff>415725</xdr:colOff>
      <xdr:row>59</xdr:row>
      <xdr:rowOff>155012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E7F13D0-5CF6-7730-3DEB-F308C2534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1380"/>
          <a:ext cx="4624505" cy="3540831"/>
        </a:xfrm>
        <a:prstGeom prst="rect">
          <a:avLst/>
        </a:prstGeom>
      </xdr:spPr>
    </xdr:pic>
    <xdr:clientData/>
  </xdr:twoCellAnchor>
  <xdr:twoCellAnchor editAs="oneCell">
    <xdr:from>
      <xdr:col>0</xdr:col>
      <xdr:colOff>106680</xdr:colOff>
      <xdr:row>58</xdr:row>
      <xdr:rowOff>158304</xdr:rowOff>
    </xdr:from>
    <xdr:to>
      <xdr:col>6</xdr:col>
      <xdr:colOff>574839</xdr:colOff>
      <xdr:row>69</xdr:row>
      <xdr:rowOff>3670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DF8FFB1-0094-F038-C47B-3CC1B02FAC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6680" y="10585004"/>
          <a:ext cx="7914169" cy="18837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10</xdr:col>
      <xdr:colOff>478752</xdr:colOff>
      <xdr:row>93</xdr:row>
      <xdr:rowOff>154340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DF46B3BE-345B-8464-A4AB-5049DB2B2D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3769788"/>
          <a:ext cx="12574755" cy="185763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</xdr:row>
      <xdr:rowOff>62752</xdr:rowOff>
    </xdr:from>
    <xdr:to>
      <xdr:col>6</xdr:col>
      <xdr:colOff>606646</xdr:colOff>
      <xdr:row>82</xdr:row>
      <xdr:rowOff>155728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21D1C2CB-8267-68DF-923A-8CBDFF9E2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1304493"/>
          <a:ext cx="8047427" cy="2254667"/>
        </a:xfrm>
        <a:prstGeom prst="rect">
          <a:avLst/>
        </a:prstGeom>
      </xdr:spPr>
    </xdr:pic>
    <xdr:clientData/>
  </xdr:twoCellAnchor>
  <xdr:twoCellAnchor editAs="oneCell">
    <xdr:from>
      <xdr:col>6</xdr:col>
      <xdr:colOff>869576</xdr:colOff>
      <xdr:row>72</xdr:row>
      <xdr:rowOff>17540</xdr:rowOff>
    </xdr:from>
    <xdr:to>
      <xdr:col>8</xdr:col>
      <xdr:colOff>479214</xdr:colOff>
      <xdr:row>82</xdr:row>
      <xdr:rowOff>3232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3A8F7D7-EF39-2EB7-496A-DB8D7E1ED0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319247" y="11617869"/>
          <a:ext cx="2552677" cy="178625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537031</xdr:colOff>
      <xdr:row>1</xdr:row>
      <xdr:rowOff>59888</xdr:rowOff>
    </xdr:from>
    <xdr:ext cx="1428750" cy="276225"/>
    <xdr:pic>
      <xdr:nvPicPr>
        <xdr:cNvPr id="2" name="image1.png">
          <a:extLst>
            <a:ext uri="{FF2B5EF4-FFF2-40B4-BE49-F238E27FC236}">
              <a16:creationId xmlns:a16="http://schemas.microsoft.com/office/drawing/2014/main" id="{22EA2315-1C6C-4987-A17E-F9495C66A1C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958911" y="227528"/>
          <a:ext cx="1428750" cy="276225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697051</xdr:colOff>
      <xdr:row>1</xdr:row>
      <xdr:rowOff>67508</xdr:rowOff>
    </xdr:from>
    <xdr:ext cx="1428750" cy="276225"/>
    <xdr:pic>
      <xdr:nvPicPr>
        <xdr:cNvPr id="2" name="image1.png">
          <a:extLst>
            <a:ext uri="{FF2B5EF4-FFF2-40B4-BE49-F238E27FC236}">
              <a16:creationId xmlns:a16="http://schemas.microsoft.com/office/drawing/2014/main" id="{1964E3F4-4128-44EE-8F87-8D8254EE1D9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38771" y="235148"/>
          <a:ext cx="1428750" cy="276225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76200</xdr:colOff>
      <xdr:row>1</xdr:row>
      <xdr:rowOff>66675</xdr:rowOff>
    </xdr:from>
    <xdr:ext cx="1381125" cy="228600"/>
    <xdr:pic>
      <xdr:nvPicPr>
        <xdr:cNvPr id="2" name="image1.png">
          <a:extLst>
            <a:ext uri="{FF2B5EF4-FFF2-40B4-BE49-F238E27FC236}">
              <a16:creationId xmlns:a16="http://schemas.microsoft.com/office/drawing/2014/main" id="{58A43C2D-DFB0-4B80-8C93-EF75951C359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541500" y="258445"/>
          <a:ext cx="1381125" cy="228600"/>
        </a:xfrm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697051</xdr:colOff>
      <xdr:row>1</xdr:row>
      <xdr:rowOff>67508</xdr:rowOff>
    </xdr:from>
    <xdr:ext cx="1428750" cy="276225"/>
    <xdr:pic>
      <xdr:nvPicPr>
        <xdr:cNvPr id="2" name="image1.png">
          <a:extLst>
            <a:ext uri="{FF2B5EF4-FFF2-40B4-BE49-F238E27FC236}">
              <a16:creationId xmlns:a16="http://schemas.microsoft.com/office/drawing/2014/main" id="{BE87667C-09F4-4CA3-ACAA-100D3953F46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42631" y="235148"/>
          <a:ext cx="1428750" cy="276225"/>
        </a:xfrm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801722</xdr:colOff>
      <xdr:row>1</xdr:row>
      <xdr:rowOff>77975</xdr:rowOff>
    </xdr:from>
    <xdr:ext cx="1428750" cy="276225"/>
    <xdr:pic>
      <xdr:nvPicPr>
        <xdr:cNvPr id="2" name="image1.png">
          <a:extLst>
            <a:ext uri="{FF2B5EF4-FFF2-40B4-BE49-F238E27FC236}">
              <a16:creationId xmlns:a16="http://schemas.microsoft.com/office/drawing/2014/main" id="{8CA0D285-C2E3-41E6-AC86-E0C77A60112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62442" y="245615"/>
          <a:ext cx="1428750" cy="276225"/>
        </a:xfrm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114300</xdr:colOff>
      <xdr:row>0</xdr:row>
      <xdr:rowOff>205740</xdr:rowOff>
    </xdr:from>
    <xdr:to>
      <xdr:col>5</xdr:col>
      <xdr:colOff>1553602</xdr:colOff>
      <xdr:row>1</xdr:row>
      <xdr:rowOff>199357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81793E3-C143-4D69-9B0B-4A72BE21F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4020" y="205740"/>
          <a:ext cx="1431682" cy="23364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780145</xdr:colOff>
      <xdr:row>7</xdr:row>
      <xdr:rowOff>328705</xdr:rowOff>
    </xdr:from>
    <xdr:to>
      <xdr:col>6</xdr:col>
      <xdr:colOff>157918</xdr:colOff>
      <xdr:row>9</xdr:row>
      <xdr:rowOff>231751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B0C99A2-E90B-EEFA-8007-48FBE3468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68969" y="2749176"/>
          <a:ext cx="1514361" cy="687457"/>
        </a:xfrm>
        <a:prstGeom prst="rect">
          <a:avLst/>
        </a:prstGeom>
      </xdr:spPr>
    </xdr:pic>
    <xdr:clientData/>
  </xdr:twoCellAnchor>
  <xdr:twoCellAnchor>
    <xdr:from>
      <xdr:col>4</xdr:col>
      <xdr:colOff>97117</xdr:colOff>
      <xdr:row>8</xdr:row>
      <xdr:rowOff>194235</xdr:rowOff>
    </xdr:from>
    <xdr:to>
      <xdr:col>4</xdr:col>
      <xdr:colOff>687294</xdr:colOff>
      <xdr:row>9</xdr:row>
      <xdr:rowOff>127000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16F4BE54-26A5-0CD0-3546-95724B6FABEB}"/>
            </a:ext>
          </a:extLst>
        </xdr:cNvPr>
        <xdr:cNvCxnSpPr/>
      </xdr:nvCxnSpPr>
      <xdr:spPr>
        <a:xfrm flipV="1">
          <a:off x="9285941" y="3137647"/>
          <a:ext cx="590177" cy="19423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24129</xdr:rowOff>
    </xdr:from>
    <xdr:to>
      <xdr:col>12</xdr:col>
      <xdr:colOff>90214</xdr:colOff>
      <xdr:row>19</xdr:row>
      <xdr:rowOff>82814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DBEED36-0C2C-8B9D-D3A8-7F899CB21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8279"/>
          <a:ext cx="7919614" cy="337592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942975</xdr:colOff>
      <xdr:row>1</xdr:row>
      <xdr:rowOff>19050</xdr:rowOff>
    </xdr:from>
    <xdr:ext cx="4200525" cy="3124200"/>
    <xdr:pic>
      <xdr:nvPicPr>
        <xdr:cNvPr id="2" name="image3.png">
          <a:extLst>
            <a:ext uri="{FF2B5EF4-FFF2-40B4-BE49-F238E27FC236}">
              <a16:creationId xmlns:a16="http://schemas.microsoft.com/office/drawing/2014/main" id="{4FAD2FB6-D609-4897-9114-DCBF2D9E34B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353675" y="278130"/>
          <a:ext cx="4200525" cy="3124200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38100</xdr:colOff>
      <xdr:row>4</xdr:row>
      <xdr:rowOff>219075</xdr:rowOff>
    </xdr:from>
    <xdr:ext cx="7972425" cy="1800225"/>
    <xdr:pic>
      <xdr:nvPicPr>
        <xdr:cNvPr id="3" name="image2.png">
          <a:extLst>
            <a:ext uri="{FF2B5EF4-FFF2-40B4-BE49-F238E27FC236}">
              <a16:creationId xmlns:a16="http://schemas.microsoft.com/office/drawing/2014/main" id="{6048D061-C70B-4303-8706-D2866E81E48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528280" y="1179195"/>
          <a:ext cx="7972425" cy="18002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238125</xdr:colOff>
      <xdr:row>0</xdr:row>
      <xdr:rowOff>85725</xdr:rowOff>
    </xdr:from>
    <xdr:ext cx="1952625" cy="333375"/>
    <xdr:pic>
      <xdr:nvPicPr>
        <xdr:cNvPr id="4" name="image1.png">
          <a:extLst>
            <a:ext uri="{FF2B5EF4-FFF2-40B4-BE49-F238E27FC236}">
              <a16:creationId xmlns:a16="http://schemas.microsoft.com/office/drawing/2014/main" id="{D2C62DDF-B002-4755-AF72-EC0EC55A9F61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7179945" y="85725"/>
          <a:ext cx="1952625" cy="333375"/>
        </a:xfrm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85725</xdr:colOff>
      <xdr:row>1</xdr:row>
      <xdr:rowOff>85725</xdr:rowOff>
    </xdr:from>
    <xdr:ext cx="1428750" cy="247650"/>
    <xdr:pic>
      <xdr:nvPicPr>
        <xdr:cNvPr id="2" name="image4.png">
          <a:extLst>
            <a:ext uri="{FF2B5EF4-FFF2-40B4-BE49-F238E27FC236}">
              <a16:creationId xmlns:a16="http://schemas.microsoft.com/office/drawing/2014/main" id="{0CACC9E5-4CDE-4D7B-B939-382FC86D27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871585" y="314325"/>
          <a:ext cx="1428750" cy="247650"/>
        </a:xfrm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914400</xdr:colOff>
      <xdr:row>0</xdr:row>
      <xdr:rowOff>123825</xdr:rowOff>
    </xdr:from>
    <xdr:ext cx="2209800" cy="476250"/>
    <xdr:pic>
      <xdr:nvPicPr>
        <xdr:cNvPr id="2" name="image1.png">
          <a:extLst>
            <a:ext uri="{FF2B5EF4-FFF2-40B4-BE49-F238E27FC236}">
              <a16:creationId xmlns:a16="http://schemas.microsoft.com/office/drawing/2014/main" id="{6E462538-A48C-4D41-99D9-75B42A870D0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90360" y="123825"/>
          <a:ext cx="2209800" cy="476250"/>
        </a:xfrm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697051</xdr:colOff>
      <xdr:row>1</xdr:row>
      <xdr:rowOff>67508</xdr:rowOff>
    </xdr:from>
    <xdr:ext cx="1428750" cy="276225"/>
    <xdr:pic>
      <xdr:nvPicPr>
        <xdr:cNvPr id="2" name="image1.png">
          <a:extLst>
            <a:ext uri="{FF2B5EF4-FFF2-40B4-BE49-F238E27FC236}">
              <a16:creationId xmlns:a16="http://schemas.microsoft.com/office/drawing/2014/main" id="{7F157575-1E3A-420F-9196-852E7AD0D89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806511" y="235148"/>
          <a:ext cx="1428750" cy="276225"/>
        </a:xfrm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327660</xdr:colOff>
      <xdr:row>1</xdr:row>
      <xdr:rowOff>60960</xdr:rowOff>
    </xdr:from>
    <xdr:ext cx="1181100" cy="190500"/>
    <xdr:pic>
      <xdr:nvPicPr>
        <xdr:cNvPr id="2" name="image1.png">
          <a:extLst>
            <a:ext uri="{FF2B5EF4-FFF2-40B4-BE49-F238E27FC236}">
              <a16:creationId xmlns:a16="http://schemas.microsoft.com/office/drawing/2014/main" id="{C593B82E-AEBB-41A3-AF6A-1A5BBC53876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08180" y="251460"/>
          <a:ext cx="1181100" cy="1905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186687</xdr:colOff>
      <xdr:row>6</xdr:row>
      <xdr:rowOff>327475</xdr:rowOff>
    </xdr:from>
    <xdr:ext cx="7429534" cy="374141"/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B6B66253-85B3-A4EB-2401-F802D68E08F3}"/>
            </a:ext>
          </a:extLst>
        </xdr:cNvPr>
        <xdr:cNvSpPr/>
      </xdr:nvSpPr>
      <xdr:spPr>
        <a:xfrm>
          <a:off x="918207" y="1569535"/>
          <a:ext cx="7429534" cy="3741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pt-BR" sz="1800" b="0" cap="none" spc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Quantitativo</a:t>
          </a:r>
          <a:r>
            <a:rPr lang="pt-BR" sz="1800" b="0" cap="none" spc="0" baseline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extraído do modelo, devido a pendência da tabela de esquadrias</a:t>
          </a:r>
          <a:endParaRPr lang="pt-BR" sz="18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281940</xdr:colOff>
      <xdr:row>1</xdr:row>
      <xdr:rowOff>53340</xdr:rowOff>
    </xdr:from>
    <xdr:ext cx="1181100" cy="190500"/>
    <xdr:pic>
      <xdr:nvPicPr>
        <xdr:cNvPr id="2" name="image1.png">
          <a:extLst>
            <a:ext uri="{FF2B5EF4-FFF2-40B4-BE49-F238E27FC236}">
              <a16:creationId xmlns:a16="http://schemas.microsoft.com/office/drawing/2014/main" id="{076A9FD6-E9BF-45E0-BF65-A89032EF9ED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742420" y="243840"/>
          <a:ext cx="1181100" cy="1905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137160</xdr:colOff>
      <xdr:row>7</xdr:row>
      <xdr:rowOff>53340</xdr:rowOff>
    </xdr:from>
    <xdr:ext cx="7429534" cy="374141"/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10AAD921-CEC7-435E-9AEF-F5139A7B5B4C}"/>
            </a:ext>
          </a:extLst>
        </xdr:cNvPr>
        <xdr:cNvSpPr/>
      </xdr:nvSpPr>
      <xdr:spPr>
        <a:xfrm>
          <a:off x="982980" y="1645920"/>
          <a:ext cx="7429534" cy="3741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pt-BR" sz="1800" b="0" cap="none" spc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Quantitativo</a:t>
          </a:r>
          <a:r>
            <a:rPr lang="pt-BR" sz="1800" b="0" cap="none" spc="0" baseline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extraído do modelo, devido a pendência da tabela de esquadrias</a:t>
          </a:r>
          <a:endParaRPr lang="pt-BR" sz="18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335280</xdr:colOff>
      <xdr:row>1</xdr:row>
      <xdr:rowOff>60960</xdr:rowOff>
    </xdr:from>
    <xdr:ext cx="1181100" cy="190500"/>
    <xdr:pic>
      <xdr:nvPicPr>
        <xdr:cNvPr id="2" name="image1.png">
          <a:extLst>
            <a:ext uri="{FF2B5EF4-FFF2-40B4-BE49-F238E27FC236}">
              <a16:creationId xmlns:a16="http://schemas.microsoft.com/office/drawing/2014/main" id="{A679D63D-8D35-4606-9D7C-035F6EF9232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795760" y="251460"/>
          <a:ext cx="1181100" cy="1905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731520</xdr:colOff>
      <xdr:row>6</xdr:row>
      <xdr:rowOff>304800</xdr:rowOff>
    </xdr:from>
    <xdr:ext cx="7429534" cy="374141"/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BDBFC19-54C5-4B3C-B0B7-CB4A2995CD07}"/>
            </a:ext>
          </a:extLst>
        </xdr:cNvPr>
        <xdr:cNvSpPr/>
      </xdr:nvSpPr>
      <xdr:spPr>
        <a:xfrm>
          <a:off x="731520" y="1569720"/>
          <a:ext cx="7429534" cy="3741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pt-BR" sz="1800" b="0" cap="none" spc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Quantitativo</a:t>
          </a:r>
          <a:r>
            <a:rPr lang="pt-BR" sz="1800" b="0" cap="none" spc="0" baseline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extraído do modelo, devido a pendência da tabela de esquadrias</a:t>
          </a:r>
          <a:endParaRPr lang="pt-BR" sz="18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297180</xdr:colOff>
      <xdr:row>1</xdr:row>
      <xdr:rowOff>60960</xdr:rowOff>
    </xdr:from>
    <xdr:ext cx="1181100" cy="190500"/>
    <xdr:pic>
      <xdr:nvPicPr>
        <xdr:cNvPr id="2" name="image1.png">
          <a:extLst>
            <a:ext uri="{FF2B5EF4-FFF2-40B4-BE49-F238E27FC236}">
              <a16:creationId xmlns:a16="http://schemas.microsoft.com/office/drawing/2014/main" id="{F7AA4151-029F-4D68-91ED-1552F94E202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757660" y="251460"/>
          <a:ext cx="1181100" cy="190500"/>
        </a:xfrm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</xdr:row>
      <xdr:rowOff>0</xdr:rowOff>
    </xdr:from>
    <xdr:ext cx="1181100" cy="190500"/>
    <xdr:pic>
      <xdr:nvPicPr>
        <xdr:cNvPr id="2" name="image1.png">
          <a:extLst>
            <a:ext uri="{FF2B5EF4-FFF2-40B4-BE49-F238E27FC236}">
              <a16:creationId xmlns:a16="http://schemas.microsoft.com/office/drawing/2014/main" id="{1B276A24-1F48-406E-9288-7459FF11ECA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60480" y="190500"/>
          <a:ext cx="1181100" cy="190500"/>
        </a:xfrm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697051</xdr:colOff>
      <xdr:row>1</xdr:row>
      <xdr:rowOff>67508</xdr:rowOff>
    </xdr:from>
    <xdr:ext cx="1428750" cy="276225"/>
    <xdr:pic>
      <xdr:nvPicPr>
        <xdr:cNvPr id="2" name="image1.png">
          <a:extLst>
            <a:ext uri="{FF2B5EF4-FFF2-40B4-BE49-F238E27FC236}">
              <a16:creationId xmlns:a16="http://schemas.microsoft.com/office/drawing/2014/main" id="{8DB6D4C2-14AF-4D9C-95DE-0630F679F0B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24571" y="235148"/>
          <a:ext cx="1428750" cy="276225"/>
        </a:xfrm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182880</xdr:colOff>
      <xdr:row>1</xdr:row>
      <xdr:rowOff>60960</xdr:rowOff>
    </xdr:from>
    <xdr:ext cx="1181100" cy="190500"/>
    <xdr:pic>
      <xdr:nvPicPr>
        <xdr:cNvPr id="2" name="image1.png">
          <a:extLst>
            <a:ext uri="{FF2B5EF4-FFF2-40B4-BE49-F238E27FC236}">
              <a16:creationId xmlns:a16="http://schemas.microsoft.com/office/drawing/2014/main" id="{EFB15535-2E58-4319-A9D0-9D7CF4222EC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98920" y="251460"/>
          <a:ext cx="1181100" cy="190500"/>
        </a:xfrm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932543</xdr:colOff>
      <xdr:row>20</xdr:row>
      <xdr:rowOff>214088</xdr:rowOff>
    </xdr:from>
    <xdr:to>
      <xdr:col>29</xdr:col>
      <xdr:colOff>3923</xdr:colOff>
      <xdr:row>42</xdr:row>
      <xdr:rowOff>35198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A01CAAC-D01E-4624-9E7A-EB8F89970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19768" y="5252813"/>
          <a:ext cx="7948681" cy="526941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932543</xdr:colOff>
      <xdr:row>20</xdr:row>
      <xdr:rowOff>214088</xdr:rowOff>
    </xdr:from>
    <xdr:to>
      <xdr:col>23</xdr:col>
      <xdr:colOff>6101</xdr:colOff>
      <xdr:row>42</xdr:row>
      <xdr:rowOff>19958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B980A1E-2530-51B5-556A-E6D289793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53143" y="5112659"/>
          <a:ext cx="8154149" cy="5114289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899160</xdr:colOff>
      <xdr:row>40</xdr:row>
      <xdr:rowOff>114569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C91364E-9DEB-78DD-7A0A-744CF3A52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433560" cy="7467869"/>
        </a:xfrm>
        <a:prstGeom prst="rect">
          <a:avLst/>
        </a:prstGeom>
      </xdr:spPr>
    </xdr:pic>
    <xdr:clientData/>
  </xdr:twoCellAnchor>
  <xdr:twoCellAnchor editAs="oneCell">
    <xdr:from>
      <xdr:col>0</xdr:col>
      <xdr:colOff>213360</xdr:colOff>
      <xdr:row>39</xdr:row>
      <xdr:rowOff>90483</xdr:rowOff>
    </xdr:from>
    <xdr:to>
      <xdr:col>14</xdr:col>
      <xdr:colOff>464820</xdr:colOff>
      <xdr:row>48</xdr:row>
      <xdr:rowOff>57935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68C77F5-D42A-42B9-F88F-1A18CF595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3360" y="7260903"/>
          <a:ext cx="8785860" cy="1613372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1525478</xdr:colOff>
      <xdr:row>1</xdr:row>
      <xdr:rowOff>12262</xdr:rowOff>
    </xdr:from>
    <xdr:to>
      <xdr:col>9</xdr:col>
      <xdr:colOff>720896</xdr:colOff>
      <xdr:row>3</xdr:row>
      <xdr:rowOff>117006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AB31959-C5ED-4BB6-99AE-6F5AC0547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59138" y="202762"/>
          <a:ext cx="2243418" cy="48574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ssandra\trabalho\TRABALHO\EXCEL\M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ia\meus%20documen\2004\24001_Pedagio%20km%2026\Planilhas\24001-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.shortcut-targets-by-id/16oaQUYgx8kiowDwLhg-oO1zGZ777DJUb/2.%20Projetos%20em%20Andamento/AS%20Ramos%20-%2001.2022/02.%20Paessaggio/02.%20Escopo/02.4%20Escopo%20-%20Extra&#231;&#227;o%20de%20quantitativos/CTN_ORC_ED%20PAESAGGIO_MOD_ARQ_R04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microsoft.com/office/2019/04/relationships/externalLinkLongPath" Target="/.shortcut-targets-by-id/16oaQUYgx8kiowDwLhg-oO1zGZ777DJUb/2.%20Projetos%20em%20Andamento/Blue%20Heaven/2024.03%20-%20Monolyt/04.%20Custo/03.0%20Custo%20-%20Or&#231;amento%20Parametrico/Custos%20indiretos/CTN-BHE-MON-Custos_Indiretos_Estimativas_R02.xlsx?9FD95139" TargetMode="External"/><Relationship Id="rId1" Type="http://schemas.openxmlformats.org/officeDocument/2006/relationships/externalLinkPath" Target="file:///\\9FD95139\CTN-BHE-MON-Custos_Indiretos_Estimativas_R02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microsoft.com/office/2019/04/relationships/externalLinkLongPath" Target="/.shortcut-targets-by-id/16oaQUYgx8kiowDwLhg-oO1zGZ777DJUb/2.%20Projetos%20em%20Andamento/Blue%20Heaven/2024.03%20-%20Monolyt/04.%20Custo/03.0%20Custo%20-%20Or&#231;amento%20Parametrico/Entreg&#225;veis/R03/CTN-BHV-MONOLYT%20%20-%20Or&#231;amento_Param&#233;trico_Anal&#237;tico_R03.xlsx?81793FC6" TargetMode="External"/><Relationship Id="rId1" Type="http://schemas.openxmlformats.org/officeDocument/2006/relationships/externalLinkPath" Target="file:///\\81793FC6\CTN-BHV-MONOLYT%20%20-%20Or&#231;amento_Param&#233;trico_Anal&#237;tico_R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.O."/>
      <sheetName val="Encargos Sociais"/>
      <sheetName val="BDI"/>
      <sheetName val="M_O_"/>
      <sheetName val="Esquadrias"/>
      <sheetName val="Plan"/>
      <sheetName val="EstConFund"/>
      <sheetName val="EstConElev"/>
      <sheetName val="Par"/>
      <sheetName val="Pisocon"/>
      <sheetName val="AcabPar"/>
      <sheetName val="AcabPiso"/>
      <sheetName val="AcabForro"/>
      <sheetName val="Resumo Estrutura"/>
      <sheetName val="Estrutura - Vigas mold in-loco"/>
      <sheetName val="Estrutura - Lajes"/>
      <sheetName val="Estrutura - Cimbramento"/>
      <sheetName val="Estrutura - Escadas"/>
      <sheetName val="Estrutura - Pilar"/>
      <sheetName val="M_O_1"/>
      <sheetName val="Encargos_Sociais"/>
      <sheetName val="Resumo_Estrutura"/>
      <sheetName val="Estrutura_-_Vigas_mold_in-loco"/>
      <sheetName val="Estrutura_-_Lajes"/>
      <sheetName val="Estrutura_-_Cimbramento"/>
      <sheetName val="Estrutura_-_Escadas"/>
      <sheetName val="Estrutura_-_Pilar"/>
      <sheetName val="P   CARGOS SAL CARAJAS "/>
      <sheetName val=""/>
      <sheetName val="Orc_Pad_Edif_Analítico"/>
      <sheetName val="Orc_Compl_Analítico"/>
      <sheetName val="Orc_Pad_Edif_Anal�tico"/>
      <sheetName val="Orc_Compl_Anal�tico"/>
      <sheetName val="M_O_2"/>
      <sheetName val="Encargos_Sociais1"/>
      <sheetName val="Resumo_Estrutura1"/>
      <sheetName val="Estrutura_-_Vigas_mold_in-loco1"/>
      <sheetName val="Estrutura_-_Lajes1"/>
      <sheetName val="Estrutura_-_Cimbramento1"/>
      <sheetName val="Estrutura_-_Escadas1"/>
      <sheetName val="Estrutura_-_Pilar1"/>
      <sheetName val="P___CARGOS_SAL_CARAJAS_"/>
      <sheetName val="M_O_3"/>
      <sheetName val="Encargos_Sociais2"/>
      <sheetName val="Resumo_Estrutura2"/>
      <sheetName val="Estrutura_-_Vigas_mold_in-loco2"/>
      <sheetName val="Estrutura_-_Lajes2"/>
      <sheetName val="Estrutura_-_Cimbramento2"/>
      <sheetName val="Estrutura_-_Escadas2"/>
      <sheetName val="Estrutura_-_Pilar2"/>
      <sheetName val="P___CARGOS_SAL_CARAJAS_1"/>
      <sheetName val="PQP"/>
      <sheetName val="Preco"/>
      <sheetName val="Orc_Compl_Aberto"/>
      <sheetName val="2"/>
      <sheetName val="EVCO-set-04"/>
      <sheetName val="M_O_4"/>
      <sheetName val="Encargos_Sociais3"/>
      <sheetName val="Resumo_Estrutura3"/>
      <sheetName val="Estrutura_-_Vigas_mold_in-loco3"/>
      <sheetName val="Estrutura_-_Lajes3"/>
      <sheetName val="Estrutura_-_Cimbramento3"/>
      <sheetName val="Estrutura_-_Escadas3"/>
      <sheetName val="Estrutura_-_Pilar3"/>
      <sheetName val="P___CARGOS_SAL_CARAJAS_2"/>
      <sheetName val="Bomb"/>
      <sheetName val="9-Cron Financeiro"/>
      <sheetName val="8-Cron Fisico"/>
      <sheetName val="MP+Insumos"/>
      <sheetName val="CONSIDERAÇÕES"/>
      <sheetName val="MDO"/>
      <sheetName val="curva"/>
      <sheetName val="Planilha1"/>
      <sheetName val="CPU"/>
      <sheetName val="Insumos"/>
      <sheetName val="Resumo"/>
      <sheetName val="Planilha Orçamentária Modelo"/>
      <sheetName val="Fechamento"/>
      <sheetName val="Planilha2"/>
      <sheetName val="Fec. reengenharia"/>
      <sheetName val="Cpu's"/>
      <sheetName val="Curva de serviços"/>
      <sheetName val="0.Resumo"/>
      <sheetName val="Serviços indiretos"/>
      <sheetName val="PQU - Fundação e estrutura"/>
      <sheetName val="Pavilhao de Apoio"/>
      <sheetName val="SUBESTAÇÃO"/>
      <sheetName val="RESERVATORIO CASA DE BOMBA"/>
      <sheetName val="Baldrame"/>
      <sheetName val="Paredes"/>
      <sheetName val="Sapata isolada"/>
      <sheetName val="Acabamentos"/>
      <sheetName val="Resumo concreto"/>
      <sheetName val="Estrutura"/>
      <sheetName val="PLANILHA PADRÃO"/>
      <sheetName val="Alv e fec"/>
      <sheetName val="MDO-MOI"/>
      <sheetName val="EQUIPAMENTOS"/>
      <sheetName val="CANTEIRO"/>
      <sheetName val="EPI"/>
      <sheetName val="Controle Contrato"/>
      <sheetName val="RESUMO DO CONTRATO"/>
      <sheetName val="AVANÇO FISICO"/>
      <sheetName val="NF-em aberto"/>
      <sheetName val="RETENÇÃO"/>
      <sheetName val="REENGENHARIAS"/>
      <sheetName val="NF-BN x DAGNSE"/>
      <sheetName val="NF GLOBO"/>
      <sheetName val="EXTRACONTRATUAIS"/>
      <sheetName val="DIFAL"/>
      <sheetName val="NF-BN x  MS"/>
      <sheetName val="RESUMO DAGNESE"/>
      <sheetName val="NF-DAGNESE"/>
      <sheetName val="RESUMO REAL"/>
      <sheetName val="RESUMO - DIAGRAMA"/>
      <sheetName val="Sinaleiro"/>
      <sheetName val="Hora Extra Sinaleiro"/>
      <sheetName val="Ajudante ADM"/>
      <sheetName val="Bases de Concreto"/>
      <sheetName val="Carpinteiro"/>
      <sheetName val="MO Gabarito"/>
      <sheetName val="MO Fundação"/>
      <sheetName val="Materiais"/>
      <sheetName val="Cronograma"/>
      <sheetName val="Memória de Cálculo - Fundação"/>
      <sheetName val="Memória de Cálculo - Estrutura"/>
      <sheetName val="DATAS"/>
      <sheetName val="VALIDAÇÃO"/>
      <sheetName val="MO"/>
      <sheetName val="Planilha1 (2)"/>
      <sheetName val="RESUMO GERAL"/>
      <sheetName val="Jefferson Reunião"/>
      <sheetName val="17.01"/>
      <sheetName val="Planilha6"/>
      <sheetName val="Resultado"/>
      <sheetName val="Adicionais "/>
      <sheetName val="0 - (BDados total)"/>
      <sheetName val="1 - REORÇAMENTO A+B+C"/>
      <sheetName val="Planilha8"/>
      <sheetName val="Planilha7"/>
      <sheetName val="YMM05 -17.01 - BDados (A)"/>
      <sheetName val="ADIANTAMENTOS (BDados A)"/>
      <sheetName val="2 - PLEITOS (BDados B)"/>
      <sheetName val="3- Adicionais (BDados B)"/>
      <sheetName val="4 - A Contratar (BDados C)"/>
      <sheetName val="5- Conti+Expect (BDados BC)"/>
      <sheetName val="6- Reajuste Fornec (BD A)."/>
      <sheetName val="7- Adicional Cliente"/>
      <sheetName val="FERRO"/>
      <sheetName val="Orc_Pad_Edif_Anal tico"/>
      <sheetName val="Orc_Compl_Anal tico"/>
      <sheetName val="Sapatas TORRE 1"/>
      <sheetName val="Sapatas TORRE 2"/>
      <sheetName val="Sapatas TORRE 3"/>
      <sheetName val="Blocos"/>
      <sheetName val="Armação Sapata-Torre 1 "/>
      <sheetName val="Armação Sapata-Torre 2"/>
      <sheetName val="Armação Sapata-Torre 3"/>
      <sheetName val="Baldrames Torre 1"/>
      <sheetName val="Baldrames Torre 2"/>
      <sheetName val="Baldrames Torre 3"/>
      <sheetName val="Armação Baldrame  Torre 1"/>
      <sheetName val="Armação Baldrame  Torre 2"/>
      <sheetName val="Armação Baldrame  Torre 3"/>
      <sheetName val="Lajes Fundo Ele Torre 1 e 2"/>
      <sheetName val="Lajes Fundo Ele Torre 3"/>
      <sheetName val="Piso Armado Térreo Torre 1 e 2"/>
      <sheetName val="Piso Armado Térreo Torre3"/>
      <sheetName val="Armação Piso Armado Torre 1"/>
      <sheetName val="Armação Piso Armado Torre 2"/>
      <sheetName val="Armação Piso Armado Torre 3"/>
      <sheetName val="Pilar retangular"/>
      <sheetName val="Vigas TORRE 1 e 2"/>
      <sheetName val="Vigas TORRE 3"/>
      <sheetName val="Armação Vigas Torre 1 e 2"/>
      <sheetName val="Armação Vigas Torre 3"/>
      <sheetName val="Lajes Torres  1 e 2"/>
      <sheetName val="Lajes Torre 3"/>
      <sheetName val="Armação Lajes Torre 1 e 2"/>
      <sheetName val="Armação Lajes Torre 3"/>
      <sheetName val="Escada - Torre 1 e 2"/>
      <sheetName val="Escada - Torre 3"/>
      <sheetName val="Armação Escada Torres 1 e 2"/>
      <sheetName val="Armação Escada Torre 3 "/>
      <sheetName val="Telhado Torres 1 e 2"/>
      <sheetName val="Telhado Torres 3"/>
      <sheetName val="Fachada Torres 1 e 2"/>
      <sheetName val="Fachada Torre 3"/>
      <sheetName val="Alvenaria Estrutural ok"/>
      <sheetName val="Alvenaria Vedação"/>
      <sheetName val="Louças e Metais ok"/>
      <sheetName val="Impermeabilização Torres 1 e 2"/>
      <sheetName val="Impermeabilização Torre 3"/>
      <sheetName val="Bases Rev Interno1"/>
      <sheetName val="Revest. Interno 1"/>
      <sheetName val="Armação Vigas Cobertura"/>
      <sheetName val="Armação Alv vert ok"/>
      <sheetName val="Armação Cintas Horizontais"/>
      <sheetName val="Resumo Esquadria e Peitoril ok"/>
      <sheetName val="Armação Estrutura"/>
      <sheetName val="Armação Pilares"/>
      <sheetName val="Alvenaria Estrutural Embasament"/>
      <sheetName val="Esquadria"/>
      <sheetName val="Diversos"/>
      <sheetName val="Esquadrias ok"/>
      <sheetName val="Armação Lajes Fundo Ele ok"/>
      <sheetName val="Graute vert ok"/>
      <sheetName val="Armação Alv Embasamento hor o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 Diferença"/>
      <sheetName val="Resumo"/>
      <sheetName val="Geral"/>
      <sheetName val="BDI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-CTN_ORC_Tabela de parede ger"/>
      <sheetName val="02-CTN_ORC_Levantamento do mate"/>
      <sheetName val="09-CTN_ORC_Tabela de piso e tet"/>
      <sheetName val="03-CTN_ORC_FACHADA_Tabela de pa"/>
      <sheetName val="08-CTN_ORC_Tabela de telhado"/>
      <sheetName val="10-CTN_ORC_RODAPÉ_Tabela de mol"/>
      <sheetName val="11-CTN_ORC_FAIXA GARAGEM_Tabela"/>
      <sheetName val="12-CTN_ORC_Tabela de forro"/>
      <sheetName val="07-CTN_ORC_Tabela de guarda-cor"/>
      <sheetName val="04-CTN_ORC_Tabela de janela"/>
      <sheetName val="05-CTN_ORC_Tabela de porta"/>
      <sheetName val="06-CTN_ORC_Tabela de escada"/>
      <sheetName val="Instructions"/>
      <sheetName val="Param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10º Tipo (x24) 3</v>
          </cell>
        </row>
        <row r="2">
          <cell r="A2" t="str">
            <v>11º Tipo (24x) 4</v>
          </cell>
        </row>
        <row r="3">
          <cell r="A3" t="str">
            <v>12º Tipo (24x) 5</v>
          </cell>
        </row>
        <row r="4">
          <cell r="A4" t="str">
            <v>13º Tipo (24x) 6</v>
          </cell>
        </row>
        <row r="5">
          <cell r="A5" t="str">
            <v>14º Tipo (24x) 7</v>
          </cell>
        </row>
        <row r="6">
          <cell r="A6" t="str">
            <v>15º Tipo (24x) 8</v>
          </cell>
        </row>
        <row r="7">
          <cell r="A7" t="str">
            <v>16º Tipo (24x) 9</v>
          </cell>
        </row>
        <row r="8">
          <cell r="A8" t="str">
            <v>17º Tipo (24x) 10</v>
          </cell>
        </row>
        <row r="9">
          <cell r="A9" t="str">
            <v>18º Tipo (24x) 11</v>
          </cell>
        </row>
        <row r="10">
          <cell r="A10" t="str">
            <v>19º Tipo (24x) 12</v>
          </cell>
        </row>
        <row r="11">
          <cell r="A11" t="str">
            <v>20º Tipo (24x) 13</v>
          </cell>
        </row>
        <row r="12">
          <cell r="A12" t="str">
            <v>21º Tipo (24x) 14</v>
          </cell>
        </row>
        <row r="13">
          <cell r="A13" t="str">
            <v>22º Tipo (24x) 15</v>
          </cell>
        </row>
        <row r="14">
          <cell r="A14" t="str">
            <v>23º Tipo (24x) 16</v>
          </cell>
        </row>
        <row r="15">
          <cell r="A15" t="str">
            <v>24º Tipo (24x) 17</v>
          </cell>
        </row>
        <row r="16">
          <cell r="A16" t="str">
            <v>25º Tipo (24x) 18</v>
          </cell>
        </row>
        <row r="17">
          <cell r="A17" t="str">
            <v>26º Tipo (24x) 19</v>
          </cell>
        </row>
        <row r="18">
          <cell r="A18" t="str">
            <v>27º Tipo (24x) 20</v>
          </cell>
        </row>
        <row r="19">
          <cell r="A19" t="str">
            <v>28º Tipo (24x) 21</v>
          </cell>
        </row>
        <row r="20">
          <cell r="A20" t="str">
            <v>29º Tipo (24x) 22</v>
          </cell>
        </row>
        <row r="21">
          <cell r="A21" t="str">
            <v>2º Mezanino - G1</v>
          </cell>
        </row>
        <row r="22">
          <cell r="A22" t="str">
            <v>30º Tipo (24x) 23</v>
          </cell>
        </row>
        <row r="23">
          <cell r="A23" t="str">
            <v>31º Tipo (24x) 24</v>
          </cell>
        </row>
        <row r="24">
          <cell r="A24" t="str">
            <v>32º Duplex Inf.</v>
          </cell>
        </row>
        <row r="25">
          <cell r="A25" t="str">
            <v>33º Duplex Sup.</v>
          </cell>
        </row>
        <row r="26">
          <cell r="A26" t="str">
            <v>3º G2</v>
          </cell>
        </row>
        <row r="27">
          <cell r="A27" t="str">
            <v>4º G3</v>
          </cell>
        </row>
        <row r="28">
          <cell r="A28" t="str">
            <v>5º Tipo Dif 01/Lazer</v>
          </cell>
        </row>
        <row r="29">
          <cell r="A29" t="str">
            <v>6º Tipo Dif. 02</v>
          </cell>
        </row>
        <row r="30">
          <cell r="A30" t="str">
            <v>7º Tipo Dif. 03</v>
          </cell>
        </row>
        <row r="31">
          <cell r="A31" t="str">
            <v>8º Tipo (x24) 1</v>
          </cell>
        </row>
        <row r="32">
          <cell r="A32" t="str">
            <v>9º Tipo (x24) 2</v>
          </cell>
        </row>
        <row r="33">
          <cell r="A33" t="str">
            <v>Barrilete</v>
          </cell>
        </row>
        <row r="34">
          <cell r="A34" t="str">
            <v>Cobertura Casa Máq.</v>
          </cell>
        </row>
        <row r="35">
          <cell r="A35" t="str">
            <v>PAVIMENTO TÉRREO</v>
          </cell>
        </row>
        <row r="36">
          <cell r="A36" t="str">
            <v>PC Maq</v>
          </cell>
        </row>
        <row r="37">
          <cell r="A37" t="str">
            <v>Reservatório</v>
          </cell>
        </row>
        <row r="38">
          <cell r="A38" t="str">
            <v>Tampa Reserv.</v>
          </cell>
        </row>
        <row r="39">
          <cell r="A39" t="str">
            <v>Terreno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BRA"/>
      <sheetName val="CANTEIRO"/>
      <sheetName val="BASES"/>
      <sheetName val="EPCs"/>
      <sheetName val="CUSTOS_INDIRETOS"/>
      <sheetName val="CREMALHEIRA"/>
      <sheetName val="EQUIPAMEN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93">
          <cell r="F93">
            <v>13510709.072569676</v>
          </cell>
        </row>
      </sheetData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BRA"/>
      <sheetName val="CANTEIRO"/>
      <sheetName val="EPCs"/>
      <sheetName val="CUSTOS_INDIRETOS"/>
      <sheetName val="GERENCIAMENTO_EXECUTIVO"/>
      <sheetName val="CREMALHEIRA"/>
    </sheetNames>
    <sheetDataSet>
      <sheetData sheetId="0"/>
      <sheetData sheetId="1"/>
      <sheetData sheetId="2"/>
      <sheetData sheetId="3">
        <row r="93">
          <cell r="F93">
            <v>14538860.022569677</v>
          </cell>
        </row>
      </sheetData>
      <sheetData sheetId="4"/>
      <sheetData sheetId="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ichelle Oliveira" id="{1D684D0D-3799-42B5-A5C7-18375F1A066C}" userId="5e761594a592f5f8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653241-EAB7-445B-B021-275DBA1164F3}" name="Table_1" displayName="Table_1" ref="B10:F224">
  <tableColumns count="5">
    <tableColumn id="1" xr3:uid="{84954955-0BF0-46EF-98A3-8E6C8FE143C3}" name="Pavimento"/>
    <tableColumn id="2" xr3:uid="{65CA3D2D-886E-4535-853E-55676D4B3C62}" name="Material"/>
    <tableColumn id="5" xr3:uid="{C87240A2-D8A2-4C83-A292-A6F138E7E8B6}" name="Perímetro (m)" dataDxfId="6"/>
    <tableColumn id="4" xr3:uid="{3DDB7D08-5253-41F2-A3DC-7EA74485BF04}" name="Altura (m)" dataDxfId="5"/>
    <tableColumn id="3" xr3:uid="{63D8A18C-2D2E-42B1-BB4E-6003BD386771}" name="Área (m²)" dataDxfId="4">
      <calculatedColumnFormula>Table_1[[#This Row],[Perímetro (m)]]*Table_1[[#This Row],[Altura (m)]]</calculatedColumnFormula>
    </tableColumn>
  </tableColumns>
  <tableStyleInfo name="FACHADA-style" showFirstColumn="1" showLastColumn="1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5" dT="2024-06-04T12:44:45.04" personId="{1D684D0D-3799-42B5-A5C7-18375F1A066C}" id="{DF0B65F5-471A-4D58-95A2-31F7849D8A7B}">
    <text>Custo Gran Torino R$42,00 mat</text>
  </threadedComment>
  <threadedComment ref="D17" dT="2024-06-27T13:48:20.25" personId="{1D684D0D-3799-42B5-A5C7-18375F1A066C}" id="{C22C5CA9-0662-4BA5-9A9A-01DC515D7AB5}">
    <text>Malaga R$27,50</text>
  </threadedComment>
  <threadedComment ref="D20" dT="2024-06-04T12:53:59.03" personId="{1D684D0D-3799-42B5-A5C7-18375F1A066C}" id="{CE62B859-EAD4-4BF8-A94B-737D732905C6}">
    <text>Custo Gran Torino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223" dT="2024-06-03T12:52:13.97" personId="{1D684D0D-3799-42B5-A5C7-18375F1A066C}" id="{FBFB6480-BBD3-4E0C-B1E7-D80E33FAF04F}">
    <text>PROJETO PDF DIFERENTE DO DWG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210" dT="2024-06-03T12:52:13.97" personId="{1D684D0D-3799-42B5-A5C7-18375F1A066C}" id="{4B29CE10-E082-4D53-8558-DDBB3D2D102C}">
    <text>PROJETO PDF DIFERENTE DO DWG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17" dT="2024-06-17T17:35:32.45" personId="{1D684D0D-3799-42B5-A5C7-18375F1A066C}" id="{7FB527DD-43E1-41F6-B7E2-E7A9E5CD9156}">
    <text>m²/área piso Zabaleta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210" dT="2024-06-03T12:52:13.97" personId="{1D684D0D-3799-42B5-A5C7-18375F1A066C}" id="{D7BDC65C-B3FA-4F91-B125-5C790CF0312A}">
    <text>PROJETO PDF DIFERENTE DO DWG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B10" dT="2024-06-27T18:22:26.54" personId="{1D684D0D-3799-42B5-A5C7-18375F1A066C}" id="{13DEE400-2F17-4939-AAD5-86C0EFB5AEAE}">
    <text>Descontando banheiros com claraboia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D15" dT="2024-06-17T17:42:54.74" personId="{1D684D0D-3799-42B5-A5C7-18375F1A066C}" id="{8EAD76F2-7ECE-4532-9101-780173096B26}">
    <text>GOLD SLIM GERALMETE 10% MAIS CARO QUE A LINHA GOLD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E11" dT="2024-06-05T12:34:40.68" personId="{1D684D0D-3799-42B5-A5C7-18375F1A066C}" id="{0EDC0034-9EB4-4479-8AD3-0531F6AB29B6}">
    <text>1,15 devido a inclinação da parede de concreto</text>
  </threadedComment>
  <threadedComment ref="J12" dT="2024-06-05T17:38:58.66" personId="{1D684D0D-3799-42B5-A5C7-18375F1A066C}" id="{C975E07C-E46F-437A-8381-90541638E997}">
    <text>CHAPISCO + REBOCO + TELA + TEXTURA</text>
  </threadedComment>
  <threadedComment ref="E15" dT="2024-06-05T12:34:56.98" personId="{1D684D0D-3799-42B5-A5C7-18375F1A066C}" id="{8017EB38-A35E-4E10-94F1-9F0188B2E7F8}">
    <text>1,15 devido a inclinação da parede de concreto</text>
  </threadedComment>
  <threadedComment ref="D18" dT="2024-06-05T12:19:16.16" personId="{1D684D0D-3799-42B5-A5C7-18375F1A066C}" id="{F1FA679A-3CF1-4EA9-A527-9C6AF9FC8C7D}">
    <text>REPETIÇÕES</text>
  </threadedComment>
  <threadedComment ref="E18" dT="2024-06-05T12:19:09.34" personId="{1D684D0D-3799-42B5-A5C7-18375F1A066C}" id="{F427E36D-2B24-43ED-A416-AD54D96E8E22}">
    <text>ÁREA</text>
  </threadedComment>
  <threadedComment ref="E20" dT="2024-06-05T12:34:56.98" personId="{1D684D0D-3799-42B5-A5C7-18375F1A066C}" id="{5516434F-6256-47CD-B272-0D9EB3C9DD1F}">
    <text>1,15 devido a inclinação da parede de concreto</text>
  </threadedComment>
  <threadedComment ref="D23" dT="2024-06-05T12:19:16.16" personId="{1D684D0D-3799-42B5-A5C7-18375F1A066C}" id="{E30859B6-DBB7-47B1-90B2-3FA84F4B1EC6}">
    <text>REPETIÇÕES</text>
  </threadedComment>
  <threadedComment ref="E23" dT="2024-06-05T12:19:09.34" personId="{1D684D0D-3799-42B5-A5C7-18375F1A066C}" id="{CBC03247-DCA1-4361-A939-9251526136B3}">
    <text>ÁREA</text>
  </threadedComment>
  <threadedComment ref="E25" dT="2024-06-05T12:34:56.98" personId="{1D684D0D-3799-42B5-A5C7-18375F1A066C}" id="{F073BF4D-2E0A-4569-A7E9-27CD8F99BE98}">
    <text>1,15 devido a inclinação da parede de concreto</text>
  </threadedComment>
  <threadedComment ref="D28" dT="2024-06-05T12:19:16.16" personId="{1D684D0D-3799-42B5-A5C7-18375F1A066C}" id="{763B4522-B88E-40A3-B5DD-77D2D8962BD6}">
    <text>REPETIÇÕES</text>
  </threadedComment>
  <threadedComment ref="E28" dT="2024-06-05T12:19:09.34" personId="{1D684D0D-3799-42B5-A5C7-18375F1A066C}" id="{59F44146-4DD3-4D3B-A82E-831E29F444AB}">
    <text>ÁREA</text>
  </threadedComment>
  <threadedComment ref="D31" dT="2024-06-05T12:19:16.16" personId="{1D684D0D-3799-42B5-A5C7-18375F1A066C}" id="{D3CC0BC0-83D1-4444-96E6-BDECA6A08314}">
    <text>REPETIÇÕES</text>
  </threadedComment>
  <threadedComment ref="E31" dT="2024-06-05T12:19:09.34" personId="{1D684D0D-3799-42B5-A5C7-18375F1A066C}" id="{9453E025-83EF-47AA-8135-AC13F4AD1975}">
    <text>ÁREA</text>
  </threadedComment>
  <threadedComment ref="E33" dT="2024-06-05T12:34:56.98" personId="{1D684D0D-3799-42B5-A5C7-18375F1A066C}" id="{427043A8-2FF0-4DAD-9FEB-CBD58E4541A4}">
    <text>1,15 devido a inclinação da parede de concreto</text>
  </threadedComment>
  <threadedComment ref="D34" dT="2024-06-05T12:19:16.16" personId="{1D684D0D-3799-42B5-A5C7-18375F1A066C}" id="{86DA37CB-6C0D-4DCA-8243-8F153054C375}">
    <text>REPETIÇÕES</text>
  </threadedComment>
  <threadedComment ref="E34" dT="2024-06-05T12:19:09.34" personId="{1D684D0D-3799-42B5-A5C7-18375F1A066C}" id="{4D56870C-261D-45EF-B74B-DEC0E10456CD}">
    <text>ÁREA</text>
  </threadedComment>
  <threadedComment ref="D36" dT="2024-06-05T12:19:16.16" personId="{1D684D0D-3799-42B5-A5C7-18375F1A066C}" id="{2B1B65FD-F702-4B5C-9885-615EBF790FB2}">
    <text>REPETIÇÕES</text>
  </threadedComment>
  <threadedComment ref="E36" dT="2024-06-05T12:19:09.34" personId="{1D684D0D-3799-42B5-A5C7-18375F1A066C}" id="{EB94DCCB-5BE2-4E39-B3F3-D86C0B218757}">
    <text>ÁREA</text>
  </threadedComment>
  <threadedComment ref="D37" dT="2024-06-05T12:19:16.16" personId="{1D684D0D-3799-42B5-A5C7-18375F1A066C}" id="{5EFFA6C3-657A-4875-98A5-3A5B2FF7C130}">
    <text>REPETIÇÕES</text>
  </threadedComment>
  <threadedComment ref="E37" dT="2024-06-05T12:19:09.34" personId="{1D684D0D-3799-42B5-A5C7-18375F1A066C}" id="{FBC5262F-A7C7-400E-9D31-C358C9BE190A}">
    <text>ÁREA</text>
  </threadedComment>
  <threadedComment ref="D39" dT="2024-06-07T20:50:12.94" personId="{1D684D0D-3799-42B5-A5C7-18375F1A066C}" id="{96270BF7-D05F-4311-AB87-108741100A37}">
    <text>ÁREA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4.xml"/><Relationship Id="rId4" Type="http://schemas.microsoft.com/office/2017/10/relationships/threadedComment" Target="../threadedComments/threadedComment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Relationship Id="rId4" Type="http://schemas.microsoft.com/office/2017/10/relationships/threadedComment" Target="../threadedComments/threadedComment3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Relationship Id="rId5" Type="http://schemas.microsoft.com/office/2017/10/relationships/threadedComment" Target="../threadedComments/threadedComment4.xml"/><Relationship Id="rId4" Type="http://schemas.openxmlformats.org/officeDocument/2006/relationships/comments" Target="../comments7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10.xml"/><Relationship Id="rId4" Type="http://schemas.microsoft.com/office/2017/10/relationships/threadedComment" Target="../threadedComments/threadedComment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9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Relationship Id="rId5" Type="http://schemas.microsoft.com/office/2017/10/relationships/threadedComment" Target="../threadedComments/threadedComment6.xml"/><Relationship Id="rId4" Type="http://schemas.openxmlformats.org/officeDocument/2006/relationships/comments" Target="../comments10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hyperlink" Target="https://www.neosolar.com.br/simulador-solar-calculadora-fotovoltaica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7.bin"/><Relationship Id="rId5" Type="http://schemas.microsoft.com/office/2017/10/relationships/threadedComment" Target="../threadedComments/threadedComment7.xml"/><Relationship Id="rId4" Type="http://schemas.openxmlformats.org/officeDocument/2006/relationships/comments" Target="../comments11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18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26.xml"/><Relationship Id="rId5" Type="http://schemas.microsoft.com/office/2017/10/relationships/threadedComment" Target="../threadedComments/threadedComment8.xml"/><Relationship Id="rId4" Type="http://schemas.openxmlformats.org/officeDocument/2006/relationships/comments" Target="../comments12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19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0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5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E1AAD-C2EE-4E14-BE9E-4A287CFE07C4}">
  <sheetPr>
    <pageSetUpPr fitToPage="1"/>
  </sheetPr>
  <dimension ref="A1:L48"/>
  <sheetViews>
    <sheetView showGridLines="0" view="pageBreakPreview" topLeftCell="A4" zoomScale="85" zoomScaleNormal="115" zoomScaleSheetLayoutView="85" workbookViewId="0">
      <selection activeCell="E11" sqref="E11:F11"/>
    </sheetView>
  </sheetViews>
  <sheetFormatPr defaultRowHeight="21.75" x14ac:dyDescent="0.6"/>
  <cols>
    <col min="1" max="1" width="10.7109375" style="34" customWidth="1"/>
    <col min="2" max="2" width="56.42578125" style="35" customWidth="1"/>
    <col min="3" max="3" width="13.42578125" style="35" customWidth="1"/>
    <col min="4" max="5" width="11.28515625" style="35" customWidth="1"/>
    <col min="6" max="6" width="11.28515625" style="36" customWidth="1"/>
    <col min="7" max="7" width="11.140625" style="37" customWidth="1"/>
    <col min="8" max="8" width="24" style="34" customWidth="1"/>
    <col min="9" max="10" width="9.28515625" bestFit="1" customWidth="1"/>
  </cols>
  <sheetData>
    <row r="1" spans="1:8" ht="18" customHeight="1" x14ac:dyDescent="0.6">
      <c r="A1" s="4" t="s">
        <v>0</v>
      </c>
      <c r="B1" s="5" t="s">
        <v>601</v>
      </c>
      <c r="C1" s="6"/>
      <c r="D1" s="6"/>
      <c r="E1" s="6"/>
      <c r="F1" s="7"/>
      <c r="G1" s="8"/>
      <c r="H1" s="9"/>
    </row>
    <row r="2" spans="1:8" ht="18" customHeight="1" x14ac:dyDescent="0.6">
      <c r="A2" s="10" t="s">
        <v>113</v>
      </c>
      <c r="B2" s="11" t="s">
        <v>602</v>
      </c>
      <c r="C2" s="12"/>
      <c r="D2" s="12"/>
      <c r="E2" s="12"/>
      <c r="F2" s="13"/>
      <c r="G2" s="14"/>
      <c r="H2" s="15"/>
    </row>
    <row r="3" spans="1:8" ht="18" customHeight="1" x14ac:dyDescent="0.6">
      <c r="A3" s="10" t="s">
        <v>1</v>
      </c>
      <c r="B3" s="11" t="s">
        <v>161</v>
      </c>
      <c r="C3" s="12"/>
      <c r="D3" s="12"/>
      <c r="E3" s="12"/>
      <c r="F3" s="13"/>
      <c r="G3" s="14"/>
      <c r="H3" s="15"/>
    </row>
    <row r="4" spans="1:8" ht="25.15" customHeight="1" x14ac:dyDescent="0.25">
      <c r="A4" s="1014" t="s">
        <v>121</v>
      </c>
      <c r="B4" s="1015"/>
      <c r="C4" s="1015"/>
      <c r="D4" s="1015"/>
      <c r="E4" s="1015"/>
      <c r="F4" s="1015"/>
      <c r="G4" s="1015"/>
      <c r="H4" s="1016"/>
    </row>
    <row r="5" spans="1:8" ht="14.45" customHeight="1" x14ac:dyDescent="0.6">
      <c r="A5" s="16"/>
      <c r="B5" s="17"/>
      <c r="C5" s="17"/>
      <c r="D5" s="17"/>
      <c r="E5" s="17"/>
      <c r="F5" s="18"/>
      <c r="G5" s="19"/>
      <c r="H5" s="20"/>
    </row>
    <row r="6" spans="1:8" ht="16.899999999999999" customHeight="1" x14ac:dyDescent="0.25">
      <c r="A6" s="1017" t="s">
        <v>122</v>
      </c>
      <c r="B6" s="1018"/>
      <c r="C6" s="1018"/>
      <c r="D6" s="1018"/>
      <c r="E6" s="1018"/>
      <c r="F6" s="1018"/>
      <c r="G6" s="1018"/>
      <c r="H6" s="1019"/>
    </row>
    <row r="7" spans="1:8" ht="14.45" customHeight="1" thickBot="1" x14ac:dyDescent="0.65">
      <c r="A7" s="21"/>
      <c r="B7" s="22"/>
      <c r="C7" s="23"/>
      <c r="D7" s="23"/>
      <c r="E7" s="23"/>
      <c r="F7" s="24"/>
      <c r="G7" s="25"/>
      <c r="H7" s="26"/>
    </row>
    <row r="8" spans="1:8" x14ac:dyDescent="0.6">
      <c r="A8" s="27"/>
      <c r="B8" s="1020" t="s">
        <v>14</v>
      </c>
      <c r="C8" s="1022" t="s">
        <v>15</v>
      </c>
      <c r="D8" s="1022" t="s">
        <v>123</v>
      </c>
      <c r="E8" s="1024" t="s">
        <v>18</v>
      </c>
      <c r="F8" s="1025"/>
      <c r="G8" s="510" t="s">
        <v>710</v>
      </c>
      <c r="H8" s="26"/>
    </row>
    <row r="9" spans="1:8" ht="15.6" customHeight="1" x14ac:dyDescent="0.6">
      <c r="A9" s="27"/>
      <c r="B9" s="1021"/>
      <c r="C9" s="1023"/>
      <c r="D9" s="1023"/>
      <c r="E9" s="574" t="s">
        <v>606</v>
      </c>
      <c r="F9" s="573" t="s">
        <v>605</v>
      </c>
      <c r="G9" s="510"/>
      <c r="H9" s="26"/>
    </row>
    <row r="10" spans="1:8" x14ac:dyDescent="0.6">
      <c r="A10" s="27"/>
      <c r="B10" s="29" t="s">
        <v>124</v>
      </c>
      <c r="C10" s="30" t="s">
        <v>7</v>
      </c>
      <c r="D10" s="30" t="s">
        <v>116</v>
      </c>
      <c r="E10" s="1010">
        <v>7541.68</v>
      </c>
      <c r="F10" s="1011"/>
      <c r="G10" s="28"/>
      <c r="H10" s="26"/>
    </row>
    <row r="11" spans="1:8" x14ac:dyDescent="0.6">
      <c r="A11" s="27"/>
      <c r="B11" s="31" t="s">
        <v>125</v>
      </c>
      <c r="C11" s="32" t="s">
        <v>8</v>
      </c>
      <c r="D11" s="32" t="s">
        <v>116</v>
      </c>
      <c r="E11" s="1012">
        <v>14693.42</v>
      </c>
      <c r="F11" s="1013"/>
      <c r="G11" s="28"/>
      <c r="H11" s="26"/>
    </row>
    <row r="12" spans="1:8" x14ac:dyDescent="0.6">
      <c r="A12" s="27"/>
      <c r="B12" s="31" t="s">
        <v>126</v>
      </c>
      <c r="C12" s="32" t="s">
        <v>9</v>
      </c>
      <c r="D12" s="32" t="s">
        <v>119</v>
      </c>
      <c r="E12" s="576">
        <v>4</v>
      </c>
      <c r="F12" s="33">
        <v>4</v>
      </c>
      <c r="G12" s="510" t="s">
        <v>717</v>
      </c>
      <c r="H12" s="26"/>
    </row>
    <row r="13" spans="1:8" x14ac:dyDescent="0.6">
      <c r="A13" s="27"/>
      <c r="B13" s="31" t="s">
        <v>127</v>
      </c>
      <c r="C13" s="32" t="s">
        <v>10</v>
      </c>
      <c r="D13" s="32" t="s">
        <v>119</v>
      </c>
      <c r="E13" s="576">
        <v>3</v>
      </c>
      <c r="F13" s="575">
        <v>3</v>
      </c>
      <c r="G13" s="569"/>
      <c r="H13" s="26"/>
    </row>
    <row r="14" spans="1:8" x14ac:dyDescent="0.6">
      <c r="A14" s="27"/>
      <c r="B14" s="31" t="s">
        <v>718</v>
      </c>
      <c r="C14" s="32" t="s">
        <v>38</v>
      </c>
      <c r="D14" s="32" t="s">
        <v>119</v>
      </c>
      <c r="E14" s="576">
        <v>1</v>
      </c>
      <c r="F14" s="577">
        <v>0</v>
      </c>
      <c r="G14" s="28"/>
      <c r="H14" s="26"/>
    </row>
    <row r="15" spans="1:8" x14ac:dyDescent="0.6">
      <c r="A15" s="27"/>
      <c r="B15" s="31" t="s">
        <v>719</v>
      </c>
      <c r="C15" s="32" t="s">
        <v>720</v>
      </c>
      <c r="D15" s="32" t="s">
        <v>116</v>
      </c>
      <c r="E15" s="579">
        <v>774.97</v>
      </c>
      <c r="F15" s="578">
        <v>0</v>
      </c>
      <c r="G15" s="28"/>
      <c r="H15" s="26"/>
    </row>
    <row r="16" spans="1:8" x14ac:dyDescent="0.6">
      <c r="A16" s="27"/>
      <c r="B16" s="31" t="s">
        <v>128</v>
      </c>
      <c r="C16" s="32" t="s">
        <v>39</v>
      </c>
      <c r="D16" s="32" t="s">
        <v>119</v>
      </c>
      <c r="E16" s="576">
        <v>1</v>
      </c>
      <c r="F16" s="33">
        <v>1</v>
      </c>
      <c r="G16" s="28"/>
      <c r="H16" s="26"/>
    </row>
    <row r="17" spans="1:8" x14ac:dyDescent="0.6">
      <c r="A17" s="27"/>
      <c r="B17" s="31" t="s">
        <v>129</v>
      </c>
      <c r="C17" s="32" t="s">
        <v>11</v>
      </c>
      <c r="D17" s="32" t="s">
        <v>116</v>
      </c>
      <c r="E17" s="576">
        <f>1469.1-174.91</f>
        <v>1294.1899999999998</v>
      </c>
      <c r="F17" s="572">
        <f>1502.76-126.91</f>
        <v>1375.85</v>
      </c>
      <c r="G17" s="28"/>
      <c r="H17" s="26"/>
    </row>
    <row r="18" spans="1:8" x14ac:dyDescent="0.6">
      <c r="A18" s="27"/>
      <c r="B18" s="31" t="s">
        <v>130</v>
      </c>
      <c r="C18" s="32" t="s">
        <v>12</v>
      </c>
      <c r="D18" s="32" t="s">
        <v>115</v>
      </c>
      <c r="E18" s="576">
        <v>209.46</v>
      </c>
      <c r="F18" s="575">
        <v>239.41</v>
      </c>
      <c r="G18" s="568"/>
      <c r="H18" s="26"/>
    </row>
    <row r="19" spans="1:8" x14ac:dyDescent="0.6">
      <c r="A19" s="27"/>
      <c r="B19" s="776" t="s">
        <v>713</v>
      </c>
      <c r="C19" s="777" t="s">
        <v>715</v>
      </c>
      <c r="D19" s="777" t="s">
        <v>116</v>
      </c>
      <c r="E19" s="1026">
        <v>343.39</v>
      </c>
      <c r="F19" s="1027"/>
      <c r="G19" s="28"/>
      <c r="H19" s="26"/>
    </row>
    <row r="20" spans="1:8" x14ac:dyDescent="0.6">
      <c r="A20" s="27"/>
      <c r="B20" s="776" t="s">
        <v>714</v>
      </c>
      <c r="C20" s="777" t="s">
        <v>716</v>
      </c>
      <c r="D20" s="777" t="s">
        <v>116</v>
      </c>
      <c r="E20" s="1026">
        <v>2661.29</v>
      </c>
      <c r="F20" s="1027"/>
      <c r="G20" s="28"/>
      <c r="H20" s="26"/>
    </row>
    <row r="21" spans="1:8" x14ac:dyDescent="0.6">
      <c r="A21" s="27"/>
      <c r="B21" s="31" t="s">
        <v>131</v>
      </c>
      <c r="C21" s="32" t="s">
        <v>132</v>
      </c>
      <c r="D21" s="32" t="s">
        <v>116</v>
      </c>
      <c r="E21" s="576">
        <v>1879.83</v>
      </c>
      <c r="F21" s="33">
        <v>2024.31</v>
      </c>
      <c r="G21" s="510" t="s">
        <v>611</v>
      </c>
      <c r="H21" s="26"/>
    </row>
    <row r="22" spans="1:8" x14ac:dyDescent="0.6">
      <c r="A22" s="27"/>
      <c r="B22" s="31" t="s">
        <v>133</v>
      </c>
      <c r="C22" s="32" t="s">
        <v>13</v>
      </c>
      <c r="D22" s="32" t="s">
        <v>119</v>
      </c>
      <c r="E22" s="576">
        <v>1</v>
      </c>
      <c r="F22" s="33">
        <v>1</v>
      </c>
      <c r="G22" s="28"/>
      <c r="H22" s="26"/>
    </row>
    <row r="23" spans="1:8" x14ac:dyDescent="0.6">
      <c r="A23" s="27"/>
      <c r="B23" s="31" t="s">
        <v>134</v>
      </c>
      <c r="C23" s="32" t="s">
        <v>37</v>
      </c>
      <c r="D23" s="32" t="s">
        <v>116</v>
      </c>
      <c r="E23" s="576">
        <v>1879.83</v>
      </c>
      <c r="F23" s="33">
        <v>2024.31</v>
      </c>
      <c r="G23" s="28"/>
      <c r="H23" s="26"/>
    </row>
    <row r="24" spans="1:8" x14ac:dyDescent="0.6">
      <c r="A24" s="27"/>
      <c r="B24" s="31" t="s">
        <v>135</v>
      </c>
      <c r="C24" s="32" t="s">
        <v>144</v>
      </c>
      <c r="D24" s="32" t="s">
        <v>115</v>
      </c>
      <c r="E24" s="576">
        <v>176.28</v>
      </c>
      <c r="F24" s="577">
        <v>215.72</v>
      </c>
      <c r="G24" s="28"/>
      <c r="H24" s="26"/>
    </row>
    <row r="25" spans="1:8" x14ac:dyDescent="0.6">
      <c r="A25" s="27"/>
      <c r="B25" s="31" t="s">
        <v>136</v>
      </c>
      <c r="C25" s="32" t="s">
        <v>145</v>
      </c>
      <c r="D25" s="32" t="s">
        <v>119</v>
      </c>
      <c r="E25" s="576">
        <v>1</v>
      </c>
      <c r="F25" s="33">
        <v>1</v>
      </c>
      <c r="G25" s="28"/>
      <c r="H25" s="26"/>
    </row>
    <row r="26" spans="1:8" x14ac:dyDescent="0.6">
      <c r="A26" s="27"/>
      <c r="B26" s="31" t="s">
        <v>709</v>
      </c>
      <c r="C26" s="32"/>
      <c r="D26" s="32" t="s">
        <v>119</v>
      </c>
      <c r="E26" s="1012">
        <v>24</v>
      </c>
      <c r="F26" s="1013"/>
      <c r="G26" s="28"/>
      <c r="H26" s="26"/>
    </row>
    <row r="27" spans="1:8" x14ac:dyDescent="0.6">
      <c r="A27" s="27"/>
      <c r="G27" s="28"/>
      <c r="H27" s="26"/>
    </row>
    <row r="28" spans="1:8" x14ac:dyDescent="0.6">
      <c r="A28" s="27"/>
    </row>
    <row r="44" spans="11:12" x14ac:dyDescent="0.6">
      <c r="K44">
        <f>12224.04-301.82</f>
        <v>11922.220000000001</v>
      </c>
      <c r="L44">
        <f>12469.72-K44</f>
        <v>547.49999999999818</v>
      </c>
    </row>
    <row r="48" spans="11:12" x14ac:dyDescent="0.6">
      <c r="K48">
        <f>3188.34+1879.83</f>
        <v>5068.17</v>
      </c>
    </row>
  </sheetData>
  <mergeCells count="11">
    <mergeCell ref="E10:F10"/>
    <mergeCell ref="E11:F11"/>
    <mergeCell ref="E26:F26"/>
    <mergeCell ref="A4:H4"/>
    <mergeCell ref="A6:H6"/>
    <mergeCell ref="B8:B9"/>
    <mergeCell ref="C8:C9"/>
    <mergeCell ref="D8:D9"/>
    <mergeCell ref="E8:F8"/>
    <mergeCell ref="E19:F19"/>
    <mergeCell ref="E20:F20"/>
  </mergeCells>
  <pageMargins left="0.51181102362204722" right="0.51181102362204722" top="0.78740157480314965" bottom="0.78740157480314965" header="0.31496062992125984" footer="0.31496062992125984"/>
  <pageSetup paperSize="9" scale="61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FB7BB-C74E-481B-9724-B93989582F70}">
  <sheetPr>
    <tabColor rgb="FF0070C0"/>
  </sheetPr>
  <dimension ref="A1:M35"/>
  <sheetViews>
    <sheetView showGridLines="0" topLeftCell="A18" zoomScale="70" zoomScaleNormal="70" zoomScaleSheetLayoutView="95" workbookViewId="0">
      <selection activeCell="E25" sqref="E25"/>
    </sheetView>
  </sheetViews>
  <sheetFormatPr defaultColWidth="9.140625" defaultRowHeight="19.5" x14ac:dyDescent="0.25"/>
  <cols>
    <col min="1" max="1" width="53" style="38" bestFit="1" customWidth="1"/>
    <col min="2" max="3" width="27" style="38" customWidth="1"/>
    <col min="4" max="4" width="27" style="39" customWidth="1"/>
    <col min="5" max="5" width="32.140625" style="97" customWidth="1"/>
    <col min="6" max="6" width="27" style="97" customWidth="1"/>
    <col min="7" max="7" width="18.85546875" style="97" customWidth="1"/>
    <col min="8" max="16384" width="9.140625" style="1"/>
  </cols>
  <sheetData>
    <row r="1" spans="1:9" x14ac:dyDescent="0.25">
      <c r="A1" s="41"/>
      <c r="B1" s="41"/>
      <c r="C1" s="41"/>
      <c r="D1" s="44"/>
      <c r="E1" s="94"/>
      <c r="F1" s="94"/>
      <c r="G1" s="94"/>
      <c r="I1" s="2"/>
    </row>
    <row r="2" spans="1:9" ht="28.5" x14ac:dyDescent="0.25">
      <c r="A2" s="1032" t="s">
        <v>117</v>
      </c>
      <c r="B2" s="1033"/>
      <c r="C2" s="1033"/>
      <c r="D2" s="1033"/>
      <c r="E2" s="1033"/>
      <c r="F2" s="1033"/>
      <c r="G2" s="1034"/>
      <c r="I2" s="2"/>
    </row>
    <row r="3" spans="1:9" x14ac:dyDescent="0.25">
      <c r="A3" s="43"/>
      <c r="B3" s="43"/>
      <c r="C3" s="43"/>
      <c r="D3" s="42"/>
      <c r="E3" s="95"/>
      <c r="F3" s="94"/>
      <c r="G3" s="94"/>
      <c r="I3" s="2"/>
    </row>
    <row r="4" spans="1:9" s="48" customFormat="1" ht="21.75" x14ac:dyDescent="0.25">
      <c r="A4" s="45" t="s">
        <v>140</v>
      </c>
      <c r="B4" s="46"/>
      <c r="C4" s="46"/>
      <c r="D4" s="47"/>
      <c r="E4" s="88"/>
      <c r="F4" s="88"/>
      <c r="G4" s="88"/>
    </row>
    <row r="5" spans="1:9" s="48" customFormat="1" ht="21.75" x14ac:dyDescent="0.25">
      <c r="A5" s="49"/>
      <c r="B5" s="50"/>
      <c r="C5" s="50"/>
      <c r="D5" s="51"/>
      <c r="E5" s="89"/>
      <c r="F5" s="90"/>
      <c r="G5" s="90"/>
    </row>
    <row r="6" spans="1:9" s="48" customFormat="1" ht="42" customHeight="1" x14ac:dyDescent="0.25">
      <c r="A6" s="55" t="s">
        <v>14</v>
      </c>
      <c r="B6" s="56" t="s">
        <v>1231</v>
      </c>
      <c r="C6" s="56" t="s">
        <v>139</v>
      </c>
      <c r="D6" s="57" t="s">
        <v>138</v>
      </c>
      <c r="E6" s="91" t="s">
        <v>137</v>
      </c>
      <c r="F6" s="80" t="s">
        <v>16</v>
      </c>
      <c r="G6" s="90"/>
    </row>
    <row r="7" spans="1:9" s="48" customFormat="1" ht="21.75" x14ac:dyDescent="0.25">
      <c r="A7" s="58" t="s">
        <v>1275</v>
      </c>
      <c r="B7" s="59">
        <f>(DADOS_INICIAIS!F21)*1.1</f>
        <v>2226.741</v>
      </c>
      <c r="C7" s="59">
        <v>5.0999999999999996</v>
      </c>
      <c r="D7" s="60">
        <f>C7*B7</f>
        <v>11356.379099999998</v>
      </c>
      <c r="E7" s="78">
        <v>60</v>
      </c>
      <c r="F7" s="79">
        <f>E7*D7*1.1</f>
        <v>749521.02059999993</v>
      </c>
      <c r="G7" s="92" t="s">
        <v>1232</v>
      </c>
    </row>
    <row r="8" spans="1:9" s="48" customFormat="1" ht="21.75" x14ac:dyDescent="0.25">
      <c r="A8" s="58" t="s">
        <v>1276</v>
      </c>
      <c r="B8" s="59">
        <f>(DADOS_INICIAIS!E21)*1.1</f>
        <v>2067.8130000000001</v>
      </c>
      <c r="C8" s="59">
        <v>1</v>
      </c>
      <c r="D8" s="60">
        <f>C8*B8</f>
        <v>2067.8130000000001</v>
      </c>
      <c r="E8" s="78">
        <v>60</v>
      </c>
      <c r="F8" s="79">
        <f>E8*D8*1.1</f>
        <v>136475.658</v>
      </c>
      <c r="G8" s="92" t="s">
        <v>1232</v>
      </c>
    </row>
    <row r="9" spans="1:9" s="48" customFormat="1" ht="26.25" customHeight="1" x14ac:dyDescent="0.25">
      <c r="A9" s="61" t="s">
        <v>1233</v>
      </c>
      <c r="B9" s="59">
        <f>B8*0.2</f>
        <v>413.56260000000003</v>
      </c>
      <c r="C9" s="59">
        <v>0.6</v>
      </c>
      <c r="D9" s="60">
        <f>C9*B9</f>
        <v>248.13756000000001</v>
      </c>
      <c r="E9" s="78">
        <v>25</v>
      </c>
      <c r="F9" s="96">
        <f>E9*D9*1.1</f>
        <v>6823.7829000000011</v>
      </c>
      <c r="G9" s="92" t="s">
        <v>1232</v>
      </c>
    </row>
    <row r="10" spans="1:9" s="48" customFormat="1" ht="26.25" customHeight="1" x14ac:dyDescent="0.25">
      <c r="A10" s="61" t="s">
        <v>1277</v>
      </c>
      <c r="B10" s="59">
        <f>B7</f>
        <v>2226.741</v>
      </c>
      <c r="C10" s="59">
        <f>C7</f>
        <v>5.0999999999999996</v>
      </c>
      <c r="D10" s="60">
        <f>C10*B10*1.3</f>
        <v>14763.292829999999</v>
      </c>
      <c r="E10" s="78">
        <v>35</v>
      </c>
      <c r="F10" s="96">
        <f>E10*D10*1.1</f>
        <v>568386.77395499998</v>
      </c>
      <c r="G10" s="92"/>
    </row>
    <row r="11" spans="1:9" s="48" customFormat="1" ht="26.25" customHeight="1" x14ac:dyDescent="0.25">
      <c r="A11" s="61" t="s">
        <v>1278</v>
      </c>
      <c r="B11" s="935" t="s">
        <v>202</v>
      </c>
      <c r="C11" s="935" t="s">
        <v>202</v>
      </c>
      <c r="D11" s="60">
        <f>((B8*C8)-(B9*C9))*1.3</f>
        <v>2365.5780720000002</v>
      </c>
      <c r="E11" s="78">
        <v>35</v>
      </c>
      <c r="F11" s="96">
        <f>E11*D11*1.1</f>
        <v>91074.755772000019</v>
      </c>
      <c r="G11" s="92"/>
    </row>
    <row r="12" spans="1:9" s="48" customFormat="1" ht="21.75" x14ac:dyDescent="0.25">
      <c r="A12" s="1031" t="s">
        <v>17</v>
      </c>
      <c r="B12" s="1031"/>
      <c r="C12" s="1031"/>
      <c r="D12" s="1031"/>
      <c r="E12" s="1031"/>
      <c r="F12" s="80">
        <f>SUM(F7:F11)</f>
        <v>1552281.9912269998</v>
      </c>
      <c r="G12" s="93"/>
    </row>
    <row r="13" spans="1:9" s="48" customFormat="1" ht="21.75" x14ac:dyDescent="0.25">
      <c r="A13" s="1035"/>
      <c r="B13" s="1035"/>
      <c r="C13" s="1035"/>
      <c r="D13" s="1035"/>
      <c r="E13" s="1035"/>
      <c r="F13" s="90"/>
      <c r="G13" s="90"/>
    </row>
    <row r="14" spans="1:9" s="48" customFormat="1" ht="21.75" x14ac:dyDescent="0.25">
      <c r="A14" s="45" t="s">
        <v>143</v>
      </c>
      <c r="B14" s="46"/>
      <c r="C14" s="46"/>
      <c r="D14" s="47"/>
      <c r="E14" s="88"/>
      <c r="F14" s="88"/>
      <c r="G14" s="88"/>
    </row>
    <row r="15" spans="1:9" s="48" customFormat="1" ht="21.75" x14ac:dyDescent="0.25">
      <c r="A15" s="49"/>
      <c r="B15" s="50"/>
      <c r="C15" s="50"/>
      <c r="D15" s="51"/>
      <c r="E15" s="89"/>
      <c r="F15" s="90"/>
      <c r="G15" s="90"/>
    </row>
    <row r="16" spans="1:9" s="48" customFormat="1" ht="42" customHeight="1" x14ac:dyDescent="0.25">
      <c r="A16" s="55" t="s">
        <v>14</v>
      </c>
      <c r="B16" s="56" t="s">
        <v>142</v>
      </c>
      <c r="C16" s="56"/>
      <c r="D16" s="57"/>
      <c r="E16" s="91" t="s">
        <v>141</v>
      </c>
      <c r="F16" s="80" t="s">
        <v>16</v>
      </c>
      <c r="G16" s="90"/>
    </row>
    <row r="17" spans="1:13" s="48" customFormat="1" ht="21.75" x14ac:dyDescent="0.25">
      <c r="A17" s="58" t="s">
        <v>1324</v>
      </c>
      <c r="B17" s="59">
        <f>6*30</f>
        <v>180</v>
      </c>
      <c r="C17" s="64"/>
      <c r="D17" s="65"/>
      <c r="E17" s="78">
        <v>200</v>
      </c>
      <c r="F17" s="79">
        <f>B17*E17*1.1</f>
        <v>39600</v>
      </c>
      <c r="G17" s="92"/>
    </row>
    <row r="18" spans="1:13" s="48" customFormat="1" ht="21.75" x14ac:dyDescent="0.25">
      <c r="A18" s="1031" t="s">
        <v>17</v>
      </c>
      <c r="B18" s="1031"/>
      <c r="C18" s="1031"/>
      <c r="D18" s="1031"/>
      <c r="E18" s="1031"/>
      <c r="F18" s="80">
        <f>SUM(F17:F17)</f>
        <v>39600</v>
      </c>
      <c r="G18" s="93"/>
    </row>
    <row r="19" spans="1:13" s="48" customFormat="1" ht="21.75" x14ac:dyDescent="0.25">
      <c r="A19" s="1035"/>
      <c r="B19" s="1035"/>
      <c r="C19" s="1035"/>
      <c r="D19" s="1035"/>
      <c r="E19" s="1035"/>
      <c r="F19" s="90"/>
      <c r="G19" s="90"/>
    </row>
    <row r="20" spans="1:13" s="48" customFormat="1" ht="21.75" x14ac:dyDescent="0.25">
      <c r="A20" s="45" t="s">
        <v>19</v>
      </c>
      <c r="B20" s="46"/>
      <c r="C20" s="46"/>
      <c r="D20" s="47"/>
      <c r="E20" s="88"/>
      <c r="F20" s="88"/>
      <c r="G20" s="88"/>
    </row>
    <row r="21" spans="1:13" s="48" customFormat="1" ht="21.75" x14ac:dyDescent="0.25">
      <c r="A21" s="49"/>
      <c r="B21" s="50"/>
      <c r="C21" s="50"/>
      <c r="D21" s="51"/>
      <c r="E21" s="89"/>
      <c r="F21" s="90"/>
      <c r="G21" s="90"/>
    </row>
    <row r="22" spans="1:13" s="48" customFormat="1" ht="42" customHeight="1" x14ac:dyDescent="0.25">
      <c r="A22" s="55" t="s">
        <v>14</v>
      </c>
      <c r="B22" s="1036" t="s">
        <v>5</v>
      </c>
      <c r="C22" s="1037"/>
      <c r="D22" s="57" t="s">
        <v>138</v>
      </c>
      <c r="E22" s="91" t="s">
        <v>150</v>
      </c>
      <c r="F22" s="80" t="s">
        <v>16</v>
      </c>
      <c r="G22" s="90"/>
    </row>
    <row r="23" spans="1:13" s="48" customFormat="1" ht="26.25" customHeight="1" x14ac:dyDescent="0.25">
      <c r="A23" s="61" t="s">
        <v>20</v>
      </c>
      <c r="B23" s="54">
        <v>1.2</v>
      </c>
      <c r="C23" s="54" t="s">
        <v>108</v>
      </c>
      <c r="D23" s="63">
        <f>B23*(DADOS_INICIAIS!E21+DADOS_INICIAIS!F21)</f>
        <v>4684.9679999999998</v>
      </c>
      <c r="E23" s="78">
        <v>50</v>
      </c>
      <c r="F23" s="96">
        <f>E23*D23*1.1</f>
        <v>257673.24000000002</v>
      </c>
      <c r="G23" s="92" t="s">
        <v>1232</v>
      </c>
    </row>
    <row r="24" spans="1:13" s="48" customFormat="1" ht="26.25" customHeight="1" x14ac:dyDescent="0.25">
      <c r="A24" s="61" t="s">
        <v>21</v>
      </c>
      <c r="B24" s="54">
        <v>0.6</v>
      </c>
      <c r="C24" s="54" t="s">
        <v>147</v>
      </c>
      <c r="D24" s="63">
        <f>B24*D23</f>
        <v>2810.9807999999998</v>
      </c>
      <c r="E24" s="78">
        <v>25</v>
      </c>
      <c r="F24" s="96">
        <f t="shared" ref="F24:F25" si="0">E24*D24*1.1</f>
        <v>77301.971999999994</v>
      </c>
      <c r="G24" s="92" t="s">
        <v>1232</v>
      </c>
    </row>
    <row r="25" spans="1:13" s="48" customFormat="1" ht="21.75" x14ac:dyDescent="0.25">
      <c r="A25" s="61" t="s">
        <v>146</v>
      </c>
      <c r="B25" s="880">
        <v>1.4</v>
      </c>
      <c r="C25" s="54" t="s">
        <v>22</v>
      </c>
      <c r="D25" s="63">
        <f>(D23-D24)*B25</f>
        <v>2623.5820799999997</v>
      </c>
      <c r="E25" s="974">
        <v>40</v>
      </c>
      <c r="F25" s="96">
        <f t="shared" si="0"/>
        <v>115437.61152000001</v>
      </c>
      <c r="G25" s="90" t="s">
        <v>1365</v>
      </c>
      <c r="M25" s="69" t="s">
        <v>1366</v>
      </c>
    </row>
    <row r="26" spans="1:13" s="48" customFormat="1" ht="21.75" x14ac:dyDescent="0.25">
      <c r="A26" s="61" t="s">
        <v>1368</v>
      </c>
      <c r="B26" s="880">
        <v>1.4</v>
      </c>
      <c r="C26" s="54" t="s">
        <v>22</v>
      </c>
      <c r="D26" s="63">
        <f>'INFRAESTRUTURA REV01'!D15</f>
        <v>1275.7944934375078</v>
      </c>
      <c r="E26" s="974">
        <v>40</v>
      </c>
      <c r="F26" s="96">
        <f t="shared" ref="F26" si="1">E26*D26*1.1</f>
        <v>56134.957711250347</v>
      </c>
      <c r="G26" s="90" t="s">
        <v>1365</v>
      </c>
      <c r="M26" s="69" t="s">
        <v>1366</v>
      </c>
    </row>
    <row r="27" spans="1:13" s="48" customFormat="1" ht="21.75" x14ac:dyDescent="0.25">
      <c r="A27" s="1031" t="s">
        <v>17</v>
      </c>
      <c r="B27" s="1031"/>
      <c r="C27" s="1031"/>
      <c r="D27" s="1031"/>
      <c r="E27" s="1031"/>
      <c r="F27" s="80">
        <f>SUM(F23:F26)</f>
        <v>506547.78123125032</v>
      </c>
      <c r="G27" s="93"/>
    </row>
    <row r="28" spans="1:13" x14ac:dyDescent="0.25">
      <c r="K28" s="40"/>
    </row>
    <row r="29" spans="1:13" ht="21.75" x14ac:dyDescent="0.25">
      <c r="A29" s="45" t="s">
        <v>97</v>
      </c>
      <c r="B29" s="46"/>
      <c r="C29" s="46"/>
      <c r="D29" s="47"/>
      <c r="E29" s="88"/>
      <c r="F29" s="88"/>
      <c r="G29" s="88"/>
    </row>
    <row r="30" spans="1:13" ht="21.75" x14ac:dyDescent="0.25">
      <c r="A30" s="49"/>
      <c r="B30" s="50"/>
      <c r="C30" s="50"/>
      <c r="D30" s="51"/>
      <c r="E30" s="89"/>
      <c r="F30" s="90"/>
      <c r="G30" s="90"/>
    </row>
    <row r="31" spans="1:13" ht="21.75" x14ac:dyDescent="0.25">
      <c r="A31" s="55" t="s">
        <v>14</v>
      </c>
      <c r="B31" s="1036" t="s">
        <v>5</v>
      </c>
      <c r="C31" s="1037"/>
      <c r="D31" s="57" t="s">
        <v>148</v>
      </c>
      <c r="E31" s="91" t="s">
        <v>149</v>
      </c>
      <c r="F31" s="80" t="s">
        <v>16</v>
      </c>
      <c r="G31" s="90"/>
    </row>
    <row r="32" spans="1:13" ht="21.75" x14ac:dyDescent="0.25">
      <c r="A32" s="61" t="s">
        <v>1234</v>
      </c>
      <c r="B32" s="54">
        <v>0.4</v>
      </c>
      <c r="C32" s="54" t="s">
        <v>109</v>
      </c>
      <c r="D32" s="63">
        <f>B32*(DADOS_INICIAIS!F23+DADOS_INICIAIS!E23)</f>
        <v>1561.6559999999999</v>
      </c>
      <c r="E32" s="78">
        <f>230+30</f>
        <v>260</v>
      </c>
      <c r="F32" s="96">
        <f>E32*D32*1.1</f>
        <v>446633.61600000004</v>
      </c>
      <c r="G32" s="92"/>
    </row>
    <row r="33" spans="1:7" ht="21.75" x14ac:dyDescent="0.25">
      <c r="A33" s="1031" t="s">
        <v>17</v>
      </c>
      <c r="B33" s="1031"/>
      <c r="C33" s="1031"/>
      <c r="D33" s="1031"/>
      <c r="E33" s="1031"/>
      <c r="F33" s="80">
        <f>SUM(F32:F32)</f>
        <v>446633.61600000004</v>
      </c>
      <c r="G33" s="93"/>
    </row>
    <row r="35" spans="1:7" ht="23.25" customHeight="1" x14ac:dyDescent="0.25">
      <c r="A35" s="1028" t="s">
        <v>100</v>
      </c>
      <c r="B35" s="1029"/>
      <c r="C35" s="1029"/>
      <c r="D35" s="1029"/>
      <c r="E35" s="1030"/>
      <c r="F35" s="98">
        <f>F12+F18+F27+F33</f>
        <v>2545063.3884582501</v>
      </c>
      <c r="G35" s="98">
        <f>F35/DADOS_INICIAIS!E11</f>
        <v>173.21109642671686</v>
      </c>
    </row>
  </sheetData>
  <mergeCells count="10">
    <mergeCell ref="A35:E35"/>
    <mergeCell ref="A27:E27"/>
    <mergeCell ref="A2:G2"/>
    <mergeCell ref="A12:E12"/>
    <mergeCell ref="A13:E13"/>
    <mergeCell ref="B22:C22"/>
    <mergeCell ref="B31:C31"/>
    <mergeCell ref="A33:E33"/>
    <mergeCell ref="A18:E18"/>
    <mergeCell ref="A19:E19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F2728-2068-4AF3-A5C9-8CD3BC45B02C}">
  <sheetPr>
    <tabColor rgb="FF0070C0"/>
  </sheetPr>
  <dimension ref="A1"/>
  <sheetViews>
    <sheetView showGridLines="0" zoomScale="85" zoomScaleNormal="85" workbookViewId="0">
      <selection activeCell="B44" sqref="B44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9B24-4A14-470C-9528-250F4A4412CB}">
  <sheetPr>
    <tabColor rgb="FF0070C0"/>
  </sheetPr>
  <dimension ref="A1:J47"/>
  <sheetViews>
    <sheetView showGridLines="0" zoomScale="80" zoomScaleNormal="80" zoomScaleSheetLayoutView="95" workbookViewId="0">
      <selection activeCell="F28" sqref="F28"/>
    </sheetView>
  </sheetViews>
  <sheetFormatPr defaultColWidth="9.140625" defaultRowHeight="15" x14ac:dyDescent="0.25"/>
  <cols>
    <col min="1" max="1" width="43.42578125" style="48" customWidth="1"/>
    <col min="2" max="3" width="21.7109375" style="48" customWidth="1"/>
    <col min="4" max="4" width="16.5703125" style="71" customWidth="1"/>
    <col min="5" max="5" width="19.5703125" style="72" customWidth="1"/>
    <col min="6" max="6" width="20.85546875" style="84" customWidth="1"/>
    <col min="7" max="7" width="20.7109375" style="84" customWidth="1"/>
    <col min="8" max="8" width="15.140625" style="84" customWidth="1"/>
    <col min="9" max="9" width="21.5703125" style="48" customWidth="1"/>
    <col min="10" max="10" width="9.140625" style="48"/>
    <col min="11" max="11" width="11" style="48" bestFit="1" customWidth="1"/>
    <col min="12" max="13" width="9.140625" style="48"/>
    <col min="14" max="15" width="11" style="48" bestFit="1" customWidth="1"/>
    <col min="16" max="16384" width="9.140625" style="48"/>
  </cols>
  <sheetData>
    <row r="1" spans="1:10" x14ac:dyDescent="0.25">
      <c r="D1" s="69"/>
      <c r="E1" s="48"/>
      <c r="H1" s="85"/>
      <c r="I1" s="70"/>
      <c r="J1" s="69"/>
    </row>
    <row r="3" spans="1:10" ht="28.5" x14ac:dyDescent="0.25">
      <c r="A3" s="1032" t="s">
        <v>156</v>
      </c>
      <c r="B3" s="1043"/>
      <c r="C3" s="1043"/>
      <c r="D3" s="1033"/>
      <c r="E3" s="1033"/>
      <c r="F3" s="1033"/>
      <c r="G3" s="1033"/>
      <c r="H3" s="1034"/>
      <c r="J3" s="69"/>
    </row>
    <row r="4" spans="1:10" ht="10.9" customHeight="1" x14ac:dyDescent="0.25">
      <c r="A4" s="73"/>
      <c r="B4" s="73"/>
      <c r="C4" s="73"/>
      <c r="D4" s="73"/>
      <c r="E4" s="73"/>
      <c r="F4" s="86"/>
      <c r="G4" s="87"/>
      <c r="H4" s="87"/>
      <c r="J4" s="69"/>
    </row>
    <row r="5" spans="1:10" ht="21.75" hidden="1" x14ac:dyDescent="0.25">
      <c r="A5" s="45" t="s">
        <v>157</v>
      </c>
      <c r="B5" s="45"/>
      <c r="C5" s="45"/>
      <c r="D5" s="46"/>
      <c r="E5" s="46"/>
      <c r="F5" s="88"/>
      <c r="G5" s="88"/>
      <c r="H5" s="88"/>
    </row>
    <row r="6" spans="1:10" ht="21.75" hidden="1" x14ac:dyDescent="0.25">
      <c r="A6" s="49"/>
      <c r="B6" s="49"/>
      <c r="C6" s="49"/>
      <c r="D6" s="50"/>
      <c r="E6" s="50"/>
      <c r="F6" s="89"/>
      <c r="G6" s="90"/>
      <c r="H6" s="90"/>
    </row>
    <row r="7" spans="1:10" ht="42" hidden="1" customHeight="1" x14ac:dyDescent="0.25">
      <c r="A7" s="55" t="s">
        <v>14</v>
      </c>
      <c r="B7" s="1036" t="s">
        <v>5</v>
      </c>
      <c r="C7" s="1037"/>
      <c r="D7" s="1036" t="s">
        <v>18</v>
      </c>
      <c r="E7" s="1037"/>
      <c r="F7" s="91" t="s">
        <v>114</v>
      </c>
      <c r="G7" s="80" t="s">
        <v>16</v>
      </c>
      <c r="H7" s="90"/>
    </row>
    <row r="8" spans="1:10" ht="21.75" hidden="1" x14ac:dyDescent="0.25">
      <c r="A8" s="58" t="s">
        <v>104</v>
      </c>
      <c r="B8" s="54">
        <v>0.15</v>
      </c>
      <c r="C8" s="54" t="s">
        <v>105</v>
      </c>
      <c r="D8" s="59">
        <f>B8*DADOS_INICIAIS!F23</f>
        <v>303.6465</v>
      </c>
      <c r="E8" s="59" t="s">
        <v>3</v>
      </c>
      <c r="F8" s="82"/>
      <c r="G8" s="83"/>
      <c r="H8" s="92"/>
    </row>
    <row r="9" spans="1:10" ht="21.75" hidden="1" x14ac:dyDescent="0.25">
      <c r="A9" s="1041" t="s">
        <v>152</v>
      </c>
      <c r="B9" s="66">
        <v>0.1</v>
      </c>
      <c r="C9" s="54"/>
      <c r="D9" s="59">
        <f>B9*$D$8</f>
        <v>30.364650000000001</v>
      </c>
      <c r="E9" s="59" t="s">
        <v>3</v>
      </c>
      <c r="F9" s="82"/>
      <c r="G9" s="83"/>
      <c r="H9" s="92"/>
    </row>
    <row r="10" spans="1:10" ht="21.75" hidden="1" x14ac:dyDescent="0.25">
      <c r="A10" s="1042"/>
      <c r="B10" s="67">
        <v>20</v>
      </c>
      <c r="C10" s="54" t="s">
        <v>153</v>
      </c>
      <c r="D10" s="59">
        <f>B10*D9</f>
        <v>607.29300000000001</v>
      </c>
      <c r="E10" s="59" t="s">
        <v>4</v>
      </c>
      <c r="F10" s="78"/>
      <c r="G10" s="79">
        <f>F10*D10</f>
        <v>0</v>
      </c>
      <c r="H10" s="92"/>
    </row>
    <row r="11" spans="1:10" ht="21.75" hidden="1" x14ac:dyDescent="0.25">
      <c r="A11" s="1041" t="s">
        <v>151</v>
      </c>
      <c r="B11" s="66">
        <v>0.5</v>
      </c>
      <c r="C11" s="54"/>
      <c r="D11" s="59">
        <f>B11*$D$8</f>
        <v>151.82325</v>
      </c>
      <c r="E11" s="59" t="s">
        <v>3</v>
      </c>
      <c r="F11" s="82"/>
      <c r="G11" s="83"/>
      <c r="H11" s="92"/>
    </row>
    <row r="12" spans="1:10" ht="21.75" hidden="1" x14ac:dyDescent="0.25">
      <c r="A12" s="1042"/>
      <c r="B12" s="67">
        <v>20</v>
      </c>
      <c r="C12" s="54" t="s">
        <v>153</v>
      </c>
      <c r="D12" s="59">
        <f>B12*D11</f>
        <v>3036.4650000000001</v>
      </c>
      <c r="E12" s="59" t="s">
        <v>4</v>
      </c>
      <c r="F12" s="78"/>
      <c r="G12" s="79">
        <f>F12*D12</f>
        <v>0</v>
      </c>
      <c r="H12" s="92"/>
    </row>
    <row r="13" spans="1:10" ht="21.75" hidden="1" x14ac:dyDescent="0.25">
      <c r="A13" s="1041" t="s">
        <v>110</v>
      </c>
      <c r="B13" s="66">
        <v>0.4</v>
      </c>
      <c r="C13" s="54" t="s">
        <v>105</v>
      </c>
      <c r="D13" s="59">
        <f>B13*$D$8</f>
        <v>121.4586</v>
      </c>
      <c r="E13" s="59" t="s">
        <v>3</v>
      </c>
      <c r="F13" s="82"/>
      <c r="G13" s="83"/>
      <c r="H13" s="92"/>
    </row>
    <row r="14" spans="1:10" ht="21.75" hidden="1" x14ac:dyDescent="0.25">
      <c r="A14" s="1042"/>
      <c r="B14" s="67">
        <v>20</v>
      </c>
      <c r="C14" s="54" t="s">
        <v>153</v>
      </c>
      <c r="D14" s="59">
        <f>B14*D13</f>
        <v>2429.172</v>
      </c>
      <c r="E14" s="59" t="s">
        <v>4</v>
      </c>
      <c r="F14" s="78"/>
      <c r="G14" s="79">
        <f>F14*D14</f>
        <v>0</v>
      </c>
      <c r="H14" s="92"/>
    </row>
    <row r="15" spans="1:10" ht="21.75" hidden="1" x14ac:dyDescent="0.25">
      <c r="A15" s="58" t="s">
        <v>24</v>
      </c>
      <c r="B15" s="54">
        <f>(PI()*0.4^2)/4*D12+(PI()*0.5^2)/4*D14+(PI()*0.6^2)/4*D10</f>
        <v>1030.2483027833134</v>
      </c>
      <c r="C15" s="54" t="s">
        <v>105</v>
      </c>
      <c r="D15" s="59">
        <f>(PI()*0.4^2)/4*D12+(PI()*0.5^2)/4*D14+(PI()*0.6^2)/4*D10</f>
        <v>1030.2483027833134</v>
      </c>
      <c r="E15" s="59" t="s">
        <v>22</v>
      </c>
      <c r="F15" s="78"/>
      <c r="G15" s="79">
        <f>F15*D15</f>
        <v>0</v>
      </c>
      <c r="H15" s="92"/>
    </row>
    <row r="16" spans="1:10" ht="21.75" hidden="1" x14ac:dyDescent="0.25">
      <c r="A16" s="58" t="s">
        <v>112</v>
      </c>
      <c r="B16" s="54">
        <v>1.6575131198547477</v>
      </c>
      <c r="C16" s="54" t="s">
        <v>34</v>
      </c>
      <c r="D16" s="59">
        <f>B16*D15</f>
        <v>1707.6500785714286</v>
      </c>
      <c r="E16" s="59" t="s">
        <v>26</v>
      </c>
      <c r="F16" s="78"/>
      <c r="G16" s="79">
        <f>F16*D16</f>
        <v>0</v>
      </c>
      <c r="H16" s="92"/>
    </row>
    <row r="17" spans="1:9" ht="21.75" hidden="1" x14ac:dyDescent="0.25">
      <c r="A17" s="58" t="s">
        <v>120</v>
      </c>
      <c r="B17" s="54">
        <v>10.178337551067401</v>
      </c>
      <c r="C17" s="54" t="s">
        <v>34</v>
      </c>
      <c r="D17" s="59">
        <f>B17*D15</f>
        <v>10486.214987142856</v>
      </c>
      <c r="E17" s="59" t="s">
        <v>26</v>
      </c>
      <c r="F17" s="78"/>
      <c r="G17" s="79">
        <f>F17*D17</f>
        <v>0</v>
      </c>
      <c r="H17" s="92"/>
    </row>
    <row r="18" spans="1:9" ht="21.75" hidden="1" x14ac:dyDescent="0.25">
      <c r="A18" s="58" t="s">
        <v>106</v>
      </c>
      <c r="B18" s="54">
        <v>1</v>
      </c>
      <c r="C18" s="54" t="s">
        <v>27</v>
      </c>
      <c r="D18" s="59">
        <v>1</v>
      </c>
      <c r="E18" s="59" t="s">
        <v>27</v>
      </c>
      <c r="F18" s="78"/>
      <c r="G18" s="79">
        <f>F18*D18</f>
        <v>0</v>
      </c>
      <c r="H18" s="92"/>
    </row>
    <row r="19" spans="1:9" ht="21.75" hidden="1" x14ac:dyDescent="0.25">
      <c r="A19" s="1031" t="s">
        <v>17</v>
      </c>
      <c r="B19" s="1031"/>
      <c r="C19" s="1031"/>
      <c r="D19" s="1031"/>
      <c r="E19" s="1031"/>
      <c r="F19" s="1031"/>
      <c r="G19" s="80">
        <f>SUM(G8:G18)</f>
        <v>0</v>
      </c>
      <c r="H19" s="93"/>
    </row>
    <row r="20" spans="1:9" ht="6.6" customHeight="1" x14ac:dyDescent="0.25"/>
    <row r="21" spans="1:9" ht="21.75" x14ac:dyDescent="0.25">
      <c r="A21" s="45" t="s">
        <v>1236</v>
      </c>
      <c r="B21" s="45"/>
      <c r="C21" s="45"/>
      <c r="D21" s="46"/>
      <c r="E21" s="46"/>
      <c r="F21" s="88"/>
      <c r="G21" s="88"/>
      <c r="H21" s="88"/>
    </row>
    <row r="22" spans="1:9" ht="12.6" customHeight="1" x14ac:dyDescent="0.25">
      <c r="A22" s="49"/>
      <c r="B22" s="49"/>
      <c r="C22" s="49"/>
      <c r="D22" s="50"/>
      <c r="E22" s="50"/>
      <c r="F22" s="89"/>
      <c r="G22" s="90"/>
      <c r="H22" s="90"/>
    </row>
    <row r="23" spans="1:9" ht="21.75" x14ac:dyDescent="0.25">
      <c r="A23" s="55" t="s">
        <v>14</v>
      </c>
      <c r="B23" s="1036" t="s">
        <v>5</v>
      </c>
      <c r="C23" s="1037"/>
      <c r="D23" s="1036" t="s">
        <v>18</v>
      </c>
      <c r="E23" s="1037"/>
      <c r="F23" s="91" t="s">
        <v>114</v>
      </c>
      <c r="G23" s="80" t="s">
        <v>16</v>
      </c>
      <c r="H23" s="90"/>
    </row>
    <row r="24" spans="1:9" ht="20.45" customHeight="1" x14ac:dyDescent="0.25">
      <c r="A24" s="58" t="s">
        <v>1237</v>
      </c>
      <c r="B24" s="54"/>
      <c r="C24" s="54"/>
      <c r="D24" s="59">
        <v>1163.48</v>
      </c>
      <c r="E24" s="59"/>
      <c r="F24" s="78"/>
      <c r="G24" s="79"/>
      <c r="H24" s="92" t="s">
        <v>1294</v>
      </c>
    </row>
    <row r="25" spans="1:9" ht="43.5" x14ac:dyDescent="0.25">
      <c r="A25" s="58" t="s">
        <v>1302</v>
      </c>
      <c r="B25" s="54">
        <v>2</v>
      </c>
      <c r="C25" s="54" t="s">
        <v>187</v>
      </c>
      <c r="D25" s="59">
        <f>B25*D24</f>
        <v>2326.96</v>
      </c>
      <c r="E25" s="59" t="s">
        <v>2</v>
      </c>
      <c r="F25" s="78">
        <f>206.56+0.130939</f>
        <v>206.69093900000001</v>
      </c>
      <c r="G25" s="79">
        <f>F25*D25*1.1</f>
        <v>529057.70215698413</v>
      </c>
      <c r="H25" s="92"/>
    </row>
    <row r="26" spans="1:9" ht="21.75" x14ac:dyDescent="0.25">
      <c r="A26" s="58" t="s">
        <v>24</v>
      </c>
      <c r="B26" s="54">
        <v>0.4</v>
      </c>
      <c r="C26" s="54" t="s">
        <v>4</v>
      </c>
      <c r="D26" s="59">
        <f>D24*B26</f>
        <v>465.39200000000005</v>
      </c>
      <c r="E26" s="59" t="s">
        <v>22</v>
      </c>
      <c r="F26" s="78">
        <f>(650+45)*1.05</f>
        <v>729.75</v>
      </c>
      <c r="G26" s="79">
        <f>F26*D26*1.1</f>
        <v>373581.79320000007</v>
      </c>
      <c r="H26" s="92" t="s">
        <v>1228</v>
      </c>
    </row>
    <row r="27" spans="1:9" ht="21.75" x14ac:dyDescent="0.25">
      <c r="A27" s="58" t="s">
        <v>23</v>
      </c>
      <c r="B27" s="54">
        <v>100</v>
      </c>
      <c r="C27" s="54" t="s">
        <v>34</v>
      </c>
      <c r="D27" s="59">
        <f>B27*D26</f>
        <v>46539.200000000004</v>
      </c>
      <c r="E27" s="59" t="s">
        <v>26</v>
      </c>
      <c r="F27" s="78">
        <v>8</v>
      </c>
      <c r="G27" s="79">
        <f>F27*D27*1.1</f>
        <v>409544.96000000008</v>
      </c>
      <c r="H27" s="92" t="s">
        <v>1228</v>
      </c>
    </row>
    <row r="28" spans="1:9" ht="21.75" x14ac:dyDescent="0.25">
      <c r="A28" s="58" t="s">
        <v>1235</v>
      </c>
      <c r="B28" s="54"/>
      <c r="C28" s="54"/>
      <c r="D28" s="59">
        <v>343.28</v>
      </c>
      <c r="E28" s="59" t="s">
        <v>4</v>
      </c>
      <c r="F28" s="78">
        <v>260</v>
      </c>
      <c r="G28" s="79">
        <f>F28*D28</f>
        <v>89252.799999999988</v>
      </c>
      <c r="H28" s="92"/>
      <c r="I28" s="84"/>
    </row>
    <row r="29" spans="1:9" ht="21.75" x14ac:dyDescent="0.25">
      <c r="A29" s="58" t="s">
        <v>25</v>
      </c>
      <c r="B29" s="886" t="s">
        <v>202</v>
      </c>
      <c r="C29" s="54"/>
      <c r="D29" s="59">
        <f>D24</f>
        <v>1163.48</v>
      </c>
      <c r="E29" s="59" t="s">
        <v>2</v>
      </c>
      <c r="F29" s="78">
        <v>190</v>
      </c>
      <c r="G29" s="79">
        <f>F29*D29*1.1</f>
        <v>243167.32000000004</v>
      </c>
      <c r="H29" s="92"/>
      <c r="I29" s="948"/>
    </row>
    <row r="30" spans="1:9" ht="21.75" x14ac:dyDescent="0.25">
      <c r="A30" s="1031" t="s">
        <v>17</v>
      </c>
      <c r="B30" s="1031"/>
      <c r="C30" s="1031"/>
      <c r="D30" s="1031"/>
      <c r="E30" s="1031"/>
      <c r="F30" s="1031"/>
      <c r="G30" s="80">
        <f>SUM(G25:G29)</f>
        <v>1644604.5753569845</v>
      </c>
      <c r="H30" s="93"/>
      <c r="I30" s="971"/>
    </row>
    <row r="32" spans="1:9" x14ac:dyDescent="0.25">
      <c r="D32" s="76"/>
      <c r="E32" s="77"/>
    </row>
    <row r="33" spans="1:8" ht="21.75" x14ac:dyDescent="0.25">
      <c r="A33" s="1038" t="s">
        <v>101</v>
      </c>
      <c r="B33" s="1039"/>
      <c r="C33" s="1039"/>
      <c r="D33" s="1039"/>
      <c r="E33" s="1039"/>
      <c r="F33" s="1040"/>
      <c r="G33" s="81">
        <f>G19+G30</f>
        <v>1644604.5753569845</v>
      </c>
      <c r="H33" s="81">
        <f>G33/DADOS_INICIAIS!E11</f>
        <v>111.92796335754267</v>
      </c>
    </row>
    <row r="36" spans="1:8" x14ac:dyDescent="0.25">
      <c r="B36" s="969" t="s">
        <v>1303</v>
      </c>
      <c r="C36" s="969" t="s">
        <v>601</v>
      </c>
      <c r="D36" s="48"/>
    </row>
    <row r="37" spans="1:8" x14ac:dyDescent="0.25">
      <c r="A37" s="949" t="s">
        <v>1311</v>
      </c>
      <c r="B37" s="950">
        <v>659.3</v>
      </c>
      <c r="C37" s="950">
        <f>DADOS_INICIAIS!E23+DADOS_INICIAIS!F23</f>
        <v>3904.14</v>
      </c>
      <c r="D37" s="48"/>
    </row>
    <row r="38" spans="1:8" x14ac:dyDescent="0.25">
      <c r="A38" s="949" t="s">
        <v>1304</v>
      </c>
      <c r="B38" s="950">
        <v>80</v>
      </c>
      <c r="C38" s="950">
        <v>343</v>
      </c>
      <c r="D38" s="48"/>
    </row>
    <row r="39" spans="1:8" x14ac:dyDescent="0.25">
      <c r="A39" s="949" t="s">
        <v>1310</v>
      </c>
      <c r="B39" s="950">
        <v>610.01</v>
      </c>
      <c r="C39" s="950">
        <v>2326.96</v>
      </c>
      <c r="D39" s="48"/>
    </row>
    <row r="40" spans="1:8" x14ac:dyDescent="0.25">
      <c r="A40" s="949" t="s">
        <v>1309</v>
      </c>
      <c r="B40" s="950">
        <f>(B39/2)/B38</f>
        <v>3.8125624999999999</v>
      </c>
      <c r="C40" s="950">
        <f>(C39/2)/C38</f>
        <v>3.3920699708454811</v>
      </c>
      <c r="D40" s="48"/>
    </row>
    <row r="41" spans="1:8" x14ac:dyDescent="0.25">
      <c r="A41" s="949" t="s">
        <v>8</v>
      </c>
      <c r="B41" s="950">
        <v>7374</v>
      </c>
      <c r="C41" s="950">
        <v>12469.72</v>
      </c>
      <c r="D41" s="48"/>
    </row>
    <row r="42" spans="1:8" x14ac:dyDescent="0.25">
      <c r="A42" s="949" t="s">
        <v>1305</v>
      </c>
      <c r="B42" s="950">
        <f>B39/B41</f>
        <v>8.2724437211825333E-2</v>
      </c>
      <c r="C42" s="950">
        <f>C39/C41</f>
        <v>0.18660884125706112</v>
      </c>
      <c r="D42" s="952"/>
      <c r="E42" s="72">
        <f>B40*B38*2</f>
        <v>610.01</v>
      </c>
    </row>
    <row r="43" spans="1:8" x14ac:dyDescent="0.25">
      <c r="A43" s="949" t="s">
        <v>316</v>
      </c>
      <c r="B43" s="951">
        <v>386506.36</v>
      </c>
      <c r="C43" s="950">
        <f>G30</f>
        <v>1644604.5753569845</v>
      </c>
      <c r="D43" s="48"/>
    </row>
    <row r="44" spans="1:8" x14ac:dyDescent="0.25">
      <c r="A44" s="949" t="s">
        <v>1306</v>
      </c>
      <c r="B44" s="950">
        <f>B43/B38</f>
        <v>4831.3294999999998</v>
      </c>
      <c r="C44" s="950">
        <f>C43/C38</f>
        <v>4794.7655258221121</v>
      </c>
      <c r="D44" s="48"/>
    </row>
    <row r="45" spans="1:8" x14ac:dyDescent="0.25">
      <c r="A45" s="949" t="s">
        <v>1307</v>
      </c>
      <c r="B45" s="950">
        <f>B43/B39</f>
        <v>633.60659661317027</v>
      </c>
      <c r="C45" s="950">
        <f>C43/C39</f>
        <v>706.76099948300975</v>
      </c>
      <c r="D45" s="48"/>
    </row>
    <row r="46" spans="1:8" x14ac:dyDescent="0.25">
      <c r="A46" s="949" t="s">
        <v>1308</v>
      </c>
      <c r="B46" s="950">
        <f>B43/B41</f>
        <v>52.414749118524547</v>
      </c>
      <c r="C46" s="950">
        <f>C43/C41</f>
        <v>131.88785115920683</v>
      </c>
      <c r="D46" s="48"/>
    </row>
    <row r="47" spans="1:8" x14ac:dyDescent="0.25">
      <c r="B47" s="950"/>
      <c r="C47" s="950"/>
    </row>
  </sheetData>
  <mergeCells count="11">
    <mergeCell ref="A13:A14"/>
    <mergeCell ref="A3:H3"/>
    <mergeCell ref="B7:C7"/>
    <mergeCell ref="D7:E7"/>
    <mergeCell ref="A9:A10"/>
    <mergeCell ref="A11:A12"/>
    <mergeCell ref="A19:F19"/>
    <mergeCell ref="B23:C23"/>
    <mergeCell ref="D23:E23"/>
    <mergeCell ref="A30:F30"/>
    <mergeCell ref="A33:F33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dimension ref="A1:J43"/>
  <sheetViews>
    <sheetView showGridLines="0" topLeftCell="A7" zoomScale="70" zoomScaleNormal="70" zoomScaleSheetLayoutView="95" workbookViewId="0">
      <selection activeCell="D16" sqref="D16:D17"/>
    </sheetView>
  </sheetViews>
  <sheetFormatPr defaultColWidth="9.140625" defaultRowHeight="15" x14ac:dyDescent="0.25"/>
  <cols>
    <col min="1" max="1" width="52.140625" style="48" customWidth="1"/>
    <col min="2" max="2" width="21.7109375" style="48" customWidth="1"/>
    <col min="3" max="3" width="24" style="48" customWidth="1"/>
    <col min="4" max="4" width="23.7109375" style="71" customWidth="1"/>
    <col min="5" max="5" width="19.5703125" style="72" customWidth="1"/>
    <col min="6" max="6" width="20.85546875" style="84" customWidth="1"/>
    <col min="7" max="7" width="25.140625" style="84" customWidth="1"/>
    <col min="8" max="8" width="20.42578125" style="84" customWidth="1"/>
    <col min="9" max="9" width="11.28515625" style="48" customWidth="1"/>
    <col min="10" max="10" width="19.85546875" style="48" customWidth="1"/>
    <col min="11" max="11" width="11" style="48" bestFit="1" customWidth="1"/>
    <col min="12" max="13" width="9.140625" style="48"/>
    <col min="14" max="15" width="11" style="48" bestFit="1" customWidth="1"/>
    <col min="16" max="16384" width="9.140625" style="48"/>
  </cols>
  <sheetData>
    <row r="1" spans="1:10" x14ac:dyDescent="0.25">
      <c r="D1" s="69"/>
      <c r="E1" s="48"/>
      <c r="H1" s="85"/>
      <c r="I1" s="70"/>
      <c r="J1" s="69"/>
    </row>
    <row r="3" spans="1:10" ht="28.5" x14ac:dyDescent="0.25">
      <c r="A3" s="1032" t="s">
        <v>118</v>
      </c>
      <c r="B3" s="1043"/>
      <c r="C3" s="1043"/>
      <c r="D3" s="1033"/>
      <c r="E3" s="1033"/>
      <c r="F3" s="1033"/>
      <c r="G3" s="1033"/>
      <c r="H3" s="1034"/>
      <c r="J3" s="69"/>
    </row>
    <row r="4" spans="1:10" ht="21.75" x14ac:dyDescent="0.25">
      <c r="A4" s="73"/>
      <c r="B4" s="73"/>
      <c r="C4" s="73"/>
      <c r="D4" s="73"/>
      <c r="E4" s="73"/>
      <c r="F4" s="86"/>
      <c r="G4" s="87"/>
      <c r="H4" s="87"/>
      <c r="J4" s="69"/>
    </row>
    <row r="5" spans="1:10" ht="21.75" x14ac:dyDescent="0.25">
      <c r="A5" s="45" t="s">
        <v>103</v>
      </c>
      <c r="B5" s="45"/>
      <c r="C5" s="45"/>
      <c r="D5" s="46"/>
      <c r="E5" s="46"/>
      <c r="F5" s="88"/>
      <c r="G5" s="88"/>
      <c r="H5" s="88"/>
    </row>
    <row r="6" spans="1:10" ht="21.75" x14ac:dyDescent="0.25">
      <c r="A6" s="49"/>
      <c r="B6" s="49"/>
      <c r="C6" s="49"/>
      <c r="D6" s="50"/>
      <c r="E6" s="50"/>
      <c r="F6" s="89"/>
      <c r="G6" s="90"/>
      <c r="H6" s="90"/>
    </row>
    <row r="7" spans="1:10" ht="42" customHeight="1" x14ac:dyDescent="0.25">
      <c r="A7" s="55" t="s">
        <v>14</v>
      </c>
      <c r="B7" s="1036" t="s">
        <v>5</v>
      </c>
      <c r="C7" s="1037"/>
      <c r="D7" s="1036" t="s">
        <v>18</v>
      </c>
      <c r="E7" s="1037"/>
      <c r="F7" s="91" t="s">
        <v>114</v>
      </c>
      <c r="G7" s="80" t="s">
        <v>16</v>
      </c>
      <c r="H7" s="90"/>
    </row>
    <row r="8" spans="1:10" ht="21.75" x14ac:dyDescent="0.25">
      <c r="A8" s="58" t="s">
        <v>104</v>
      </c>
      <c r="B8" s="54">
        <v>0.15</v>
      </c>
      <c r="C8" s="54" t="s">
        <v>105</v>
      </c>
      <c r="D8" s="59">
        <f>ROUNDUP(B8*(DADOS_INICIAIS!F23+DADOS_INICIAIS!E23),0)</f>
        <v>586</v>
      </c>
      <c r="E8" s="59" t="s">
        <v>3</v>
      </c>
      <c r="F8" s="82"/>
      <c r="G8" s="83"/>
      <c r="H8" s="92"/>
    </row>
    <row r="9" spans="1:10" ht="21.75" x14ac:dyDescent="0.25">
      <c r="A9" s="1041" t="s">
        <v>152</v>
      </c>
      <c r="B9" s="66">
        <v>0.1</v>
      </c>
      <c r="C9" s="54"/>
      <c r="D9" s="59">
        <f>B9*$D$8</f>
        <v>58.6</v>
      </c>
      <c r="E9" s="59" t="s">
        <v>3</v>
      </c>
      <c r="F9" s="82"/>
      <c r="G9" s="83"/>
      <c r="H9" s="92"/>
    </row>
    <row r="10" spans="1:10" ht="21.75" x14ac:dyDescent="0.25">
      <c r="A10" s="1042"/>
      <c r="B10" s="919">
        <v>14</v>
      </c>
      <c r="C10" s="54" t="s">
        <v>153</v>
      </c>
      <c r="D10" s="59">
        <f>B10*D9</f>
        <v>820.4</v>
      </c>
      <c r="E10" s="59" t="s">
        <v>4</v>
      </c>
      <c r="F10" s="78">
        <v>70</v>
      </c>
      <c r="G10" s="79">
        <f>F10*D10*1.1</f>
        <v>63170.8</v>
      </c>
      <c r="H10" s="92" t="s">
        <v>1268</v>
      </c>
    </row>
    <row r="11" spans="1:10" ht="21.75" x14ac:dyDescent="0.25">
      <c r="A11" s="1041" t="s">
        <v>151</v>
      </c>
      <c r="B11" s="66">
        <v>0.7</v>
      </c>
      <c r="C11" s="54"/>
      <c r="D11" s="59">
        <f>B11*$D$8</f>
        <v>410.2</v>
      </c>
      <c r="E11" s="59" t="s">
        <v>3</v>
      </c>
      <c r="F11" s="82"/>
      <c r="G11" s="83"/>
      <c r="H11" s="92"/>
    </row>
    <row r="12" spans="1:10" ht="21.75" x14ac:dyDescent="0.25">
      <c r="A12" s="1042"/>
      <c r="B12" s="919">
        <v>14</v>
      </c>
      <c r="C12" s="54" t="s">
        <v>153</v>
      </c>
      <c r="D12" s="59">
        <f>B12*D11</f>
        <v>5742.8</v>
      </c>
      <c r="E12" s="59" t="s">
        <v>4</v>
      </c>
      <c r="F12" s="78">
        <v>100</v>
      </c>
      <c r="G12" s="79">
        <f>F12*D12*1.1</f>
        <v>631708</v>
      </c>
      <c r="H12" s="92" t="s">
        <v>1268</v>
      </c>
    </row>
    <row r="13" spans="1:10" ht="21.75" x14ac:dyDescent="0.25">
      <c r="A13" s="1041" t="s">
        <v>110</v>
      </c>
      <c r="B13" s="66">
        <v>0.2</v>
      </c>
      <c r="C13" s="54" t="s">
        <v>105</v>
      </c>
      <c r="D13" s="59">
        <f>B13*$D$8</f>
        <v>117.2</v>
      </c>
      <c r="E13" s="59" t="s">
        <v>3</v>
      </c>
      <c r="F13" s="82"/>
      <c r="G13" s="83"/>
      <c r="H13" s="92"/>
    </row>
    <row r="14" spans="1:10" ht="21.75" x14ac:dyDescent="0.25">
      <c r="A14" s="1042"/>
      <c r="B14" s="919">
        <v>14</v>
      </c>
      <c r="C14" s="54" t="s">
        <v>153</v>
      </c>
      <c r="D14" s="59">
        <f>B14*D13</f>
        <v>1640.8</v>
      </c>
      <c r="E14" s="59" t="s">
        <v>4</v>
      </c>
      <c r="F14" s="78">
        <v>120</v>
      </c>
      <c r="G14" s="79">
        <f t="shared" ref="G14:G18" si="0">F14*D14*1.1</f>
        <v>216585.60000000001</v>
      </c>
      <c r="H14" s="92" t="s">
        <v>1268</v>
      </c>
    </row>
    <row r="15" spans="1:10" ht="21.75" x14ac:dyDescent="0.25">
      <c r="A15" s="58" t="s">
        <v>24</v>
      </c>
      <c r="B15" s="54">
        <f>(PI()*0.4^2)/4*D12+(PI()*0.5^2)/4*D14+(PI()*0.6^2)/4*D10</f>
        <v>1275.7944934375078</v>
      </c>
      <c r="C15" s="54" t="s">
        <v>105</v>
      </c>
      <c r="D15" s="59">
        <f>(PI()*0.4^2)/4*D12+(PI()*0.5^2)/4*D14+(PI()*0.6^2)/4*D10</f>
        <v>1275.7944934375078</v>
      </c>
      <c r="E15" s="59" t="s">
        <v>22</v>
      </c>
      <c r="F15" s="976">
        <f>(650+45)*1.3</f>
        <v>903.5</v>
      </c>
      <c r="G15" s="79">
        <f t="shared" si="0"/>
        <v>1267948.3573028673</v>
      </c>
      <c r="H15" s="975" t="s">
        <v>1369</v>
      </c>
    </row>
    <row r="16" spans="1:10" ht="21.75" x14ac:dyDescent="0.25">
      <c r="A16" s="58" t="s">
        <v>112</v>
      </c>
      <c r="B16" s="54">
        <v>1.6575131198547477</v>
      </c>
      <c r="C16" s="54" t="s">
        <v>34</v>
      </c>
      <c r="D16" s="59">
        <f>B16*D15</f>
        <v>2114.6461111111107</v>
      </c>
      <c r="E16" s="59" t="s">
        <v>26</v>
      </c>
      <c r="F16" s="78">
        <v>8</v>
      </c>
      <c r="G16" s="79">
        <f t="shared" si="0"/>
        <v>18608.885777777778</v>
      </c>
      <c r="H16" s="92"/>
    </row>
    <row r="17" spans="1:9" ht="21.75" x14ac:dyDescent="0.25">
      <c r="A17" s="58" t="s">
        <v>120</v>
      </c>
      <c r="B17" s="54">
        <v>10.178337551067401</v>
      </c>
      <c r="C17" s="54" t="s">
        <v>34</v>
      </c>
      <c r="D17" s="59">
        <f>B17*D15</f>
        <v>12985.466999999997</v>
      </c>
      <c r="E17" s="59" t="s">
        <v>26</v>
      </c>
      <c r="F17" s="78">
        <v>8.5</v>
      </c>
      <c r="G17" s="79">
        <f t="shared" si="0"/>
        <v>121414.11644999999</v>
      </c>
      <c r="H17" s="92"/>
    </row>
    <row r="18" spans="1:9" ht="21.75" x14ac:dyDescent="0.25">
      <c r="A18" s="879" t="s">
        <v>1376</v>
      </c>
      <c r="B18" s="54">
        <v>1</v>
      </c>
      <c r="C18" s="54" t="s">
        <v>27</v>
      </c>
      <c r="D18" s="59">
        <v>1</v>
      </c>
      <c r="E18" s="59" t="s">
        <v>27</v>
      </c>
      <c r="F18" s="78">
        <f>15000+(586*300)</f>
        <v>190800</v>
      </c>
      <c r="G18" s="79">
        <f t="shared" si="0"/>
        <v>209880.00000000003</v>
      </c>
      <c r="H18" s="975" t="s">
        <v>1377</v>
      </c>
    </row>
    <row r="19" spans="1:9" ht="21.75" x14ac:dyDescent="0.25">
      <c r="A19" s="1031" t="s">
        <v>17</v>
      </c>
      <c r="B19" s="1031"/>
      <c r="C19" s="1031"/>
      <c r="D19" s="1031"/>
      <c r="E19" s="1031"/>
      <c r="F19" s="1031"/>
      <c r="G19" s="80">
        <f>SUM(G8:G18)</f>
        <v>2529315.7595306453</v>
      </c>
      <c r="H19" s="93"/>
    </row>
    <row r="20" spans="1:9" ht="18" customHeight="1" x14ac:dyDescent="0.25"/>
    <row r="21" spans="1:9" ht="21.75" x14ac:dyDescent="0.25">
      <c r="A21" s="45" t="s">
        <v>1210</v>
      </c>
      <c r="B21" s="45"/>
      <c r="C21" s="45"/>
      <c r="D21" s="46"/>
      <c r="E21" s="46"/>
      <c r="F21" s="88"/>
      <c r="G21" s="88"/>
      <c r="H21" s="88"/>
    </row>
    <row r="22" spans="1:9" ht="21.75" x14ac:dyDescent="0.25">
      <c r="A22" s="49"/>
      <c r="B22" s="49"/>
      <c r="C22" s="49"/>
      <c r="D22" s="50"/>
      <c r="E22" s="50"/>
      <c r="F22" s="89"/>
      <c r="G22" s="90"/>
      <c r="H22" s="90"/>
    </row>
    <row r="23" spans="1:9" ht="21.75" x14ac:dyDescent="0.25">
      <c r="A23" s="55" t="s">
        <v>14</v>
      </c>
      <c r="B23" s="1036" t="s">
        <v>5</v>
      </c>
      <c r="C23" s="1037"/>
      <c r="D23" s="1036" t="s">
        <v>18</v>
      </c>
      <c r="E23" s="1037"/>
      <c r="F23" s="91" t="s">
        <v>114</v>
      </c>
      <c r="G23" s="80" t="s">
        <v>16</v>
      </c>
      <c r="H23" s="90"/>
    </row>
    <row r="24" spans="1:9" ht="47.25" customHeight="1" x14ac:dyDescent="0.25">
      <c r="A24" s="58" t="s">
        <v>1295</v>
      </c>
      <c r="B24" s="54">
        <v>0.76</v>
      </c>
      <c r="C24" s="54" t="s">
        <v>109</v>
      </c>
      <c r="D24" s="59">
        <f>B24*(DADOS_INICIAIS!F23+DADOS_INICIAIS!E23)</f>
        <v>2967.1464000000001</v>
      </c>
      <c r="E24" s="59" t="s">
        <v>2</v>
      </c>
      <c r="F24" s="78">
        <v>72</v>
      </c>
      <c r="G24" s="79">
        <f>F24*D24*1.1</f>
        <v>234997.99488000004</v>
      </c>
      <c r="H24" s="92" t="s">
        <v>1266</v>
      </c>
      <c r="I24" s="92" t="s">
        <v>1238</v>
      </c>
    </row>
    <row r="25" spans="1:9" ht="24" customHeight="1" x14ac:dyDescent="0.25">
      <c r="A25" s="58" t="s">
        <v>23</v>
      </c>
      <c r="B25" s="54">
        <v>90</v>
      </c>
      <c r="C25" s="54" t="s">
        <v>34</v>
      </c>
      <c r="D25" s="59">
        <f>B25*D26</f>
        <v>80815.698000000004</v>
      </c>
      <c r="E25" s="59" t="s">
        <v>26</v>
      </c>
      <c r="F25" s="78">
        <v>8</v>
      </c>
      <c r="G25" s="79">
        <f>F25*D25*1.1</f>
        <v>711178.14240000013</v>
      </c>
      <c r="H25" s="92" t="s">
        <v>1211</v>
      </c>
    </row>
    <row r="26" spans="1:9" ht="24" customHeight="1" x14ac:dyDescent="0.25">
      <c r="A26" s="58" t="s">
        <v>1291</v>
      </c>
      <c r="B26" s="54">
        <v>0.23</v>
      </c>
      <c r="C26" s="54" t="s">
        <v>108</v>
      </c>
      <c r="D26" s="59">
        <f>B26*(DADOS_INICIAIS!F23+DADOS_INICIAIS!E23)</f>
        <v>897.95220000000006</v>
      </c>
      <c r="E26" s="59" t="s">
        <v>22</v>
      </c>
      <c r="F26" s="874">
        <f>(650+45)*1.05</f>
        <v>729.75</v>
      </c>
      <c r="G26" s="79">
        <f>F26*D26*1.1</f>
        <v>720808.67974500021</v>
      </c>
      <c r="H26" s="92" t="s">
        <v>1211</v>
      </c>
    </row>
    <row r="27" spans="1:9" ht="24" customHeight="1" x14ac:dyDescent="0.25">
      <c r="A27" s="879" t="s">
        <v>25</v>
      </c>
      <c r="B27" s="978">
        <f>SUPRAESTRUTURA!B22*1.5</f>
        <v>360</v>
      </c>
      <c r="C27" s="54" t="s">
        <v>99</v>
      </c>
      <c r="D27" s="59">
        <f>(DADOS_INICIAIS!F23+DADOS_INICIAIS!E23)</f>
        <v>3904.14</v>
      </c>
      <c r="E27" s="59" t="s">
        <v>2</v>
      </c>
      <c r="F27" s="78">
        <f>B27</f>
        <v>360</v>
      </c>
      <c r="G27" s="79">
        <f>F27*D27*1.1</f>
        <v>1546039.44</v>
      </c>
      <c r="H27" s="975" t="s">
        <v>1378</v>
      </c>
    </row>
    <row r="28" spans="1:9" ht="21.75" x14ac:dyDescent="0.25">
      <c r="A28" s="1031" t="s">
        <v>17</v>
      </c>
      <c r="B28" s="1031"/>
      <c r="C28" s="1031"/>
      <c r="D28" s="1031"/>
      <c r="E28" s="1031"/>
      <c r="F28" s="1031"/>
      <c r="G28" s="80">
        <f>SUM(G24:G27)</f>
        <v>3213024.2570250002</v>
      </c>
      <c r="H28" s="93"/>
    </row>
    <row r="30" spans="1:9" x14ac:dyDescent="0.25">
      <c r="D30" s="76"/>
      <c r="E30" s="77"/>
    </row>
    <row r="31" spans="1:9" ht="21.75" x14ac:dyDescent="0.25">
      <c r="A31" s="1038" t="s">
        <v>101</v>
      </c>
      <c r="B31" s="1039"/>
      <c r="C31" s="1039"/>
      <c r="D31" s="1039"/>
      <c r="E31" s="1039"/>
      <c r="F31" s="1040"/>
      <c r="G31" s="81">
        <f>G19+G28</f>
        <v>5742340.0165556455</v>
      </c>
      <c r="H31" s="81">
        <f>G31/DADOS_INICIAIS!E11</f>
        <v>390.810309414394</v>
      </c>
    </row>
    <row r="33" spans="2:7" x14ac:dyDescent="0.25">
      <c r="E33" s="871"/>
      <c r="F33" s="872"/>
      <c r="G33" s="872"/>
    </row>
    <row r="34" spans="2:7" hidden="1" x14ac:dyDescent="0.25">
      <c r="C34" s="1044" t="s">
        <v>1212</v>
      </c>
      <c r="D34" s="1044"/>
      <c r="E34" s="873"/>
      <c r="F34" s="1045"/>
      <c r="G34" s="1045"/>
    </row>
    <row r="35" spans="2:7" hidden="1" x14ac:dyDescent="0.25">
      <c r="B35" s="84"/>
      <c r="C35" s="862" t="s">
        <v>1205</v>
      </c>
      <c r="D35" s="866">
        <f>10345.89/4</f>
        <v>2586.4724999999999</v>
      </c>
      <c r="E35" s="871"/>
      <c r="F35" s="862"/>
      <c r="G35" s="866"/>
    </row>
    <row r="36" spans="2:7" hidden="1" x14ac:dyDescent="0.25">
      <c r="B36" s="84"/>
      <c r="C36" s="863" t="s">
        <v>1208</v>
      </c>
      <c r="D36" s="866">
        <v>12387.1</v>
      </c>
      <c r="E36" s="871"/>
      <c r="F36" s="863"/>
      <c r="G36" s="866"/>
    </row>
    <row r="37" spans="2:7" hidden="1" x14ac:dyDescent="0.25">
      <c r="B37" s="84"/>
      <c r="C37" s="862" t="s">
        <v>1207</v>
      </c>
      <c r="D37" s="866">
        <v>204.9</v>
      </c>
      <c r="E37" s="871"/>
      <c r="F37" s="862"/>
      <c r="G37" s="866"/>
    </row>
    <row r="38" spans="2:7" hidden="1" x14ac:dyDescent="0.25">
      <c r="C38" s="864" t="s">
        <v>1206</v>
      </c>
      <c r="D38" s="866">
        <v>213.6</v>
      </c>
      <c r="E38" s="871"/>
      <c r="F38" s="863"/>
      <c r="G38" s="866"/>
    </row>
    <row r="39" spans="2:7" hidden="1" x14ac:dyDescent="0.25">
      <c r="C39" s="864" t="s">
        <v>1209</v>
      </c>
      <c r="D39" s="867">
        <f>D36/D37</f>
        <v>60.454367984382628</v>
      </c>
      <c r="E39" s="871"/>
      <c r="F39" s="863"/>
      <c r="G39" s="867"/>
    </row>
    <row r="40" spans="2:7" hidden="1" x14ac:dyDescent="0.25">
      <c r="D40" s="866"/>
      <c r="E40" s="873"/>
      <c r="F40" s="872"/>
      <c r="G40" s="872"/>
    </row>
    <row r="41" spans="2:7" hidden="1" x14ac:dyDescent="0.25">
      <c r="D41" s="866"/>
      <c r="E41" s="865"/>
    </row>
    <row r="42" spans="2:7" x14ac:dyDescent="0.25">
      <c r="D42" s="866"/>
      <c r="E42" s="865"/>
    </row>
    <row r="43" spans="2:7" x14ac:dyDescent="0.25">
      <c r="E43" s="865"/>
    </row>
  </sheetData>
  <mergeCells count="13">
    <mergeCell ref="C34:D34"/>
    <mergeCell ref="F34:G34"/>
    <mergeCell ref="B23:C23"/>
    <mergeCell ref="D23:E23"/>
    <mergeCell ref="A28:F28"/>
    <mergeCell ref="A31:F31"/>
    <mergeCell ref="A3:H3"/>
    <mergeCell ref="A19:F19"/>
    <mergeCell ref="D7:E7"/>
    <mergeCell ref="B7:C7"/>
    <mergeCell ref="A9:A10"/>
    <mergeCell ref="A11:A12"/>
    <mergeCell ref="A13:A14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C6ECC-E58E-429D-83BE-C07977C5DA4B}">
  <sheetPr>
    <tabColor rgb="FF0070C0"/>
  </sheetPr>
  <dimension ref="A1:K25"/>
  <sheetViews>
    <sheetView showGridLines="0" topLeftCell="A8" zoomScale="80" zoomScaleNormal="80" zoomScaleSheetLayoutView="95" workbookViewId="0">
      <selection activeCell="G16" sqref="G16"/>
    </sheetView>
  </sheetViews>
  <sheetFormatPr defaultColWidth="9.140625" defaultRowHeight="15" x14ac:dyDescent="0.25"/>
  <cols>
    <col min="1" max="1" width="50.140625" style="48" customWidth="1"/>
    <col min="2" max="3" width="21.7109375" style="48" customWidth="1"/>
    <col min="4" max="4" width="21.7109375" style="71" customWidth="1"/>
    <col min="5" max="5" width="19.5703125" style="72" customWidth="1"/>
    <col min="6" max="6" width="20.85546875" style="48" customWidth="1"/>
    <col min="7" max="7" width="23.5703125" style="48" customWidth="1"/>
    <col min="8" max="8" width="15.140625" style="48" customWidth="1"/>
    <col min="9" max="9" width="11.28515625" style="48" customWidth="1"/>
    <col min="10" max="10" width="10.7109375" style="48" bestFit="1" customWidth="1"/>
    <col min="11" max="11" width="19.7109375" style="48" customWidth="1"/>
    <col min="12" max="13" width="9.140625" style="48"/>
    <col min="14" max="15" width="11" style="48" bestFit="1" customWidth="1"/>
    <col min="16" max="16384" width="9.140625" style="48"/>
  </cols>
  <sheetData>
    <row r="1" spans="1:11" x14ac:dyDescent="0.25">
      <c r="D1" s="69"/>
      <c r="E1" s="48"/>
      <c r="H1" s="70"/>
      <c r="I1" s="70"/>
      <c r="J1" s="69"/>
    </row>
    <row r="3" spans="1:11" ht="28.5" x14ac:dyDescent="0.25">
      <c r="A3" s="1032" t="s">
        <v>28</v>
      </c>
      <c r="B3" s="1043"/>
      <c r="C3" s="1043"/>
      <c r="D3" s="1033"/>
      <c r="E3" s="1033"/>
      <c r="F3" s="1033"/>
      <c r="G3" s="1033"/>
      <c r="H3" s="1034"/>
      <c r="J3" s="69"/>
    </row>
    <row r="4" spans="1:11" ht="21.75" x14ac:dyDescent="0.25">
      <c r="A4" s="73"/>
      <c r="B4" s="73"/>
      <c r="C4" s="73"/>
      <c r="D4" s="73"/>
      <c r="E4" s="73"/>
      <c r="F4" s="74"/>
      <c r="G4" s="75"/>
      <c r="H4" s="75"/>
      <c r="J4" s="69"/>
    </row>
    <row r="5" spans="1:11" ht="21.75" x14ac:dyDescent="0.25">
      <c r="A5" s="45" t="s">
        <v>28</v>
      </c>
      <c r="B5" s="45"/>
      <c r="C5" s="45"/>
      <c r="D5" s="46"/>
      <c r="E5" s="46"/>
      <c r="F5" s="47"/>
      <c r="G5" s="46"/>
      <c r="H5" s="46"/>
    </row>
    <row r="6" spans="1:11" s="885" customFormat="1" ht="25.15" customHeight="1" x14ac:dyDescent="0.6">
      <c r="A6" s="881" t="s">
        <v>1227</v>
      </c>
      <c r="B6" s="882"/>
      <c r="C6" s="882"/>
      <c r="D6" s="883"/>
      <c r="E6" s="883"/>
      <c r="F6" s="884"/>
      <c r="G6" s="34"/>
      <c r="H6" s="34"/>
    </row>
    <row r="7" spans="1:11" ht="42" customHeight="1" x14ac:dyDescent="0.25">
      <c r="A7" s="55" t="s">
        <v>14</v>
      </c>
      <c r="B7" s="1036" t="s">
        <v>5</v>
      </c>
      <c r="C7" s="1037"/>
      <c r="D7" s="1036" t="s">
        <v>18</v>
      </c>
      <c r="E7" s="1037"/>
      <c r="F7" s="57" t="s">
        <v>114</v>
      </c>
      <c r="G7" s="62" t="s">
        <v>16</v>
      </c>
      <c r="H7" s="52"/>
      <c r="K7" s="48">
        <v>15974921.506893694</v>
      </c>
    </row>
    <row r="8" spans="1:11" ht="28.15" customHeight="1" x14ac:dyDescent="0.25">
      <c r="A8" s="879" t="s">
        <v>1371</v>
      </c>
      <c r="B8" s="880">
        <f>SUPRAESTRUTURA!B4*1.5</f>
        <v>0</v>
      </c>
      <c r="C8" s="880" t="s">
        <v>99</v>
      </c>
      <c r="D8" s="999">
        <f>DADOS_INICIAIS!$F$23+DADOS_INICIAIS!$E$23</f>
        <v>3904.14</v>
      </c>
      <c r="E8" s="999" t="s">
        <v>2</v>
      </c>
      <c r="F8" s="974">
        <v>228.24</v>
      </c>
      <c r="G8" s="979">
        <f>F8*D8*1.1</f>
        <v>980189.00496000005</v>
      </c>
      <c r="H8" s="52"/>
      <c r="K8" s="948">
        <f>G25-K7</f>
        <v>980468.45042943209</v>
      </c>
    </row>
    <row r="9" spans="1:11" ht="21.75" x14ac:dyDescent="0.25">
      <c r="A9" s="58" t="s">
        <v>29</v>
      </c>
      <c r="B9" s="869">
        <v>4</v>
      </c>
      <c r="C9" s="54" t="s">
        <v>111</v>
      </c>
      <c r="D9" s="59">
        <f>D11/B9</f>
        <v>7714.0455000000002</v>
      </c>
      <c r="E9" s="59" t="s">
        <v>2</v>
      </c>
      <c r="F9" s="78">
        <v>115</v>
      </c>
      <c r="G9" s="79">
        <f>F9*D9*1.1</f>
        <v>975826.75575000013</v>
      </c>
      <c r="H9" s="1046" t="s">
        <v>1383</v>
      </c>
    </row>
    <row r="10" spans="1:11" ht="21.75" x14ac:dyDescent="0.25">
      <c r="A10" s="58" t="s">
        <v>1222</v>
      </c>
      <c r="B10" s="54">
        <v>2.1</v>
      </c>
      <c r="C10" s="54" t="s">
        <v>1225</v>
      </c>
      <c r="D10" s="59">
        <f>(499.15+1024.44)*B10</f>
        <v>3199.5390000000002</v>
      </c>
      <c r="E10" s="59" t="s">
        <v>2</v>
      </c>
      <c r="F10" s="78">
        <v>115</v>
      </c>
      <c r="G10" s="79">
        <f>F10*D10*1.1</f>
        <v>404741.6835000001</v>
      </c>
      <c r="H10" s="1046"/>
    </row>
    <row r="11" spans="1:11" ht="21.75" x14ac:dyDescent="0.25">
      <c r="A11" s="68" t="s">
        <v>30</v>
      </c>
      <c r="B11" s="54">
        <v>2.1</v>
      </c>
      <c r="C11" s="54" t="s">
        <v>35</v>
      </c>
      <c r="D11" s="59">
        <f>B11*DADOS_INICIAIS!E11</f>
        <v>30856.182000000001</v>
      </c>
      <c r="E11" s="59" t="s">
        <v>2</v>
      </c>
      <c r="F11" s="78">
        <v>4.75</v>
      </c>
      <c r="G11" s="79">
        <f>F11*D11*1.1</f>
        <v>161223.55095</v>
      </c>
      <c r="H11" s="1046"/>
      <c r="J11" s="887">
        <f>D11/4</f>
        <v>7714.0455000000002</v>
      </c>
    </row>
    <row r="12" spans="1:11" ht="21.75" x14ac:dyDescent="0.25">
      <c r="A12" s="68" t="s">
        <v>1223</v>
      </c>
      <c r="B12" s="54"/>
      <c r="C12" s="54"/>
      <c r="D12" s="59">
        <f>D10</f>
        <v>3199.5390000000002</v>
      </c>
      <c r="E12" s="59" t="s">
        <v>2</v>
      </c>
      <c r="F12" s="78">
        <v>4.75</v>
      </c>
      <c r="G12" s="79">
        <f t="shared" ref="G12:G14" si="0">F12*D12*1.1</f>
        <v>16717.591275000002</v>
      </c>
      <c r="H12" s="1046"/>
    </row>
    <row r="13" spans="1:11" ht="21.75" x14ac:dyDescent="0.25">
      <c r="A13" s="68" t="s">
        <v>32</v>
      </c>
      <c r="B13" s="54">
        <v>3</v>
      </c>
      <c r="C13" s="54" t="s">
        <v>154</v>
      </c>
      <c r="D13" s="59">
        <f>B13*(DADOS_INICIAIS!E17*DADOS_INICIAIS!E13+DADOS_INICIAIS!F17*DADOS_INICIAIS!F13+816.228)</f>
        <v>26479.043999999994</v>
      </c>
      <c r="E13" s="59" t="s">
        <v>3</v>
      </c>
      <c r="F13" s="78">
        <v>19</v>
      </c>
      <c r="G13" s="79">
        <f t="shared" si="0"/>
        <v>553412.01959999988</v>
      </c>
      <c r="H13" s="1046"/>
    </row>
    <row r="14" spans="1:11" ht="21.75" x14ac:dyDescent="0.25">
      <c r="A14" s="68" t="s">
        <v>33</v>
      </c>
      <c r="B14" s="54">
        <v>3</v>
      </c>
      <c r="C14" s="54" t="s">
        <v>155</v>
      </c>
      <c r="D14" s="59">
        <f>DADOS_INICIAIS!F21*B14</f>
        <v>6072.93</v>
      </c>
      <c r="E14" s="59" t="s">
        <v>3</v>
      </c>
      <c r="F14" s="78">
        <v>19</v>
      </c>
      <c r="G14" s="79">
        <f t="shared" si="0"/>
        <v>126924.23700000002</v>
      </c>
      <c r="H14" s="1046"/>
    </row>
    <row r="15" spans="1:11" ht="21.75" x14ac:dyDescent="0.25">
      <c r="A15" s="68" t="s">
        <v>1372</v>
      </c>
      <c r="B15" s="54">
        <v>5</v>
      </c>
      <c r="C15" s="54" t="s">
        <v>1221</v>
      </c>
      <c r="D15" s="59">
        <f>B15*(499.15+1024.44)</f>
        <v>7617.9500000000007</v>
      </c>
      <c r="E15" s="59" t="s">
        <v>3</v>
      </c>
      <c r="F15" s="78">
        <v>19</v>
      </c>
      <c r="G15" s="79">
        <f>F15*D15*1.1</f>
        <v>159215.15500000003</v>
      </c>
      <c r="H15" s="1046"/>
    </row>
    <row r="16" spans="1:11" ht="21.75" x14ac:dyDescent="0.25">
      <c r="A16" s="68" t="s">
        <v>1220</v>
      </c>
      <c r="B16" s="54">
        <v>16.78</v>
      </c>
      <c r="C16" s="54" t="s">
        <v>34</v>
      </c>
      <c r="D16" s="59">
        <f>B16*D17</f>
        <v>61638.896900000007</v>
      </c>
      <c r="E16" s="59" t="s">
        <v>26</v>
      </c>
      <c r="F16" s="78">
        <v>35</v>
      </c>
      <c r="G16" s="79">
        <f>F16*D16*1.1</f>
        <v>2373097.5306500006</v>
      </c>
      <c r="H16" s="1046"/>
      <c r="J16" s="980">
        <f>70506.16/2618.24</f>
        <v>26.928837692495726</v>
      </c>
      <c r="K16" s="48" t="s">
        <v>1373</v>
      </c>
    </row>
    <row r="17" spans="1:8" ht="21.75" x14ac:dyDescent="0.25">
      <c r="A17" s="58" t="s">
        <v>1291</v>
      </c>
      <c r="B17" s="54">
        <v>0.25</v>
      </c>
      <c r="C17" s="54" t="s">
        <v>36</v>
      </c>
      <c r="D17" s="59">
        <f>B17*DADOS_INICIAIS!E11</f>
        <v>3673.355</v>
      </c>
      <c r="E17" s="59" t="s">
        <v>22</v>
      </c>
      <c r="F17" s="78">
        <f>(650+45)*1.05</f>
        <v>729.75</v>
      </c>
      <c r="G17" s="79">
        <f>F17*D17*1.1</f>
        <v>2948693.8923749998</v>
      </c>
      <c r="H17" s="1046"/>
    </row>
    <row r="18" spans="1:8" ht="21.75" x14ac:dyDescent="0.25">
      <c r="A18" s="58" t="s">
        <v>1292</v>
      </c>
      <c r="B18" s="54"/>
      <c r="C18" s="54"/>
      <c r="D18" s="59">
        <f>499.15*0.14+1024.44*0.2</f>
        <v>274.76900000000001</v>
      </c>
      <c r="E18" s="59" t="s">
        <v>22</v>
      </c>
      <c r="F18" s="78">
        <f>(650*1.25+45)*1.05</f>
        <v>900.375</v>
      </c>
      <c r="G18" s="79">
        <f>F18*D18*1.05*1.1</f>
        <v>285741.38482312503</v>
      </c>
      <c r="H18" s="1046"/>
    </row>
    <row r="19" spans="1:8" ht="21.75" x14ac:dyDescent="0.25">
      <c r="A19" s="58" t="s">
        <v>31</v>
      </c>
      <c r="B19" s="54">
        <v>112</v>
      </c>
      <c r="C19" s="54" t="s">
        <v>34</v>
      </c>
      <c r="D19" s="59">
        <f>D17*$B$19</f>
        <v>411415.76</v>
      </c>
      <c r="E19" s="59" t="s">
        <v>26</v>
      </c>
      <c r="F19" s="78">
        <v>8</v>
      </c>
      <c r="G19" s="79">
        <f>F19*D19*1.1</f>
        <v>3620458.6880000005</v>
      </c>
      <c r="H19" s="1046"/>
    </row>
    <row r="20" spans="1:8" ht="43.5" x14ac:dyDescent="0.25">
      <c r="A20" s="58" t="s">
        <v>1224</v>
      </c>
      <c r="B20" s="54">
        <v>112</v>
      </c>
      <c r="C20" s="54" t="s">
        <v>34</v>
      </c>
      <c r="D20" s="59">
        <f>D18*$B$20</f>
        <v>30774.128000000001</v>
      </c>
      <c r="E20" s="59" t="s">
        <v>26</v>
      </c>
      <c r="F20" s="78">
        <v>8</v>
      </c>
      <c r="G20" s="79">
        <f>F20*D20*1.1</f>
        <v>270812.32640000002</v>
      </c>
      <c r="H20" s="1046"/>
    </row>
    <row r="21" spans="1:8" ht="21.75" x14ac:dyDescent="0.25">
      <c r="A21" s="58" t="s">
        <v>1219</v>
      </c>
      <c r="B21" s="54"/>
      <c r="C21" s="54"/>
      <c r="D21" s="59">
        <f>(499.15+1024.44)</f>
        <v>1523.5900000000001</v>
      </c>
      <c r="E21" s="59" t="s">
        <v>2</v>
      </c>
      <c r="F21" s="78">
        <v>318</v>
      </c>
      <c r="G21" s="79">
        <f>F21*D21*1.1</f>
        <v>532951.78200000012</v>
      </c>
      <c r="H21" s="1046"/>
    </row>
    <row r="22" spans="1:8" ht="22.5" customHeight="1" x14ac:dyDescent="0.25">
      <c r="A22" s="58" t="s">
        <v>98</v>
      </c>
      <c r="B22" s="54">
        <v>240</v>
      </c>
      <c r="C22" s="54" t="s">
        <v>6</v>
      </c>
      <c r="D22" s="59">
        <f>DADOS_INICIAIS!E11</f>
        <v>14693.42</v>
      </c>
      <c r="E22" s="59" t="s">
        <v>2</v>
      </c>
      <c r="F22" s="976">
        <v>280</v>
      </c>
      <c r="G22" s="79">
        <f>F22*D22*1.1</f>
        <v>4525573.3600000003</v>
      </c>
      <c r="H22" s="1046"/>
    </row>
    <row r="23" spans="1:8" ht="21.75" x14ac:dyDescent="0.25">
      <c r="A23" s="1031" t="s">
        <v>17</v>
      </c>
      <c r="B23" s="1031"/>
      <c r="C23" s="1031"/>
      <c r="D23" s="1031"/>
      <c r="E23" s="1031"/>
      <c r="F23" s="1031"/>
      <c r="G23" s="80">
        <f>SUM(G9:G22)</f>
        <v>16955389.957323126</v>
      </c>
      <c r="H23" s="53"/>
    </row>
    <row r="25" spans="1:8" ht="21.75" x14ac:dyDescent="0.25">
      <c r="A25" s="1038" t="s">
        <v>102</v>
      </c>
      <c r="B25" s="1039"/>
      <c r="C25" s="1039"/>
      <c r="D25" s="1039"/>
      <c r="E25" s="1039"/>
      <c r="F25" s="1040"/>
      <c r="G25" s="81">
        <f>G23</f>
        <v>16955389.957323126</v>
      </c>
      <c r="H25" s="81">
        <f>G25/DADOS_INICIAIS!E11</f>
        <v>1153.9444157536589</v>
      </c>
    </row>
  </sheetData>
  <mergeCells count="6">
    <mergeCell ref="A23:F23"/>
    <mergeCell ref="A25:F25"/>
    <mergeCell ref="A3:H3"/>
    <mergeCell ref="B7:C7"/>
    <mergeCell ref="D7:E7"/>
    <mergeCell ref="H9:H22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7D832-071F-4733-83A1-E6B1CF2C7E84}">
  <sheetPr>
    <tabColor rgb="FF0070C0"/>
  </sheetPr>
  <dimension ref="A1:K24"/>
  <sheetViews>
    <sheetView showGridLines="0" topLeftCell="A5" zoomScale="80" zoomScaleNormal="80" zoomScaleSheetLayoutView="95" workbookViewId="0">
      <selection activeCell="G22" sqref="G22"/>
    </sheetView>
  </sheetViews>
  <sheetFormatPr defaultColWidth="9.140625" defaultRowHeight="15" x14ac:dyDescent="0.25"/>
  <cols>
    <col min="1" max="1" width="50.140625" style="48" customWidth="1"/>
    <col min="2" max="3" width="21.7109375" style="48" customWidth="1"/>
    <col min="4" max="4" width="21.7109375" style="71" customWidth="1"/>
    <col min="5" max="5" width="19.5703125" style="72" customWidth="1"/>
    <col min="6" max="6" width="20.85546875" style="48" customWidth="1"/>
    <col min="7" max="7" width="23.5703125" style="48" customWidth="1"/>
    <col min="8" max="8" width="15.140625" style="48" customWidth="1"/>
    <col min="9" max="9" width="11.28515625" style="48" customWidth="1"/>
    <col min="10" max="10" width="10.7109375" style="48" bestFit="1" customWidth="1"/>
    <col min="11" max="11" width="11" style="48" bestFit="1" customWidth="1"/>
    <col min="12" max="13" width="9.140625" style="48"/>
    <col min="14" max="15" width="11" style="48" bestFit="1" customWidth="1"/>
    <col min="16" max="16384" width="9.140625" style="48"/>
  </cols>
  <sheetData>
    <row r="1" spans="1:11" x14ac:dyDescent="0.25">
      <c r="D1" s="69"/>
      <c r="E1" s="48"/>
      <c r="H1" s="70"/>
      <c r="I1" s="70"/>
      <c r="J1" s="69"/>
    </row>
    <row r="3" spans="1:11" ht="28.5" x14ac:dyDescent="0.25">
      <c r="A3" s="1032" t="s">
        <v>28</v>
      </c>
      <c r="B3" s="1043"/>
      <c r="C3" s="1043"/>
      <c r="D3" s="1033"/>
      <c r="E3" s="1033"/>
      <c r="F3" s="1033"/>
      <c r="G3" s="1033"/>
      <c r="H3" s="1034"/>
      <c r="J3" s="69"/>
    </row>
    <row r="4" spans="1:11" ht="21.75" x14ac:dyDescent="0.25">
      <c r="A4" s="73"/>
      <c r="B4" s="73"/>
      <c r="C4" s="73"/>
      <c r="D4" s="73"/>
      <c r="E4" s="73"/>
      <c r="F4" s="74"/>
      <c r="G4" s="75"/>
      <c r="H4" s="75"/>
      <c r="J4" s="69"/>
    </row>
    <row r="5" spans="1:11" ht="21.75" x14ac:dyDescent="0.25">
      <c r="A5" s="45" t="s">
        <v>28</v>
      </c>
      <c r="B5" s="45"/>
      <c r="C5" s="45"/>
      <c r="D5" s="46"/>
      <c r="E5" s="46"/>
      <c r="F5" s="47"/>
      <c r="G5" s="46"/>
      <c r="H5" s="46"/>
    </row>
    <row r="6" spans="1:11" s="885" customFormat="1" ht="25.15" customHeight="1" x14ac:dyDescent="0.6">
      <c r="A6" s="881" t="s">
        <v>1227</v>
      </c>
      <c r="B6" s="882"/>
      <c r="C6" s="882"/>
      <c r="D6" s="883"/>
      <c r="E6" s="883" t="s">
        <v>1382</v>
      </c>
      <c r="F6" s="884"/>
      <c r="G6" s="34"/>
      <c r="H6" s="34"/>
    </row>
    <row r="7" spans="1:11" ht="42" customHeight="1" x14ac:dyDescent="0.25">
      <c r="A7" s="55" t="s">
        <v>14</v>
      </c>
      <c r="B7" s="1036" t="s">
        <v>5</v>
      </c>
      <c r="C7" s="1037"/>
      <c r="D7" s="1036" t="s">
        <v>18</v>
      </c>
      <c r="E7" s="1037"/>
      <c r="F7" s="57" t="s">
        <v>114</v>
      </c>
      <c r="G7" s="62" t="s">
        <v>16</v>
      </c>
      <c r="H7" s="52"/>
      <c r="K7" s="48">
        <v>16068421.506893694</v>
      </c>
    </row>
    <row r="8" spans="1:11" ht="21.75" x14ac:dyDescent="0.25">
      <c r="A8" s="58" t="s">
        <v>29</v>
      </c>
      <c r="B8" s="869">
        <v>4</v>
      </c>
      <c r="C8" s="54" t="s">
        <v>111</v>
      </c>
      <c r="D8" s="59">
        <f>D10/B8</f>
        <v>7714.0455000000002</v>
      </c>
      <c r="E8" s="59" t="s">
        <v>2</v>
      </c>
      <c r="F8" s="78">
        <v>85</v>
      </c>
      <c r="G8" s="79">
        <f>F8*D8*1.1</f>
        <v>721263.25425000011</v>
      </c>
      <c r="H8" s="50"/>
    </row>
    <row r="9" spans="1:11" ht="21.75" x14ac:dyDescent="0.25">
      <c r="A9" s="58" t="s">
        <v>1222</v>
      </c>
      <c r="B9" s="54">
        <v>2.1</v>
      </c>
      <c r="C9" s="54" t="s">
        <v>1225</v>
      </c>
      <c r="D9" s="59">
        <f>(499.15+1024.44)*B9</f>
        <v>3199.5390000000002</v>
      </c>
      <c r="E9" s="59" t="s">
        <v>2</v>
      </c>
      <c r="F9" s="78">
        <v>85</v>
      </c>
      <c r="G9" s="79">
        <f>F9*D9*1.1</f>
        <v>299156.89650000003</v>
      </c>
      <c r="H9" s="50"/>
    </row>
    <row r="10" spans="1:11" ht="21.75" x14ac:dyDescent="0.25">
      <c r="A10" s="68" t="s">
        <v>30</v>
      </c>
      <c r="B10" s="54">
        <v>2.1</v>
      </c>
      <c r="C10" s="54" t="s">
        <v>35</v>
      </c>
      <c r="D10" s="59">
        <f>B10*DADOS_INICIAIS!E11</f>
        <v>30856.182000000001</v>
      </c>
      <c r="E10" s="59" t="s">
        <v>2</v>
      </c>
      <c r="F10" s="78">
        <v>4.75</v>
      </c>
      <c r="G10" s="79">
        <f>F10*D10*1.1</f>
        <v>161223.55095</v>
      </c>
      <c r="H10" s="50" t="s">
        <v>1204</v>
      </c>
      <c r="J10" s="887">
        <f>D10/4</f>
        <v>7714.0455000000002</v>
      </c>
    </row>
    <row r="11" spans="1:11" ht="21.75" x14ac:dyDescent="0.25">
      <c r="A11" s="68" t="s">
        <v>1223</v>
      </c>
      <c r="B11" s="54"/>
      <c r="C11" s="54"/>
      <c r="D11" s="59">
        <f>D9</f>
        <v>3199.5390000000002</v>
      </c>
      <c r="E11" s="59" t="s">
        <v>2</v>
      </c>
      <c r="F11" s="78">
        <v>4.75</v>
      </c>
      <c r="G11" s="79">
        <f t="shared" ref="G11:G13" si="0">F11*D11*1.1</f>
        <v>16717.591275000002</v>
      </c>
      <c r="H11" s="50"/>
    </row>
    <row r="12" spans="1:11" ht="21.75" x14ac:dyDescent="0.25">
      <c r="A12" s="68" t="s">
        <v>32</v>
      </c>
      <c r="B12" s="54">
        <v>3</v>
      </c>
      <c r="C12" s="54" t="s">
        <v>154</v>
      </c>
      <c r="D12" s="59">
        <f>B12*(DADOS_INICIAIS!E17*DADOS_INICIAIS!E13+DADOS_INICIAIS!F17*DADOS_INICIAIS!F13+816.228)</f>
        <v>26479.043999999994</v>
      </c>
      <c r="E12" s="59" t="s">
        <v>3</v>
      </c>
      <c r="F12" s="78">
        <v>17</v>
      </c>
      <c r="G12" s="79">
        <f t="shared" si="0"/>
        <v>495158.12279999995</v>
      </c>
      <c r="H12" s="50"/>
    </row>
    <row r="13" spans="1:11" ht="21.75" x14ac:dyDescent="0.25">
      <c r="A13" s="68" t="s">
        <v>33</v>
      </c>
      <c r="B13" s="54">
        <v>3</v>
      </c>
      <c r="C13" s="54" t="s">
        <v>155</v>
      </c>
      <c r="D13" s="59">
        <f>DADOS_INICIAIS!F21*B13</f>
        <v>6072.93</v>
      </c>
      <c r="E13" s="59" t="s">
        <v>3</v>
      </c>
      <c r="F13" s="78">
        <v>17</v>
      </c>
      <c r="G13" s="79">
        <f t="shared" si="0"/>
        <v>113563.79100000001</v>
      </c>
      <c r="H13" s="50"/>
    </row>
    <row r="14" spans="1:11" ht="21.75" x14ac:dyDescent="0.25">
      <c r="A14" s="68" t="s">
        <v>1372</v>
      </c>
      <c r="B14" s="54">
        <v>5</v>
      </c>
      <c r="C14" s="54" t="s">
        <v>1221</v>
      </c>
      <c r="D14" s="59">
        <f>B14*(499.15+1024.44)</f>
        <v>7617.9500000000007</v>
      </c>
      <c r="E14" s="59" t="s">
        <v>3</v>
      </c>
      <c r="F14" s="78">
        <v>17</v>
      </c>
      <c r="G14" s="79">
        <f>F14*D14*1.1</f>
        <v>142455.66500000001</v>
      </c>
      <c r="H14" s="50"/>
    </row>
    <row r="15" spans="1:11" ht="21.75" x14ac:dyDescent="0.25">
      <c r="A15" s="68" t="s">
        <v>1220</v>
      </c>
      <c r="B15" s="54">
        <v>16.78</v>
      </c>
      <c r="C15" s="54" t="s">
        <v>34</v>
      </c>
      <c r="D15" s="59">
        <f>B15*D16</f>
        <v>61638.896900000007</v>
      </c>
      <c r="E15" s="59" t="s">
        <v>26</v>
      </c>
      <c r="F15" s="78">
        <f>(11.95+11.4)*1.1*1.1</f>
        <v>28.253500000000006</v>
      </c>
      <c r="G15" s="79">
        <f>F15*D15*1.1</f>
        <v>1915666.0309205658</v>
      </c>
      <c r="H15" s="50"/>
      <c r="J15" s="980">
        <f>70506.16/2618.24</f>
        <v>26.928837692495726</v>
      </c>
      <c r="K15" s="48" t="s">
        <v>1373</v>
      </c>
    </row>
    <row r="16" spans="1:11" ht="21.75" x14ac:dyDescent="0.25">
      <c r="A16" s="58" t="s">
        <v>1291</v>
      </c>
      <c r="B16" s="54">
        <v>0.25</v>
      </c>
      <c r="C16" s="54" t="s">
        <v>36</v>
      </c>
      <c r="D16" s="59">
        <f>B16*DADOS_INICIAIS!E11</f>
        <v>3673.355</v>
      </c>
      <c r="E16" s="59" t="s">
        <v>22</v>
      </c>
      <c r="F16" s="78">
        <f>(650+45)*1.05</f>
        <v>729.75</v>
      </c>
      <c r="G16" s="79">
        <f>F16*D16*1.1</f>
        <v>2948693.8923749998</v>
      </c>
      <c r="H16" s="50"/>
    </row>
    <row r="17" spans="1:8" ht="21.75" x14ac:dyDescent="0.25">
      <c r="A17" s="58" t="s">
        <v>1292</v>
      </c>
      <c r="B17" s="54"/>
      <c r="C17" s="54"/>
      <c r="D17" s="59">
        <f>499.15*0.14+1024.44*0.2</f>
        <v>274.76900000000001</v>
      </c>
      <c r="E17" s="59" t="s">
        <v>22</v>
      </c>
      <c r="F17" s="78">
        <f>(650*1.25+45)*1.05</f>
        <v>900.375</v>
      </c>
      <c r="G17" s="79">
        <f>F17*D17*1.05*1.1</f>
        <v>285741.38482312503</v>
      </c>
      <c r="H17" s="50"/>
    </row>
    <row r="18" spans="1:8" ht="21.75" x14ac:dyDescent="0.25">
      <c r="A18" s="58" t="s">
        <v>31</v>
      </c>
      <c r="B18" s="54">
        <v>110</v>
      </c>
      <c r="C18" s="54" t="s">
        <v>34</v>
      </c>
      <c r="D18" s="59">
        <f>D16*$B$18</f>
        <v>404069.05</v>
      </c>
      <c r="E18" s="59" t="s">
        <v>26</v>
      </c>
      <c r="F18" s="78">
        <v>8</v>
      </c>
      <c r="G18" s="79">
        <f>F18*D18*1.1</f>
        <v>3555807.64</v>
      </c>
      <c r="H18" s="50"/>
    </row>
    <row r="19" spans="1:8" ht="43.5" x14ac:dyDescent="0.25">
      <c r="A19" s="58" t="s">
        <v>1224</v>
      </c>
      <c r="B19" s="54">
        <v>110</v>
      </c>
      <c r="C19" s="54" t="s">
        <v>34</v>
      </c>
      <c r="D19" s="59">
        <f>D17*$B$19</f>
        <v>30224.59</v>
      </c>
      <c r="E19" s="59" t="s">
        <v>26</v>
      </c>
      <c r="F19" s="78">
        <v>8</v>
      </c>
      <c r="G19" s="79">
        <f>F19*D19*1.1</f>
        <v>265976.39200000005</v>
      </c>
      <c r="H19" s="50"/>
    </row>
    <row r="20" spans="1:8" ht="21.75" x14ac:dyDescent="0.25">
      <c r="A20" s="58" t="s">
        <v>1219</v>
      </c>
      <c r="B20" s="54"/>
      <c r="C20" s="54"/>
      <c r="D20" s="59">
        <f>(499.15+1024.44)</f>
        <v>1523.5900000000001</v>
      </c>
      <c r="E20" s="59" t="s">
        <v>2</v>
      </c>
      <c r="F20" s="78">
        <f>250*1.26</f>
        <v>315</v>
      </c>
      <c r="G20" s="79">
        <f>F20*D20*1.1</f>
        <v>527923.93500000006</v>
      </c>
      <c r="H20" s="50"/>
    </row>
    <row r="21" spans="1:8" ht="22.5" customHeight="1" x14ac:dyDescent="0.25">
      <c r="A21" s="58" t="s">
        <v>98</v>
      </c>
      <c r="B21" s="54">
        <v>240</v>
      </c>
      <c r="C21" s="54" t="s">
        <v>6</v>
      </c>
      <c r="D21" s="59">
        <f>DADOS_INICIAIS!E11</f>
        <v>14693.42</v>
      </c>
      <c r="E21" s="59" t="s">
        <v>2</v>
      </c>
      <c r="F21" s="976">
        <v>280</v>
      </c>
      <c r="G21" s="79">
        <f>F21*D21*1.1</f>
        <v>4525573.3600000003</v>
      </c>
      <c r="H21" s="775" t="s">
        <v>1370</v>
      </c>
    </row>
    <row r="22" spans="1:8" ht="21.75" x14ac:dyDescent="0.25">
      <c r="A22" s="1031" t="s">
        <v>17</v>
      </c>
      <c r="B22" s="1031"/>
      <c r="C22" s="1031"/>
      <c r="D22" s="1031"/>
      <c r="E22" s="1031"/>
      <c r="F22" s="1031"/>
      <c r="G22" s="80">
        <f>SUM(G8:G21)</f>
        <v>15974921.506893694</v>
      </c>
      <c r="H22" s="53"/>
    </row>
    <row r="24" spans="1:8" ht="21.75" x14ac:dyDescent="0.25">
      <c r="A24" s="1038" t="s">
        <v>102</v>
      </c>
      <c r="B24" s="1039"/>
      <c r="C24" s="1039"/>
      <c r="D24" s="1039"/>
      <c r="E24" s="1039"/>
      <c r="F24" s="1040"/>
      <c r="G24" s="81">
        <f>G22</f>
        <v>15974921.506893694</v>
      </c>
      <c r="H24" s="81">
        <f>G24/DADOS_INICIAIS!E11</f>
        <v>1087.2160128066641</v>
      </c>
    </row>
  </sheetData>
  <mergeCells count="5">
    <mergeCell ref="A3:H3"/>
    <mergeCell ref="B7:C7"/>
    <mergeCell ref="D7:E7"/>
    <mergeCell ref="A22:F22"/>
    <mergeCell ref="A24:F24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149F2-BEA4-4398-94A3-D039FA652C43}">
  <sheetPr>
    <tabColor rgb="FF0070C0"/>
  </sheetPr>
  <dimension ref="A1:J37"/>
  <sheetViews>
    <sheetView showGridLines="0" zoomScale="85" zoomScaleNormal="85" zoomScaleSheetLayoutView="95" workbookViewId="0">
      <selection activeCell="D20" sqref="D20"/>
    </sheetView>
  </sheetViews>
  <sheetFormatPr defaultColWidth="9.140625" defaultRowHeight="12.75" x14ac:dyDescent="0.25"/>
  <cols>
    <col min="1" max="1" width="40.42578125" style="1" customWidth="1"/>
    <col min="2" max="2" width="14" style="170" customWidth="1"/>
    <col min="3" max="3" width="7.5703125" style="171" customWidth="1"/>
    <col min="4" max="4" width="10.7109375" style="172" customWidth="1"/>
    <col min="5" max="5" width="21.85546875" style="1" customWidth="1"/>
    <col min="6" max="6" width="12.85546875" style="1" customWidth="1"/>
    <col min="7" max="7" width="15.28515625" style="1" customWidth="1"/>
    <col min="8" max="8" width="14.28515625" style="1" customWidth="1"/>
    <col min="9" max="9" width="13.28515625" style="1" customWidth="1"/>
    <col min="10" max="10" width="14" style="1" customWidth="1"/>
    <col min="11" max="11" width="9.140625" style="1"/>
    <col min="12" max="12" width="11" style="1" customWidth="1"/>
    <col min="13" max="13" width="12" style="1" bestFit="1" customWidth="1"/>
    <col min="14" max="16384" width="9.140625" style="1"/>
  </cols>
  <sheetData>
    <row r="1" spans="1:10" x14ac:dyDescent="0.25">
      <c r="B1" s="2"/>
      <c r="C1" s="1"/>
      <c r="D1" s="1"/>
      <c r="G1" s="102"/>
      <c r="H1" s="102"/>
      <c r="I1" s="2"/>
    </row>
    <row r="2" spans="1:10" ht="12.75" customHeight="1" x14ac:dyDescent="0.25">
      <c r="A2" s="1049" t="s">
        <v>158</v>
      </c>
      <c r="B2" s="2"/>
      <c r="C2" s="1"/>
      <c r="D2" s="1"/>
      <c r="G2" s="103"/>
      <c r="H2" s="103"/>
      <c r="I2" s="2"/>
    </row>
    <row r="3" spans="1:10" ht="12.75" customHeight="1" x14ac:dyDescent="0.25">
      <c r="A3" s="1050"/>
      <c r="B3" s="2"/>
      <c r="C3" s="1"/>
      <c r="D3" s="1"/>
      <c r="G3" s="103"/>
      <c r="H3" s="103"/>
      <c r="I3" s="2"/>
    </row>
    <row r="4" spans="1:10" ht="12.75" customHeight="1" x14ac:dyDescent="0.25">
      <c r="A4" s="1050"/>
      <c r="B4" s="2"/>
      <c r="C4" s="1"/>
      <c r="D4" s="1"/>
      <c r="G4" s="103"/>
      <c r="H4" s="103"/>
      <c r="I4" s="2"/>
    </row>
    <row r="5" spans="1:10" ht="13.5" thickBot="1" x14ac:dyDescent="0.3">
      <c r="A5" s="104"/>
      <c r="B5" s="105"/>
      <c r="C5" s="105"/>
      <c r="D5" s="105"/>
      <c r="E5" s="105"/>
      <c r="F5" s="105"/>
      <c r="G5" s="106"/>
      <c r="H5" s="106"/>
      <c r="I5" s="2"/>
    </row>
    <row r="6" spans="1:10" x14ac:dyDescent="0.25">
      <c r="A6" s="107"/>
      <c r="B6" s="2"/>
      <c r="C6" s="1"/>
      <c r="D6" s="1"/>
      <c r="G6" s="102"/>
      <c r="H6" s="102"/>
      <c r="I6" s="2"/>
    </row>
    <row r="7" spans="1:10" x14ac:dyDescent="0.25">
      <c r="A7" s="108" t="s">
        <v>159</v>
      </c>
      <c r="B7" s="109" t="str">
        <f>DADOS_INICIAIS!B2</f>
        <v>BLUE HEAVEN</v>
      </c>
      <c r="C7" s="110"/>
      <c r="D7" s="110"/>
      <c r="E7" s="110"/>
      <c r="F7" s="110"/>
      <c r="G7" s="110"/>
      <c r="H7" s="111"/>
      <c r="I7" s="2"/>
    </row>
    <row r="8" spans="1:10" x14ac:dyDescent="0.25">
      <c r="A8" s="112" t="s">
        <v>0</v>
      </c>
      <c r="B8" s="109" t="str">
        <f>DADOS_INICIAIS!B1</f>
        <v>MONOLYT</v>
      </c>
      <c r="C8" s="113"/>
      <c r="D8" s="113"/>
      <c r="E8" s="113"/>
      <c r="F8" s="113"/>
      <c r="G8" s="113"/>
      <c r="H8" s="114"/>
      <c r="I8" s="2"/>
    </row>
    <row r="9" spans="1:10" ht="15" customHeight="1" x14ac:dyDescent="0.25">
      <c r="A9" s="115" t="s">
        <v>160</v>
      </c>
      <c r="B9" s="116">
        <v>45443</v>
      </c>
      <c r="C9" s="117"/>
      <c r="D9" s="117"/>
      <c r="E9" s="117"/>
      <c r="F9" s="117"/>
      <c r="G9" s="117"/>
      <c r="H9" s="118"/>
    </row>
    <row r="10" spans="1:10" x14ac:dyDescent="0.25">
      <c r="A10" s="119" t="s">
        <v>1</v>
      </c>
      <c r="B10" s="120" t="s">
        <v>161</v>
      </c>
      <c r="C10" s="121"/>
      <c r="D10" s="121"/>
      <c r="E10" s="121"/>
      <c r="F10" s="121"/>
      <c r="G10" s="121"/>
      <c r="H10" s="122"/>
    </row>
    <row r="12" spans="1:10" x14ac:dyDescent="0.25">
      <c r="A12" s="123" t="s">
        <v>162</v>
      </c>
      <c r="B12" s="124"/>
      <c r="C12" s="125"/>
      <c r="D12" s="126"/>
      <c r="E12" s="127"/>
      <c r="F12" s="127"/>
      <c r="G12" s="127"/>
      <c r="H12" s="128"/>
    </row>
    <row r="13" spans="1:10" ht="15.95" customHeight="1" x14ac:dyDescent="0.25">
      <c r="A13" s="129"/>
      <c r="B13" s="130"/>
      <c r="C13" s="131"/>
      <c r="D13" s="132"/>
      <c r="E13" s="132"/>
      <c r="F13" s="132"/>
      <c r="H13" s="133"/>
    </row>
    <row r="14" spans="1:10" ht="15.95" customHeight="1" x14ac:dyDescent="0.25">
      <c r="A14" s="134" t="s">
        <v>14</v>
      </c>
      <c r="B14" s="1051" t="s">
        <v>18</v>
      </c>
      <c r="C14" s="1052"/>
      <c r="D14" s="1053" t="s">
        <v>5</v>
      </c>
      <c r="E14" s="1054"/>
      <c r="F14" s="135" t="s">
        <v>163</v>
      </c>
      <c r="G14" s="136" t="s">
        <v>16</v>
      </c>
      <c r="H14" s="133"/>
      <c r="J14" s="173"/>
    </row>
    <row r="15" spans="1:10" ht="15" customHeight="1" x14ac:dyDescent="0.25">
      <c r="A15" s="141" t="s">
        <v>603</v>
      </c>
      <c r="B15" s="706">
        <f>4992.75</f>
        <v>4992.75</v>
      </c>
      <c r="C15" s="709" t="s">
        <v>2</v>
      </c>
      <c r="D15" s="709">
        <v>48</v>
      </c>
      <c r="E15" s="710" t="s">
        <v>169</v>
      </c>
      <c r="F15" s="145" t="s">
        <v>164</v>
      </c>
      <c r="G15" s="711">
        <f>+B15*D15*1.1</f>
        <v>263617.2</v>
      </c>
      <c r="H15" s="513"/>
    </row>
    <row r="16" spans="1:10" ht="15" customHeight="1" x14ac:dyDescent="0.25">
      <c r="A16" s="196" t="s">
        <v>604</v>
      </c>
      <c r="B16" s="706">
        <f>7551.67*1.05</f>
        <v>7929.2535000000007</v>
      </c>
      <c r="C16" s="150" t="s">
        <v>2</v>
      </c>
      <c r="D16" s="150">
        <v>220</v>
      </c>
      <c r="E16" s="707" t="s">
        <v>169</v>
      </c>
      <c r="F16" s="708" t="s">
        <v>164</v>
      </c>
      <c r="G16" s="152">
        <f>+B16*D16*1.1</f>
        <v>1918879.3470000005</v>
      </c>
      <c r="H16" s="513"/>
    </row>
    <row r="17" spans="1:9" ht="15" customHeight="1" x14ac:dyDescent="0.25">
      <c r="A17" s="196" t="s">
        <v>1323</v>
      </c>
      <c r="B17" s="706">
        <f>B16</f>
        <v>7929.2535000000007</v>
      </c>
      <c r="C17" s="150" t="s">
        <v>2</v>
      </c>
      <c r="D17" s="150">
        <v>35</v>
      </c>
      <c r="E17" s="707" t="s">
        <v>169</v>
      </c>
      <c r="F17" s="708" t="s">
        <v>164</v>
      </c>
      <c r="G17" s="152">
        <f>+B17*D17*1.1</f>
        <v>305276.25975000003</v>
      </c>
      <c r="H17" s="513"/>
    </row>
    <row r="18" spans="1:9" ht="15" customHeight="1" x14ac:dyDescent="0.25">
      <c r="A18" s="141" t="s">
        <v>165</v>
      </c>
      <c r="B18" s="147">
        <f>D18*B15</f>
        <v>998.55000000000007</v>
      </c>
      <c r="C18" s="143" t="s">
        <v>2</v>
      </c>
      <c r="D18" s="148">
        <v>0.2</v>
      </c>
      <c r="E18" s="144" t="s">
        <v>35</v>
      </c>
      <c r="F18" s="145" t="s">
        <v>164</v>
      </c>
      <c r="G18" s="146">
        <f>+B18*180*1.1</f>
        <v>197712.90000000002</v>
      </c>
      <c r="H18" s="140"/>
      <c r="I18" s="1">
        <f>(B15+B16)/DADOS_INICIAIS!E11</f>
        <v>0.8794415119148572</v>
      </c>
    </row>
    <row r="19" spans="1:9" ht="15" customHeight="1" x14ac:dyDescent="0.25">
      <c r="A19" s="141" t="s">
        <v>166</v>
      </c>
      <c r="B19" s="147">
        <f>DADOS_INICIAIS!E26</f>
        <v>24</v>
      </c>
      <c r="C19" s="150" t="s">
        <v>3</v>
      </c>
      <c r="D19" s="150">
        <v>1.75</v>
      </c>
      <c r="E19" s="151" t="s">
        <v>167</v>
      </c>
      <c r="F19" s="145" t="s">
        <v>164</v>
      </c>
      <c r="G19" s="152">
        <f>+B19*320*1.1</f>
        <v>8448</v>
      </c>
      <c r="H19" s="140"/>
    </row>
    <row r="20" spans="1:9" ht="15" customHeight="1" x14ac:dyDescent="0.25">
      <c r="A20" s="141" t="s">
        <v>168</v>
      </c>
      <c r="B20" s="142">
        <f>B15+B18</f>
        <v>5991.3</v>
      </c>
      <c r="C20" s="143" t="s">
        <v>2</v>
      </c>
      <c r="D20" s="153">
        <v>25</v>
      </c>
      <c r="E20" s="149" t="s">
        <v>169</v>
      </c>
      <c r="F20" s="145" t="s">
        <v>164</v>
      </c>
      <c r="G20" s="146">
        <f>+B20*D20*1.1</f>
        <v>164760.75</v>
      </c>
      <c r="H20" s="140"/>
    </row>
    <row r="21" spans="1:9" ht="15" customHeight="1" x14ac:dyDescent="0.25">
      <c r="A21" s="154" t="s">
        <v>25</v>
      </c>
      <c r="B21" s="142">
        <f>B20</f>
        <v>5991.3</v>
      </c>
      <c r="C21" s="155" t="s">
        <v>2</v>
      </c>
      <c r="D21" s="156">
        <v>44</v>
      </c>
      <c r="E21" s="157" t="s">
        <v>169</v>
      </c>
      <c r="F21" s="158" t="s">
        <v>164</v>
      </c>
      <c r="G21" s="159">
        <f>+B21*D21*1.1</f>
        <v>289978.92000000004</v>
      </c>
      <c r="H21" s="140"/>
    </row>
    <row r="22" spans="1:9" ht="15.95" customHeight="1" x14ac:dyDescent="0.25">
      <c r="A22" s="1055" t="s">
        <v>17</v>
      </c>
      <c r="B22" s="1056"/>
      <c r="C22" s="1056"/>
      <c r="D22" s="1056"/>
      <c r="E22" s="1056"/>
      <c r="F22" s="1056"/>
      <c r="G22" s="160">
        <f>SUM(G15:G21)</f>
        <v>3148673.3767500008</v>
      </c>
      <c r="H22" s="161"/>
    </row>
    <row r="23" spans="1:9" ht="15.95" customHeight="1" x14ac:dyDescent="0.25">
      <c r="A23" s="1057"/>
      <c r="B23" s="1058"/>
      <c r="C23" s="1058"/>
      <c r="D23" s="1058"/>
      <c r="E23" s="1058"/>
      <c r="F23" s="1058"/>
      <c r="G23" s="164"/>
      <c r="H23" s="165"/>
    </row>
    <row r="24" spans="1:9" x14ac:dyDescent="0.25">
      <c r="B24" s="166"/>
      <c r="C24" s="167"/>
      <c r="D24" s="167"/>
    </row>
    <row r="25" spans="1:9" x14ac:dyDescent="0.25">
      <c r="A25" s="1047" t="s">
        <v>170</v>
      </c>
      <c r="B25" s="1047"/>
      <c r="C25" s="1047"/>
      <c r="D25" s="1047"/>
      <c r="E25" s="1047"/>
      <c r="F25" s="1047"/>
      <c r="G25" s="168">
        <f>G22</f>
        <v>3148673.3767500008</v>
      </c>
      <c r="H25" s="169">
        <f>G25/DADOS_INICIAIS!E11</f>
        <v>214.29138871345137</v>
      </c>
    </row>
    <row r="27" spans="1:9" x14ac:dyDescent="0.25">
      <c r="A27" s="705" t="s">
        <v>1107</v>
      </c>
    </row>
    <row r="28" spans="1:9" x14ac:dyDescent="0.25">
      <c r="A28" s="1" t="s">
        <v>1108</v>
      </c>
      <c r="B28" s="170" t="s">
        <v>1109</v>
      </c>
    </row>
    <row r="34" spans="8:10" x14ac:dyDescent="0.25">
      <c r="H34" s="1048" t="s">
        <v>692</v>
      </c>
      <c r="I34" s="1048"/>
      <c r="J34" s="1048"/>
    </row>
    <row r="35" spans="8:10" x14ac:dyDescent="0.25">
      <c r="H35" s="1" t="s">
        <v>603</v>
      </c>
      <c r="I35" s="512">
        <v>4992.75</v>
      </c>
      <c r="J35" s="511">
        <f>I35/I37</f>
        <v>0.39800564713235048</v>
      </c>
    </row>
    <row r="36" spans="8:10" x14ac:dyDescent="0.25">
      <c r="H36" s="1" t="s">
        <v>604</v>
      </c>
      <c r="I36" s="512">
        <v>7551.67</v>
      </c>
      <c r="J36" s="511">
        <f>I36/I37</f>
        <v>0.60199435286764957</v>
      </c>
    </row>
    <row r="37" spans="8:10" x14ac:dyDescent="0.25">
      <c r="I37" s="512">
        <f>SUM(I35:I36)</f>
        <v>12544.42</v>
      </c>
    </row>
  </sheetData>
  <mergeCells count="7">
    <mergeCell ref="A25:F25"/>
    <mergeCell ref="H34:J34"/>
    <mergeCell ref="A2:A4"/>
    <mergeCell ref="B14:C14"/>
    <mergeCell ref="D14:E14"/>
    <mergeCell ref="A22:F22"/>
    <mergeCell ref="A23:F23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8B0CF-4527-4C3B-87EB-C6D71FD221F1}">
  <sheetPr filterMode="1">
    <tabColor rgb="FF0070C0"/>
  </sheetPr>
  <dimension ref="A1:W1015"/>
  <sheetViews>
    <sheetView showGridLines="0" topLeftCell="A9" zoomScale="85" zoomScaleNormal="85" workbookViewId="0">
      <selection activeCell="I468" sqref="I22:I468"/>
    </sheetView>
  </sheetViews>
  <sheetFormatPr defaultColWidth="14.42578125" defaultRowHeight="15" customHeight="1" x14ac:dyDescent="0.25"/>
  <cols>
    <col min="1" max="1" width="12.28515625" customWidth="1"/>
    <col min="2" max="2" width="14.5703125" customWidth="1"/>
    <col min="3" max="3" width="38.28515625" customWidth="1"/>
    <col min="4" max="4" width="31" customWidth="1"/>
    <col min="5" max="5" width="19.85546875" customWidth="1"/>
    <col min="6" max="6" width="19.7109375" customWidth="1"/>
    <col min="7" max="7" width="15.7109375" customWidth="1"/>
    <col min="8" max="8" width="17.28515625" customWidth="1"/>
    <col min="9" max="9" width="15.7109375" customWidth="1"/>
    <col min="10" max="10" width="8.85546875" customWidth="1"/>
    <col min="11" max="12" width="20.7109375" customWidth="1"/>
    <col min="13" max="13" width="22.5703125" customWidth="1"/>
    <col min="14" max="23" width="8.7109375" customWidth="1"/>
  </cols>
  <sheetData>
    <row r="1" spans="1:23" ht="15" customHeight="1" x14ac:dyDescent="0.25">
      <c r="A1" s="214" t="s">
        <v>0</v>
      </c>
      <c r="B1" s="399"/>
      <c r="C1" s="518"/>
      <c r="D1" s="400"/>
      <c r="E1" s="402"/>
      <c r="F1" s="401"/>
      <c r="G1" s="402"/>
      <c r="H1" s="401"/>
      <c r="I1" s="401"/>
      <c r="J1" s="402"/>
      <c r="K1" s="402"/>
      <c r="L1" s="401"/>
      <c r="M1" s="551"/>
    </row>
    <row r="2" spans="1:23" ht="15" customHeight="1" x14ac:dyDescent="0.25">
      <c r="A2" s="219" t="s">
        <v>113</v>
      </c>
      <c r="B2" s="404"/>
      <c r="C2" s="519"/>
      <c r="D2" s="405"/>
      <c r="E2" s="407"/>
      <c r="F2" s="406"/>
      <c r="G2" s="407"/>
      <c r="H2" s="406"/>
      <c r="I2" s="406"/>
      <c r="J2" s="407"/>
      <c r="K2" s="407"/>
      <c r="L2" s="406"/>
      <c r="M2" s="552"/>
    </row>
    <row r="3" spans="1:23" ht="15" customHeight="1" x14ac:dyDescent="0.25">
      <c r="A3" s="219" t="s">
        <v>1</v>
      </c>
      <c r="B3" s="404"/>
      <c r="C3" s="519"/>
      <c r="D3" s="405"/>
      <c r="E3" s="407"/>
      <c r="F3" s="406"/>
      <c r="G3" s="407"/>
      <c r="H3" s="406"/>
      <c r="I3" s="406"/>
      <c r="J3" s="407"/>
      <c r="K3" s="407"/>
      <c r="L3" s="406"/>
      <c r="M3" s="552"/>
    </row>
    <row r="4" spans="1:23" ht="15" customHeight="1" x14ac:dyDescent="0.25">
      <c r="A4" s="409" t="s">
        <v>160</v>
      </c>
      <c r="B4" s="410"/>
      <c r="C4" s="520"/>
      <c r="D4" s="405"/>
      <c r="E4" s="412"/>
      <c r="F4" s="411"/>
      <c r="G4" s="412"/>
      <c r="H4" s="411"/>
      <c r="I4" s="411"/>
      <c r="J4" s="412"/>
      <c r="K4" s="412"/>
      <c r="L4" s="411"/>
      <c r="M4" s="552"/>
    </row>
    <row r="5" spans="1:23" ht="26.25" customHeight="1" x14ac:dyDescent="0.25">
      <c r="A5" s="1061" t="s">
        <v>283</v>
      </c>
      <c r="B5" s="1062"/>
      <c r="C5" s="1062"/>
      <c r="D5" s="1062"/>
      <c r="E5" s="1062"/>
      <c r="F5" s="1062"/>
      <c r="G5" s="1062"/>
      <c r="H5" s="1062"/>
      <c r="I5" s="1062"/>
      <c r="J5" s="1062"/>
      <c r="K5" s="1062"/>
      <c r="L5" s="1062"/>
      <c r="M5" s="1063"/>
    </row>
    <row r="6" spans="1:23" ht="14.25" customHeight="1" x14ac:dyDescent="0.25">
      <c r="A6" s="284"/>
      <c r="B6" s="289"/>
      <c r="C6" s="289"/>
      <c r="D6" s="289"/>
      <c r="E6" s="289"/>
      <c r="F6" s="413"/>
      <c r="G6" s="289"/>
      <c r="H6" s="413"/>
      <c r="I6" s="413"/>
      <c r="J6" s="289"/>
      <c r="K6" s="289"/>
      <c r="L6" s="413"/>
      <c r="M6" s="285"/>
    </row>
    <row r="7" spans="1:23" ht="26.25" customHeight="1" x14ac:dyDescent="0.25">
      <c r="A7" s="1064" t="s">
        <v>526</v>
      </c>
      <c r="B7" s="1062"/>
      <c r="C7" s="1062"/>
      <c r="D7" s="1062"/>
      <c r="E7" s="1062"/>
      <c r="F7" s="1062"/>
      <c r="G7" s="1062"/>
      <c r="H7" s="1062"/>
      <c r="I7" s="1062"/>
      <c r="J7" s="1062"/>
      <c r="K7" s="1062"/>
      <c r="L7" s="1062"/>
      <c r="M7" s="1063"/>
    </row>
    <row r="8" spans="1:23" ht="14.25" customHeight="1" thickBot="1" x14ac:dyDescent="0.3">
      <c r="A8" s="284"/>
      <c r="B8" s="289"/>
      <c r="C8" s="289"/>
      <c r="D8" s="289"/>
      <c r="E8" s="289"/>
      <c r="F8" s="413"/>
      <c r="G8" s="289"/>
      <c r="H8" s="413"/>
      <c r="I8" s="413"/>
      <c r="J8" s="289"/>
      <c r="K8" s="289"/>
      <c r="L8" s="413"/>
      <c r="M8" s="285"/>
      <c r="N8" s="289"/>
      <c r="O8" s="289"/>
      <c r="P8" s="289"/>
      <c r="Q8" s="289"/>
      <c r="R8" s="289"/>
      <c r="S8" s="289"/>
      <c r="T8" s="289"/>
      <c r="U8" s="289"/>
      <c r="V8" s="289"/>
      <c r="W8" s="289"/>
    </row>
    <row r="9" spans="1:23" ht="14.25" customHeight="1" thickBot="1" x14ac:dyDescent="0.3">
      <c r="A9" s="284"/>
      <c r="B9" s="1065" t="s">
        <v>521</v>
      </c>
      <c r="C9" s="1066"/>
      <c r="D9" s="1067"/>
      <c r="E9" s="1067"/>
      <c r="F9" s="1067"/>
      <c r="G9" s="1067"/>
      <c r="H9" s="1067"/>
      <c r="I9" s="1060"/>
      <c r="J9" s="289"/>
      <c r="K9" s="1068" t="s">
        <v>532</v>
      </c>
      <c r="L9" s="1069"/>
      <c r="M9" s="285"/>
    </row>
    <row r="10" spans="1:23" ht="14.25" customHeight="1" x14ac:dyDescent="0.45">
      <c r="A10" s="284"/>
      <c r="B10" s="525" t="s">
        <v>522</v>
      </c>
      <c r="C10" s="521" t="s">
        <v>1284</v>
      </c>
      <c r="D10" s="415" t="s">
        <v>528</v>
      </c>
      <c r="E10" s="415" t="s">
        <v>529</v>
      </c>
      <c r="F10" s="435" t="s">
        <v>523</v>
      </c>
      <c r="G10" s="436" t="s">
        <v>533</v>
      </c>
      <c r="H10" s="417" t="s">
        <v>524</v>
      </c>
      <c r="I10" s="526" t="s">
        <v>520</v>
      </c>
      <c r="J10" s="289"/>
      <c r="K10" s="545" t="s">
        <v>531</v>
      </c>
      <c r="L10" s="546" t="s">
        <v>525</v>
      </c>
      <c r="M10" s="285"/>
    </row>
    <row r="11" spans="1:23" ht="14.25" hidden="1" customHeight="1" x14ac:dyDescent="0.25">
      <c r="A11" s="284"/>
      <c r="B11" s="527" t="s">
        <v>607</v>
      </c>
      <c r="C11" s="522" t="s">
        <v>635</v>
      </c>
      <c r="D11" s="420" t="s">
        <v>608</v>
      </c>
      <c r="E11" s="420" t="s">
        <v>197</v>
      </c>
      <c r="F11" s="437">
        <v>456.33</v>
      </c>
      <c r="G11" s="438" t="s">
        <v>701</v>
      </c>
      <c r="H11" s="422">
        <v>1</v>
      </c>
      <c r="I11" s="528">
        <f>F11*H11</f>
        <v>456.33</v>
      </c>
      <c r="J11" s="289"/>
      <c r="K11" s="540" t="s">
        <v>174</v>
      </c>
      <c r="L11" s="547">
        <f>SUMIF(G:G,"Sim",I:I)</f>
        <v>9592.09</v>
      </c>
      <c r="M11" s="285"/>
    </row>
    <row r="12" spans="1:23" ht="14.25" hidden="1" customHeight="1" thickBot="1" x14ac:dyDescent="0.3">
      <c r="A12" s="284"/>
      <c r="B12" s="529" t="s">
        <v>607</v>
      </c>
      <c r="C12" s="523" t="s">
        <v>635</v>
      </c>
      <c r="D12" s="426" t="s">
        <v>609</v>
      </c>
      <c r="E12" s="426"/>
      <c r="F12" s="440">
        <v>26.38</v>
      </c>
      <c r="G12" s="441" t="s">
        <v>702</v>
      </c>
      <c r="H12" s="428">
        <v>1</v>
      </c>
      <c r="I12" s="530">
        <f t="shared" ref="I12:I77" si="0">F12*H12</f>
        <v>26.38</v>
      </c>
      <c r="J12" s="289"/>
      <c r="K12" s="541" t="s">
        <v>176</v>
      </c>
      <c r="L12" s="548">
        <f>SUMIFS(I:I,G:G,"Sim",C:C,"*APT*")</f>
        <v>5559.6700000000055</v>
      </c>
      <c r="M12" s="285"/>
    </row>
    <row r="13" spans="1:23" ht="14.25" hidden="1" customHeight="1" thickBot="1" x14ac:dyDescent="0.3">
      <c r="A13" s="284"/>
      <c r="B13" s="529" t="s">
        <v>607</v>
      </c>
      <c r="C13" s="523" t="s">
        <v>635</v>
      </c>
      <c r="D13" s="426" t="s">
        <v>610</v>
      </c>
      <c r="E13" s="426" t="s">
        <v>1214</v>
      </c>
      <c r="F13" s="440">
        <v>33.58</v>
      </c>
      <c r="G13" s="441" t="s">
        <v>701</v>
      </c>
      <c r="H13" s="428">
        <v>1</v>
      </c>
      <c r="I13" s="530">
        <f t="shared" si="0"/>
        <v>33.58</v>
      </c>
      <c r="J13" s="289"/>
      <c r="K13" s="549"/>
      <c r="L13" s="550"/>
      <c r="M13" s="285"/>
    </row>
    <row r="14" spans="1:23" ht="14.25" hidden="1" customHeight="1" thickBot="1" x14ac:dyDescent="0.3">
      <c r="A14" s="284"/>
      <c r="B14" s="529" t="s">
        <v>607</v>
      </c>
      <c r="C14" s="523" t="s">
        <v>635</v>
      </c>
      <c r="D14" s="426" t="s">
        <v>611</v>
      </c>
      <c r="E14" s="426" t="s">
        <v>195</v>
      </c>
      <c r="F14" s="440">
        <v>1500.84</v>
      </c>
      <c r="G14" s="441" t="s">
        <v>702</v>
      </c>
      <c r="H14" s="428">
        <v>1</v>
      </c>
      <c r="I14" s="530">
        <f t="shared" si="0"/>
        <v>1500.84</v>
      </c>
      <c r="J14" s="289"/>
      <c r="K14" s="1059" t="s">
        <v>527</v>
      </c>
      <c r="L14" s="1060"/>
      <c r="M14" s="285"/>
    </row>
    <row r="15" spans="1:23" ht="14.25" hidden="1" customHeight="1" x14ac:dyDescent="0.25">
      <c r="A15" s="284"/>
      <c r="B15" s="529" t="s">
        <v>607</v>
      </c>
      <c r="C15" s="523" t="s">
        <v>635</v>
      </c>
      <c r="D15" s="426" t="s">
        <v>1173</v>
      </c>
      <c r="E15" s="426" t="s">
        <v>1214</v>
      </c>
      <c r="F15" s="440">
        <v>41.28</v>
      </c>
      <c r="G15" s="441" t="s">
        <v>701</v>
      </c>
      <c r="H15" s="428">
        <v>1</v>
      </c>
      <c r="I15" s="530">
        <f t="shared" ref="I15" si="1">F15*H15</f>
        <v>41.28</v>
      </c>
      <c r="J15" s="289"/>
      <c r="K15" s="542" t="s">
        <v>529</v>
      </c>
      <c r="L15" s="526" t="s">
        <v>525</v>
      </c>
      <c r="M15" s="285"/>
    </row>
    <row r="16" spans="1:23" ht="14.25" hidden="1" customHeight="1" x14ac:dyDescent="0.25">
      <c r="A16" s="284" t="b">
        <f>C16&lt;&gt;C14</f>
        <v>1</v>
      </c>
      <c r="B16" s="529" t="s">
        <v>612</v>
      </c>
      <c r="C16" s="523" t="s">
        <v>1285</v>
      </c>
      <c r="D16" s="426" t="s">
        <v>614</v>
      </c>
      <c r="E16" s="426" t="s">
        <v>1214</v>
      </c>
      <c r="F16" s="440">
        <v>24.87</v>
      </c>
      <c r="G16" s="441" t="s">
        <v>701</v>
      </c>
      <c r="H16" s="428">
        <v>1</v>
      </c>
      <c r="I16" s="530">
        <f t="shared" si="0"/>
        <v>24.87</v>
      </c>
      <c r="J16" s="289"/>
      <c r="K16" s="543" t="s">
        <v>197</v>
      </c>
      <c r="L16" s="539">
        <f t="shared" ref="L16:L35" si="2">SUMIF(E:E,K16,I:I)</f>
        <v>626.88999999999987</v>
      </c>
      <c r="M16" s="285"/>
    </row>
    <row r="17" spans="1:13" ht="14.25" hidden="1" customHeight="1" x14ac:dyDescent="0.25">
      <c r="A17" s="284" t="str">
        <f>IF(C16="*&amp;APTO&amp;*","OK","")</f>
        <v/>
      </c>
      <c r="B17" s="529" t="s">
        <v>612</v>
      </c>
      <c r="C17" s="523" t="s">
        <v>1285</v>
      </c>
      <c r="D17" s="426" t="s">
        <v>615</v>
      </c>
      <c r="E17" s="426" t="s">
        <v>1214</v>
      </c>
      <c r="F17" s="440">
        <v>28.27</v>
      </c>
      <c r="G17" s="441" t="s">
        <v>701</v>
      </c>
      <c r="H17" s="428">
        <v>1</v>
      </c>
      <c r="I17" s="530">
        <f t="shared" si="0"/>
        <v>28.27</v>
      </c>
      <c r="J17" s="289"/>
      <c r="K17" s="544" t="s">
        <v>186</v>
      </c>
      <c r="L17" s="530">
        <f t="shared" si="2"/>
        <v>0</v>
      </c>
      <c r="M17" s="285"/>
    </row>
    <row r="18" spans="1:13" ht="14.25" hidden="1" customHeight="1" x14ac:dyDescent="0.25">
      <c r="A18" s="284"/>
      <c r="B18" s="529" t="s">
        <v>612</v>
      </c>
      <c r="C18" s="523" t="s">
        <v>1285</v>
      </c>
      <c r="D18" s="426" t="s">
        <v>616</v>
      </c>
      <c r="E18" s="426" t="s">
        <v>1214</v>
      </c>
      <c r="F18" s="440">
        <v>3.4</v>
      </c>
      <c r="G18" s="441" t="s">
        <v>701</v>
      </c>
      <c r="H18" s="428">
        <v>1</v>
      </c>
      <c r="I18" s="530">
        <f t="shared" si="0"/>
        <v>3.4</v>
      </c>
      <c r="J18" s="289"/>
      <c r="K18" s="544" t="s">
        <v>195</v>
      </c>
      <c r="L18" s="530">
        <f t="shared" si="2"/>
        <v>2584.4499999999998</v>
      </c>
      <c r="M18" s="285"/>
    </row>
    <row r="19" spans="1:13" ht="14.25" hidden="1" customHeight="1" x14ac:dyDescent="0.25">
      <c r="A19" s="284"/>
      <c r="B19" s="529" t="s">
        <v>612</v>
      </c>
      <c r="C19" s="523" t="s">
        <v>1285</v>
      </c>
      <c r="D19" s="426" t="s">
        <v>618</v>
      </c>
      <c r="E19" s="426" t="s">
        <v>693</v>
      </c>
      <c r="F19" s="440">
        <v>27.53</v>
      </c>
      <c r="G19" s="441"/>
      <c r="H19" s="428">
        <v>1</v>
      </c>
      <c r="I19" s="530">
        <f t="shared" si="0"/>
        <v>27.53</v>
      </c>
      <c r="J19" s="289"/>
      <c r="K19" s="544" t="s">
        <v>693</v>
      </c>
      <c r="L19" s="530">
        <f t="shared" si="2"/>
        <v>1341.17</v>
      </c>
      <c r="M19" s="285"/>
    </row>
    <row r="20" spans="1:13" ht="14.25" hidden="1" customHeight="1" x14ac:dyDescent="0.25">
      <c r="A20" s="284"/>
      <c r="B20" s="529" t="s">
        <v>612</v>
      </c>
      <c r="C20" s="523" t="s">
        <v>1285</v>
      </c>
      <c r="D20" s="426" t="s">
        <v>689</v>
      </c>
      <c r="E20" s="426" t="s">
        <v>694</v>
      </c>
      <c r="F20" s="440">
        <v>21.52</v>
      </c>
      <c r="G20" s="441"/>
      <c r="H20" s="428">
        <v>1</v>
      </c>
      <c r="I20" s="530">
        <f t="shared" si="0"/>
        <v>21.52</v>
      </c>
      <c r="J20" s="289"/>
      <c r="K20" s="544" t="s">
        <v>694</v>
      </c>
      <c r="L20" s="530">
        <f t="shared" si="2"/>
        <v>830.40999999999985</v>
      </c>
      <c r="M20" s="285"/>
    </row>
    <row r="21" spans="1:13" ht="14.25" hidden="1" customHeight="1" x14ac:dyDescent="0.25">
      <c r="A21" s="284"/>
      <c r="B21" s="529" t="s">
        <v>612</v>
      </c>
      <c r="C21" s="523" t="s">
        <v>1285</v>
      </c>
      <c r="D21" s="426" t="s">
        <v>619</v>
      </c>
      <c r="E21" s="426" t="s">
        <v>1214</v>
      </c>
      <c r="F21" s="440">
        <v>15.72</v>
      </c>
      <c r="G21" s="441" t="s">
        <v>701</v>
      </c>
      <c r="H21" s="428">
        <v>1</v>
      </c>
      <c r="I21" s="530">
        <f t="shared" si="0"/>
        <v>15.72</v>
      </c>
      <c r="J21" s="289"/>
      <c r="K21" s="544" t="s">
        <v>686</v>
      </c>
      <c r="L21" s="530">
        <f t="shared" si="2"/>
        <v>2122.9499999999985</v>
      </c>
      <c r="M21" s="285"/>
    </row>
    <row r="22" spans="1:13" ht="14.25" customHeight="1" x14ac:dyDescent="0.25">
      <c r="A22" s="284" t="s">
        <v>1213</v>
      </c>
      <c r="B22" s="529" t="s">
        <v>612</v>
      </c>
      <c r="C22" s="523" t="s">
        <v>1285</v>
      </c>
      <c r="D22" s="426" t="s">
        <v>620</v>
      </c>
      <c r="E22" s="426" t="s">
        <v>1214</v>
      </c>
      <c r="F22" s="440">
        <v>7.6</v>
      </c>
      <c r="G22" s="441" t="s">
        <v>701</v>
      </c>
      <c r="H22" s="428">
        <v>1</v>
      </c>
      <c r="I22" s="530">
        <f t="shared" si="0"/>
        <v>7.6</v>
      </c>
      <c r="J22" s="289"/>
      <c r="K22" s="544" t="s">
        <v>695</v>
      </c>
      <c r="L22" s="530">
        <f t="shared" si="2"/>
        <v>0</v>
      </c>
      <c r="M22" s="285"/>
    </row>
    <row r="23" spans="1:13" ht="14.25" customHeight="1" x14ac:dyDescent="0.25">
      <c r="A23" s="284"/>
      <c r="B23" s="529" t="s">
        <v>612</v>
      </c>
      <c r="C23" s="523" t="s">
        <v>1285</v>
      </c>
      <c r="D23" s="426" t="s">
        <v>621</v>
      </c>
      <c r="E23" s="426" t="s">
        <v>1214</v>
      </c>
      <c r="F23" s="440">
        <v>4.22</v>
      </c>
      <c r="G23" s="441" t="s">
        <v>701</v>
      </c>
      <c r="H23" s="428">
        <v>1</v>
      </c>
      <c r="I23" s="530">
        <f t="shared" si="0"/>
        <v>4.22</v>
      </c>
      <c r="J23" s="289"/>
      <c r="K23" s="544" t="s">
        <v>189</v>
      </c>
      <c r="L23" s="530">
        <f t="shared" si="2"/>
        <v>35.17</v>
      </c>
      <c r="M23" s="285"/>
    </row>
    <row r="24" spans="1:13" ht="14.25" hidden="1" customHeight="1" x14ac:dyDescent="0.25">
      <c r="A24" s="284"/>
      <c r="B24" s="529" t="s">
        <v>612</v>
      </c>
      <c r="C24" s="523" t="s">
        <v>1285</v>
      </c>
      <c r="D24" s="426" t="s">
        <v>617</v>
      </c>
      <c r="E24" s="426" t="s">
        <v>686</v>
      </c>
      <c r="F24" s="440">
        <v>12.36</v>
      </c>
      <c r="G24" s="441" t="s">
        <v>701</v>
      </c>
      <c r="H24" s="428">
        <v>1</v>
      </c>
      <c r="I24" s="530">
        <f t="shared" si="0"/>
        <v>12.36</v>
      </c>
      <c r="J24" s="289"/>
      <c r="K24" s="544" t="s">
        <v>188</v>
      </c>
      <c r="L24" s="530">
        <f t="shared" si="2"/>
        <v>77.760000000000005</v>
      </c>
      <c r="M24" s="285"/>
    </row>
    <row r="25" spans="1:13" ht="14.25" hidden="1" customHeight="1" x14ac:dyDescent="0.25">
      <c r="A25" s="284"/>
      <c r="B25" s="529" t="s">
        <v>612</v>
      </c>
      <c r="C25" s="523" t="s">
        <v>1285</v>
      </c>
      <c r="D25" s="426" t="s">
        <v>622</v>
      </c>
      <c r="E25" s="426" t="s">
        <v>686</v>
      </c>
      <c r="F25" s="440">
        <v>27.24</v>
      </c>
      <c r="G25" s="441" t="s">
        <v>701</v>
      </c>
      <c r="H25" s="428">
        <v>1</v>
      </c>
      <c r="I25" s="530">
        <f t="shared" si="0"/>
        <v>27.24</v>
      </c>
      <c r="J25" s="289"/>
      <c r="K25" s="544"/>
      <c r="L25" s="530">
        <f t="shared" si="2"/>
        <v>0</v>
      </c>
      <c r="M25" s="285"/>
    </row>
    <row r="26" spans="1:13" ht="14.25" customHeight="1" x14ac:dyDescent="0.25">
      <c r="A26" s="284"/>
      <c r="B26" s="529" t="s">
        <v>612</v>
      </c>
      <c r="C26" s="523" t="s">
        <v>1285</v>
      </c>
      <c r="D26" s="426" t="s">
        <v>623</v>
      </c>
      <c r="E26" s="426" t="s">
        <v>1214</v>
      </c>
      <c r="F26" s="440">
        <v>7.54</v>
      </c>
      <c r="G26" s="441" t="s">
        <v>701</v>
      </c>
      <c r="H26" s="428">
        <v>1</v>
      </c>
      <c r="I26" s="530">
        <f t="shared" si="0"/>
        <v>7.54</v>
      </c>
      <c r="J26" s="289"/>
      <c r="K26" s="544"/>
      <c r="L26" s="530">
        <f t="shared" si="2"/>
        <v>0</v>
      </c>
      <c r="M26" s="285"/>
    </row>
    <row r="27" spans="1:13" ht="14.25" hidden="1" customHeight="1" x14ac:dyDescent="0.25">
      <c r="A27" s="284"/>
      <c r="B27" s="529" t="s">
        <v>612</v>
      </c>
      <c r="C27" s="523" t="s">
        <v>1285</v>
      </c>
      <c r="D27" s="426" t="s">
        <v>624</v>
      </c>
      <c r="E27" s="426" t="s">
        <v>686</v>
      </c>
      <c r="F27" s="440">
        <v>18.87</v>
      </c>
      <c r="G27" s="441" t="s">
        <v>701</v>
      </c>
      <c r="H27" s="428">
        <v>1</v>
      </c>
      <c r="I27" s="530">
        <f t="shared" si="0"/>
        <v>18.87</v>
      </c>
      <c r="J27" s="289"/>
      <c r="K27" s="544"/>
      <c r="L27" s="530">
        <f t="shared" si="2"/>
        <v>0</v>
      </c>
      <c r="M27" s="285"/>
    </row>
    <row r="28" spans="1:13" ht="14.25" customHeight="1" x14ac:dyDescent="0.25">
      <c r="A28" s="284"/>
      <c r="B28" s="529" t="s">
        <v>612</v>
      </c>
      <c r="C28" s="523" t="s">
        <v>1285</v>
      </c>
      <c r="D28" s="426" t="s">
        <v>625</v>
      </c>
      <c r="E28" s="426" t="s">
        <v>1214</v>
      </c>
      <c r="F28" s="440">
        <v>4.8499999999999996</v>
      </c>
      <c r="G28" s="441" t="s">
        <v>701</v>
      </c>
      <c r="H28" s="428">
        <v>1</v>
      </c>
      <c r="I28" s="530">
        <f t="shared" si="0"/>
        <v>4.8499999999999996</v>
      </c>
      <c r="J28" s="289"/>
      <c r="K28" s="544"/>
      <c r="L28" s="530">
        <f t="shared" si="2"/>
        <v>0</v>
      </c>
      <c r="M28" s="285"/>
    </row>
    <row r="29" spans="1:13" ht="14.25" hidden="1" customHeight="1" x14ac:dyDescent="0.25">
      <c r="A29" s="284"/>
      <c r="B29" s="529" t="s">
        <v>612</v>
      </c>
      <c r="C29" s="523" t="s">
        <v>1285</v>
      </c>
      <c r="D29" s="426" t="s">
        <v>626</v>
      </c>
      <c r="E29" s="426" t="s">
        <v>686</v>
      </c>
      <c r="F29" s="440">
        <v>18.87</v>
      </c>
      <c r="G29" s="441" t="s">
        <v>701</v>
      </c>
      <c r="H29" s="428">
        <v>1</v>
      </c>
      <c r="I29" s="530">
        <f t="shared" si="0"/>
        <v>18.87</v>
      </c>
      <c r="J29" s="289"/>
      <c r="K29" s="544"/>
      <c r="L29" s="530">
        <f t="shared" si="2"/>
        <v>0</v>
      </c>
      <c r="M29" s="285"/>
    </row>
    <row r="30" spans="1:13" ht="14.25" customHeight="1" x14ac:dyDescent="0.25">
      <c r="A30" s="284"/>
      <c r="B30" s="529" t="s">
        <v>612</v>
      </c>
      <c r="C30" s="523" t="s">
        <v>1285</v>
      </c>
      <c r="D30" s="426" t="s">
        <v>627</v>
      </c>
      <c r="E30" s="426" t="s">
        <v>1214</v>
      </c>
      <c r="F30" s="440">
        <v>4.8499999999999996</v>
      </c>
      <c r="G30" s="441" t="s">
        <v>701</v>
      </c>
      <c r="H30" s="428">
        <v>1</v>
      </c>
      <c r="I30" s="530">
        <f t="shared" si="0"/>
        <v>4.8499999999999996</v>
      </c>
      <c r="J30" s="289"/>
      <c r="K30" s="544"/>
      <c r="L30" s="530">
        <f t="shared" si="2"/>
        <v>0</v>
      </c>
      <c r="M30" s="285"/>
    </row>
    <row r="31" spans="1:13" ht="14.25" hidden="1" customHeight="1" x14ac:dyDescent="0.25">
      <c r="A31" s="284"/>
      <c r="B31" s="529" t="s">
        <v>612</v>
      </c>
      <c r="C31" s="523" t="s">
        <v>635</v>
      </c>
      <c r="D31" s="426" t="s">
        <v>628</v>
      </c>
      <c r="E31" s="426" t="s">
        <v>197</v>
      </c>
      <c r="F31" s="440">
        <f>18.79+1.5*0.18*20</f>
        <v>24.189999999999998</v>
      </c>
      <c r="G31" s="441" t="s">
        <v>701</v>
      </c>
      <c r="H31" s="428">
        <v>1</v>
      </c>
      <c r="I31" s="530">
        <f t="shared" si="0"/>
        <v>24.189999999999998</v>
      </c>
      <c r="J31" s="289"/>
      <c r="K31" s="544"/>
      <c r="L31" s="530">
        <f t="shared" si="2"/>
        <v>0</v>
      </c>
      <c r="M31" s="285"/>
    </row>
    <row r="32" spans="1:13" ht="14.25" hidden="1" customHeight="1" x14ac:dyDescent="0.25">
      <c r="A32" s="284"/>
      <c r="B32" s="529" t="s">
        <v>612</v>
      </c>
      <c r="C32" s="523" t="s">
        <v>635</v>
      </c>
      <c r="D32" s="426" t="s">
        <v>1174</v>
      </c>
      <c r="E32" s="426" t="s">
        <v>1214</v>
      </c>
      <c r="F32" s="440">
        <v>41.02</v>
      </c>
      <c r="G32" s="441" t="s">
        <v>701</v>
      </c>
      <c r="H32" s="428">
        <v>1</v>
      </c>
      <c r="I32" s="530">
        <f t="shared" ref="I32:I33" si="3">F32*H32</f>
        <v>41.02</v>
      </c>
      <c r="J32" s="289"/>
      <c r="K32" s="544"/>
      <c r="L32" s="530">
        <f t="shared" si="2"/>
        <v>0</v>
      </c>
      <c r="M32" s="285"/>
    </row>
    <row r="33" spans="1:13" ht="14.25" hidden="1" customHeight="1" x14ac:dyDescent="0.25">
      <c r="A33" s="284"/>
      <c r="B33" s="529" t="s">
        <v>612</v>
      </c>
      <c r="C33" s="523" t="s">
        <v>635</v>
      </c>
      <c r="D33" s="426" t="s">
        <v>1173</v>
      </c>
      <c r="E33" s="426" t="s">
        <v>1214</v>
      </c>
      <c r="F33" s="440">
        <v>25.18</v>
      </c>
      <c r="G33" s="441" t="s">
        <v>701</v>
      </c>
      <c r="H33" s="428">
        <v>1</v>
      </c>
      <c r="I33" s="530">
        <f t="shared" si="3"/>
        <v>25.18</v>
      </c>
      <c r="J33" s="289"/>
      <c r="K33" s="544"/>
      <c r="L33" s="530">
        <f t="shared" si="2"/>
        <v>0</v>
      </c>
      <c r="M33" s="285"/>
    </row>
    <row r="34" spans="1:13" ht="14.25" hidden="1" customHeight="1" x14ac:dyDescent="0.25">
      <c r="A34" s="284"/>
      <c r="B34" s="529" t="s">
        <v>612</v>
      </c>
      <c r="C34" s="523" t="s">
        <v>635</v>
      </c>
      <c r="D34" s="426" t="s">
        <v>1175</v>
      </c>
      <c r="E34" s="426" t="s">
        <v>1214</v>
      </c>
      <c r="F34" s="440">
        <v>18.45</v>
      </c>
      <c r="G34" s="441" t="s">
        <v>701</v>
      </c>
      <c r="H34" s="428">
        <v>1</v>
      </c>
      <c r="I34" s="530">
        <f t="shared" ref="I34" si="4">F34*H34</f>
        <v>18.45</v>
      </c>
      <c r="J34" s="289"/>
      <c r="K34" s="544"/>
      <c r="L34" s="530">
        <f t="shared" si="2"/>
        <v>0</v>
      </c>
      <c r="M34" s="285"/>
    </row>
    <row r="35" spans="1:13" ht="14.25" hidden="1" customHeight="1" x14ac:dyDescent="0.25">
      <c r="A35" s="284"/>
      <c r="B35" s="529" t="s">
        <v>612</v>
      </c>
      <c r="C35" s="523" t="s">
        <v>1286</v>
      </c>
      <c r="D35" s="426" t="s">
        <v>614</v>
      </c>
      <c r="E35" s="426" t="s">
        <v>1214</v>
      </c>
      <c r="F35" s="440">
        <v>26.95</v>
      </c>
      <c r="G35" s="441" t="s">
        <v>701</v>
      </c>
      <c r="H35" s="428">
        <v>1</v>
      </c>
      <c r="I35" s="530">
        <f t="shared" si="0"/>
        <v>26.95</v>
      </c>
      <c r="J35" s="289"/>
      <c r="K35" s="544"/>
      <c r="L35" s="530">
        <f t="shared" si="2"/>
        <v>0</v>
      </c>
      <c r="M35" s="285"/>
    </row>
    <row r="36" spans="1:13" ht="14.25" hidden="1" customHeight="1" x14ac:dyDescent="0.25">
      <c r="A36" s="284"/>
      <c r="B36" s="529" t="s">
        <v>612</v>
      </c>
      <c r="C36" s="523" t="s">
        <v>1286</v>
      </c>
      <c r="D36" s="426" t="s">
        <v>615</v>
      </c>
      <c r="E36" s="426" t="s">
        <v>1214</v>
      </c>
      <c r="F36" s="440">
        <v>41.59</v>
      </c>
      <c r="G36" s="441" t="s">
        <v>701</v>
      </c>
      <c r="H36" s="428">
        <v>1</v>
      </c>
      <c r="I36" s="530">
        <f t="shared" si="0"/>
        <v>41.59</v>
      </c>
      <c r="J36" s="289"/>
      <c r="K36" s="540"/>
      <c r="L36" s="530"/>
      <c r="M36" s="285"/>
    </row>
    <row r="37" spans="1:13" ht="14.25" hidden="1" customHeight="1" x14ac:dyDescent="0.25">
      <c r="A37" s="284"/>
      <c r="B37" s="529" t="s">
        <v>612</v>
      </c>
      <c r="C37" s="523" t="s">
        <v>1286</v>
      </c>
      <c r="D37" s="426" t="s">
        <v>616</v>
      </c>
      <c r="E37" s="426" t="s">
        <v>1214</v>
      </c>
      <c r="F37" s="440">
        <v>3.67</v>
      </c>
      <c r="G37" s="441" t="s">
        <v>701</v>
      </c>
      <c r="H37" s="428">
        <v>1</v>
      </c>
      <c r="I37" s="530">
        <f t="shared" si="0"/>
        <v>3.67</v>
      </c>
      <c r="J37" s="289"/>
      <c r="K37" s="540"/>
      <c r="L37" s="530"/>
      <c r="M37" s="285"/>
    </row>
    <row r="38" spans="1:13" ht="14.25" hidden="1" customHeight="1" x14ac:dyDescent="0.25">
      <c r="A38" s="284"/>
      <c r="B38" s="529" t="s">
        <v>612</v>
      </c>
      <c r="C38" s="523" t="s">
        <v>1286</v>
      </c>
      <c r="D38" s="426" t="s">
        <v>618</v>
      </c>
      <c r="E38" s="426" t="s">
        <v>693</v>
      </c>
      <c r="F38" s="440">
        <v>32.26</v>
      </c>
      <c r="G38" s="441"/>
      <c r="H38" s="428">
        <v>1</v>
      </c>
      <c r="I38" s="530">
        <f t="shared" si="0"/>
        <v>32.26</v>
      </c>
      <c r="J38" s="289"/>
      <c r="K38" s="540"/>
      <c r="L38" s="530"/>
      <c r="M38" s="285"/>
    </row>
    <row r="39" spans="1:13" ht="14.25" hidden="1" customHeight="1" x14ac:dyDescent="0.25">
      <c r="A39" s="284"/>
      <c r="B39" s="529" t="s">
        <v>612</v>
      </c>
      <c r="C39" s="523" t="s">
        <v>1286</v>
      </c>
      <c r="D39" s="426" t="s">
        <v>689</v>
      </c>
      <c r="E39" s="426" t="s">
        <v>694</v>
      </c>
      <c r="F39" s="440">
        <v>21.56</v>
      </c>
      <c r="G39" s="441" t="s">
        <v>701</v>
      </c>
      <c r="H39" s="428">
        <v>1</v>
      </c>
      <c r="I39" s="530">
        <f t="shared" si="0"/>
        <v>21.56</v>
      </c>
      <c r="J39" s="289"/>
      <c r="K39" s="540"/>
      <c r="L39" s="530"/>
      <c r="M39" s="285"/>
    </row>
    <row r="40" spans="1:13" ht="14.25" hidden="1" customHeight="1" x14ac:dyDescent="0.25">
      <c r="A40" s="284"/>
      <c r="B40" s="529" t="s">
        <v>612</v>
      </c>
      <c r="C40" s="523" t="s">
        <v>1286</v>
      </c>
      <c r="D40" s="426" t="s">
        <v>619</v>
      </c>
      <c r="E40" s="426" t="s">
        <v>1214</v>
      </c>
      <c r="F40" s="440">
        <v>15.02</v>
      </c>
      <c r="G40" s="441" t="s">
        <v>701</v>
      </c>
      <c r="H40" s="428">
        <v>1</v>
      </c>
      <c r="I40" s="530">
        <f t="shared" si="0"/>
        <v>15.02</v>
      </c>
      <c r="J40" s="289"/>
      <c r="K40" s="540"/>
      <c r="L40" s="530"/>
      <c r="M40" s="285"/>
    </row>
    <row r="41" spans="1:13" ht="14.25" hidden="1" customHeight="1" x14ac:dyDescent="0.25">
      <c r="A41" s="284"/>
      <c r="B41" s="529" t="s">
        <v>612</v>
      </c>
      <c r="C41" s="523" t="s">
        <v>1286</v>
      </c>
      <c r="D41" s="426" t="s">
        <v>629</v>
      </c>
      <c r="E41" s="426" t="s">
        <v>1214</v>
      </c>
      <c r="F41" s="440">
        <v>3.12</v>
      </c>
      <c r="G41" s="441" t="s">
        <v>701</v>
      </c>
      <c r="H41" s="428">
        <v>1</v>
      </c>
      <c r="I41" s="530">
        <f t="shared" si="0"/>
        <v>3.12</v>
      </c>
      <c r="J41" s="289"/>
      <c r="K41" s="540"/>
      <c r="L41" s="530"/>
      <c r="M41" s="285"/>
    </row>
    <row r="42" spans="1:13" ht="14.25" customHeight="1" x14ac:dyDescent="0.25">
      <c r="A42" s="284"/>
      <c r="B42" s="529" t="s">
        <v>612</v>
      </c>
      <c r="C42" s="523" t="s">
        <v>1286</v>
      </c>
      <c r="D42" s="426" t="s">
        <v>620</v>
      </c>
      <c r="E42" s="426" t="s">
        <v>1214</v>
      </c>
      <c r="F42" s="440">
        <v>9.49</v>
      </c>
      <c r="G42" s="441" t="s">
        <v>701</v>
      </c>
      <c r="H42" s="428">
        <v>1</v>
      </c>
      <c r="I42" s="530">
        <f t="shared" si="0"/>
        <v>9.49</v>
      </c>
      <c r="J42" s="289"/>
      <c r="K42" s="540"/>
      <c r="L42" s="530"/>
      <c r="M42" s="285"/>
    </row>
    <row r="43" spans="1:13" ht="14.25" hidden="1" customHeight="1" x14ac:dyDescent="0.25">
      <c r="A43" s="284"/>
      <c r="B43" s="529" t="s">
        <v>612</v>
      </c>
      <c r="C43" s="523" t="s">
        <v>1286</v>
      </c>
      <c r="D43" s="426" t="s">
        <v>640</v>
      </c>
      <c r="E43" s="426" t="s">
        <v>1214</v>
      </c>
      <c r="F43" s="440">
        <v>6.96</v>
      </c>
      <c r="G43" s="441" t="s">
        <v>701</v>
      </c>
      <c r="H43" s="428">
        <v>1</v>
      </c>
      <c r="I43" s="530">
        <f t="shared" si="0"/>
        <v>6.96</v>
      </c>
      <c r="J43" s="289"/>
      <c r="K43" s="540"/>
      <c r="L43" s="530"/>
      <c r="M43" s="285"/>
    </row>
    <row r="44" spans="1:13" ht="14.25" customHeight="1" x14ac:dyDescent="0.25">
      <c r="A44" s="284"/>
      <c r="B44" s="529" t="s">
        <v>612</v>
      </c>
      <c r="C44" s="523" t="s">
        <v>1286</v>
      </c>
      <c r="D44" s="426" t="s">
        <v>621</v>
      </c>
      <c r="E44" s="426" t="s">
        <v>1214</v>
      </c>
      <c r="F44" s="440">
        <v>4.09</v>
      </c>
      <c r="G44" s="441" t="s">
        <v>701</v>
      </c>
      <c r="H44" s="428">
        <v>1</v>
      </c>
      <c r="I44" s="530">
        <f t="shared" si="0"/>
        <v>4.09</v>
      </c>
      <c r="J44" s="289"/>
      <c r="K44" s="540"/>
      <c r="L44" s="530"/>
      <c r="M44" s="285"/>
    </row>
    <row r="45" spans="1:13" ht="14.25" hidden="1" customHeight="1" x14ac:dyDescent="0.25">
      <c r="A45" s="284"/>
      <c r="B45" s="529" t="s">
        <v>612</v>
      </c>
      <c r="C45" s="523" t="s">
        <v>1286</v>
      </c>
      <c r="D45" s="426" t="s">
        <v>617</v>
      </c>
      <c r="E45" s="426" t="s">
        <v>686</v>
      </c>
      <c r="F45" s="440">
        <v>14.97</v>
      </c>
      <c r="G45" s="441" t="s">
        <v>701</v>
      </c>
      <c r="H45" s="428">
        <v>1</v>
      </c>
      <c r="I45" s="530">
        <f t="shared" si="0"/>
        <v>14.97</v>
      </c>
      <c r="J45" s="289"/>
      <c r="K45" s="540"/>
      <c r="L45" s="530"/>
      <c r="M45" s="285"/>
    </row>
    <row r="46" spans="1:13" ht="14.25" hidden="1" customHeight="1" x14ac:dyDescent="0.25">
      <c r="A46" s="284"/>
      <c r="B46" s="529" t="s">
        <v>612</v>
      </c>
      <c r="C46" s="523" t="s">
        <v>1286</v>
      </c>
      <c r="D46" s="426" t="s">
        <v>622</v>
      </c>
      <c r="E46" s="426" t="s">
        <v>686</v>
      </c>
      <c r="F46" s="440">
        <v>28.46</v>
      </c>
      <c r="G46" s="441" t="s">
        <v>701</v>
      </c>
      <c r="H46" s="428">
        <v>1</v>
      </c>
      <c r="I46" s="530">
        <f t="shared" si="0"/>
        <v>28.46</v>
      </c>
      <c r="J46" s="289"/>
      <c r="K46" s="540"/>
      <c r="L46" s="530"/>
      <c r="M46" s="285"/>
    </row>
    <row r="47" spans="1:13" ht="14.25" customHeight="1" x14ac:dyDescent="0.25">
      <c r="A47" s="284"/>
      <c r="B47" s="529" t="s">
        <v>612</v>
      </c>
      <c r="C47" s="523" t="s">
        <v>1286</v>
      </c>
      <c r="D47" s="426" t="s">
        <v>623</v>
      </c>
      <c r="E47" s="426" t="s">
        <v>1214</v>
      </c>
      <c r="F47" s="440">
        <v>7.06</v>
      </c>
      <c r="G47" s="441" t="s">
        <v>701</v>
      </c>
      <c r="H47" s="428">
        <v>1</v>
      </c>
      <c r="I47" s="530">
        <f t="shared" si="0"/>
        <v>7.06</v>
      </c>
      <c r="J47" s="289"/>
      <c r="K47" s="540"/>
      <c r="L47" s="530"/>
      <c r="M47" s="285"/>
    </row>
    <row r="48" spans="1:13" ht="14.25" hidden="1" customHeight="1" x14ac:dyDescent="0.25">
      <c r="A48" s="284"/>
      <c r="B48" s="531" t="s">
        <v>612</v>
      </c>
      <c r="C48" s="523" t="s">
        <v>1286</v>
      </c>
      <c r="D48" s="431" t="s">
        <v>630</v>
      </c>
      <c r="E48" s="431" t="s">
        <v>686</v>
      </c>
      <c r="F48" s="440">
        <v>18.87</v>
      </c>
      <c r="G48" s="441" t="s">
        <v>701</v>
      </c>
      <c r="H48" s="428">
        <v>1</v>
      </c>
      <c r="I48" s="530">
        <f t="shared" si="0"/>
        <v>18.87</v>
      </c>
      <c r="J48" s="289"/>
      <c r="K48" s="540"/>
      <c r="L48" s="530"/>
      <c r="M48" s="285"/>
    </row>
    <row r="49" spans="1:13" ht="14.25" customHeight="1" x14ac:dyDescent="0.25">
      <c r="A49" s="284"/>
      <c r="B49" s="529" t="s">
        <v>612</v>
      </c>
      <c r="C49" s="523" t="s">
        <v>1286</v>
      </c>
      <c r="D49" s="426" t="s">
        <v>631</v>
      </c>
      <c r="E49" s="426" t="s">
        <v>1214</v>
      </c>
      <c r="F49" s="440">
        <v>4.8499999999999996</v>
      </c>
      <c r="G49" s="441" t="s">
        <v>701</v>
      </c>
      <c r="H49" s="428">
        <v>1</v>
      </c>
      <c r="I49" s="530">
        <f t="shared" si="0"/>
        <v>4.8499999999999996</v>
      </c>
      <c r="J49" s="289"/>
      <c r="K49" s="540"/>
      <c r="L49" s="530"/>
      <c r="M49" s="285"/>
    </row>
    <row r="50" spans="1:13" ht="14.25" hidden="1" customHeight="1" x14ac:dyDescent="0.25">
      <c r="A50" s="284"/>
      <c r="B50" s="529" t="s">
        <v>612</v>
      </c>
      <c r="C50" s="523" t="s">
        <v>1286</v>
      </c>
      <c r="D50" s="426" t="s">
        <v>624</v>
      </c>
      <c r="E50" s="426" t="s">
        <v>686</v>
      </c>
      <c r="F50" s="440">
        <v>18.850000000000001</v>
      </c>
      <c r="G50" s="441" t="s">
        <v>701</v>
      </c>
      <c r="H50" s="428">
        <v>1</v>
      </c>
      <c r="I50" s="530">
        <f t="shared" si="0"/>
        <v>18.850000000000001</v>
      </c>
      <c r="J50" s="289"/>
      <c r="K50" s="540"/>
      <c r="L50" s="530"/>
      <c r="M50" s="285"/>
    </row>
    <row r="51" spans="1:13" ht="14.25" customHeight="1" x14ac:dyDescent="0.25">
      <c r="A51" s="284"/>
      <c r="B51" s="529" t="s">
        <v>612</v>
      </c>
      <c r="C51" s="523" t="s">
        <v>1286</v>
      </c>
      <c r="D51" s="426" t="s">
        <v>625</v>
      </c>
      <c r="E51" s="426" t="s">
        <v>1214</v>
      </c>
      <c r="F51" s="440">
        <v>4.8499999999999996</v>
      </c>
      <c r="G51" s="441" t="s">
        <v>701</v>
      </c>
      <c r="H51" s="428">
        <v>1</v>
      </c>
      <c r="I51" s="530">
        <f t="shared" si="0"/>
        <v>4.8499999999999996</v>
      </c>
      <c r="J51" s="289"/>
      <c r="K51" s="540"/>
      <c r="L51" s="530"/>
      <c r="M51" s="285"/>
    </row>
    <row r="52" spans="1:13" ht="14.25" hidden="1" customHeight="1" x14ac:dyDescent="0.25">
      <c r="A52" s="284"/>
      <c r="B52" s="529" t="s">
        <v>612</v>
      </c>
      <c r="C52" s="523" t="s">
        <v>1286</v>
      </c>
      <c r="D52" s="426" t="s">
        <v>626</v>
      </c>
      <c r="E52" s="426" t="s">
        <v>686</v>
      </c>
      <c r="F52" s="440">
        <v>18.850000000000001</v>
      </c>
      <c r="G52" s="441" t="s">
        <v>701</v>
      </c>
      <c r="H52" s="428">
        <v>1</v>
      </c>
      <c r="I52" s="530">
        <f t="shared" si="0"/>
        <v>18.850000000000001</v>
      </c>
      <c r="J52" s="289"/>
      <c r="K52" s="540"/>
      <c r="L52" s="530"/>
      <c r="M52" s="285"/>
    </row>
    <row r="53" spans="1:13" ht="14.25" customHeight="1" x14ac:dyDescent="0.25">
      <c r="A53" s="284"/>
      <c r="B53" s="529" t="s">
        <v>612</v>
      </c>
      <c r="C53" s="523" t="s">
        <v>1286</v>
      </c>
      <c r="D53" s="426" t="s">
        <v>627</v>
      </c>
      <c r="E53" s="426" t="s">
        <v>1214</v>
      </c>
      <c r="F53" s="440">
        <v>4.8499999999999996</v>
      </c>
      <c r="G53" s="441" t="s">
        <v>701</v>
      </c>
      <c r="H53" s="428">
        <v>1</v>
      </c>
      <c r="I53" s="530">
        <f t="shared" si="0"/>
        <v>4.8499999999999996</v>
      </c>
      <c r="J53" s="289"/>
      <c r="K53" s="540"/>
      <c r="L53" s="530"/>
      <c r="M53" s="285"/>
    </row>
    <row r="54" spans="1:13" ht="14.25" hidden="1" customHeight="1" x14ac:dyDescent="0.25">
      <c r="A54" s="284"/>
      <c r="B54" s="529" t="s">
        <v>612</v>
      </c>
      <c r="C54" s="523" t="s">
        <v>1287</v>
      </c>
      <c r="D54" s="426" t="s">
        <v>614</v>
      </c>
      <c r="E54" s="426" t="s">
        <v>1214</v>
      </c>
      <c r="F54" s="440">
        <v>24.87</v>
      </c>
      <c r="G54" s="441" t="s">
        <v>701</v>
      </c>
      <c r="H54" s="428">
        <v>1</v>
      </c>
      <c r="I54" s="530">
        <f t="shared" si="0"/>
        <v>24.87</v>
      </c>
      <c r="J54" s="289"/>
      <c r="K54" s="540"/>
      <c r="L54" s="530"/>
      <c r="M54" s="285"/>
    </row>
    <row r="55" spans="1:13" ht="14.25" hidden="1" customHeight="1" x14ac:dyDescent="0.25">
      <c r="A55" s="284"/>
      <c r="B55" s="529" t="s">
        <v>612</v>
      </c>
      <c r="C55" s="523" t="s">
        <v>1287</v>
      </c>
      <c r="D55" s="426" t="s">
        <v>615</v>
      </c>
      <c r="E55" s="426" t="s">
        <v>1214</v>
      </c>
      <c r="F55" s="440">
        <v>31.03</v>
      </c>
      <c r="G55" s="441" t="s">
        <v>701</v>
      </c>
      <c r="H55" s="428">
        <v>1</v>
      </c>
      <c r="I55" s="530">
        <f t="shared" si="0"/>
        <v>31.03</v>
      </c>
      <c r="J55" s="289"/>
      <c r="K55" s="540"/>
      <c r="L55" s="530"/>
      <c r="M55" s="285"/>
    </row>
    <row r="56" spans="1:13" ht="14.25" hidden="1" customHeight="1" x14ac:dyDescent="0.25">
      <c r="A56" s="284"/>
      <c r="B56" s="529" t="s">
        <v>612</v>
      </c>
      <c r="C56" s="523" t="s">
        <v>1287</v>
      </c>
      <c r="D56" s="426" t="s">
        <v>616</v>
      </c>
      <c r="E56" s="426" t="s">
        <v>1214</v>
      </c>
      <c r="F56" s="440">
        <v>3.4</v>
      </c>
      <c r="G56" s="441" t="s">
        <v>701</v>
      </c>
      <c r="H56" s="428">
        <v>1</v>
      </c>
      <c r="I56" s="530">
        <f t="shared" si="0"/>
        <v>3.4</v>
      </c>
      <c r="J56" s="289"/>
      <c r="K56" s="540"/>
      <c r="L56" s="530"/>
      <c r="M56" s="285"/>
    </row>
    <row r="57" spans="1:13" ht="14.25" hidden="1" customHeight="1" x14ac:dyDescent="0.25">
      <c r="A57" s="284"/>
      <c r="B57" s="529" t="s">
        <v>612</v>
      </c>
      <c r="C57" s="523" t="s">
        <v>1287</v>
      </c>
      <c r="D57" s="426" t="s">
        <v>618</v>
      </c>
      <c r="E57" s="426" t="s">
        <v>693</v>
      </c>
      <c r="F57" s="440">
        <v>28.39</v>
      </c>
      <c r="G57" s="441"/>
      <c r="H57" s="428">
        <v>1</v>
      </c>
      <c r="I57" s="530">
        <f t="shared" si="0"/>
        <v>28.39</v>
      </c>
      <c r="J57" s="289"/>
      <c r="K57" s="540"/>
      <c r="L57" s="530"/>
      <c r="M57" s="285"/>
    </row>
    <row r="58" spans="1:13" ht="14.25" hidden="1" customHeight="1" x14ac:dyDescent="0.25">
      <c r="A58" s="284"/>
      <c r="B58" s="529" t="s">
        <v>612</v>
      </c>
      <c r="C58" s="523" t="s">
        <v>1287</v>
      </c>
      <c r="D58" s="426" t="s">
        <v>689</v>
      </c>
      <c r="E58" s="426" t="s">
        <v>694</v>
      </c>
      <c r="F58" s="440">
        <v>21.53</v>
      </c>
      <c r="G58" s="441" t="s">
        <v>701</v>
      </c>
      <c r="H58" s="428">
        <v>1</v>
      </c>
      <c r="I58" s="530">
        <f t="shared" si="0"/>
        <v>21.53</v>
      </c>
      <c r="J58" s="289"/>
      <c r="K58" s="540"/>
      <c r="L58" s="530"/>
      <c r="M58" s="285"/>
    </row>
    <row r="59" spans="1:13" ht="14.25" hidden="1" customHeight="1" x14ac:dyDescent="0.25">
      <c r="A59" s="284"/>
      <c r="B59" s="529" t="s">
        <v>612</v>
      </c>
      <c r="C59" s="523" t="s">
        <v>1287</v>
      </c>
      <c r="D59" s="426" t="s">
        <v>619</v>
      </c>
      <c r="E59" s="426" t="s">
        <v>1214</v>
      </c>
      <c r="F59" s="440">
        <v>15.72</v>
      </c>
      <c r="G59" s="441" t="s">
        <v>701</v>
      </c>
      <c r="H59" s="428">
        <v>1</v>
      </c>
      <c r="I59" s="530">
        <f t="shared" si="0"/>
        <v>15.72</v>
      </c>
      <c r="J59" s="289"/>
      <c r="K59" s="540"/>
      <c r="L59" s="530"/>
      <c r="M59" s="285"/>
    </row>
    <row r="60" spans="1:13" ht="14.25" customHeight="1" x14ac:dyDescent="0.25">
      <c r="A60" s="284"/>
      <c r="B60" s="529" t="s">
        <v>612</v>
      </c>
      <c r="C60" s="523" t="s">
        <v>1287</v>
      </c>
      <c r="D60" s="426" t="s">
        <v>620</v>
      </c>
      <c r="E60" s="426" t="s">
        <v>1214</v>
      </c>
      <c r="F60" s="440">
        <v>7.59</v>
      </c>
      <c r="G60" s="441" t="s">
        <v>701</v>
      </c>
      <c r="H60" s="428">
        <v>1</v>
      </c>
      <c r="I60" s="530">
        <f t="shared" si="0"/>
        <v>7.59</v>
      </c>
      <c r="J60" s="289"/>
      <c r="K60" s="540"/>
      <c r="L60" s="530"/>
      <c r="M60" s="285"/>
    </row>
    <row r="61" spans="1:13" ht="14.25" customHeight="1" x14ac:dyDescent="0.25">
      <c r="A61" s="284"/>
      <c r="B61" s="529" t="s">
        <v>612</v>
      </c>
      <c r="C61" s="523" t="s">
        <v>1287</v>
      </c>
      <c r="D61" s="426" t="s">
        <v>621</v>
      </c>
      <c r="E61" s="426" t="s">
        <v>1214</v>
      </c>
      <c r="F61" s="440">
        <v>4.22</v>
      </c>
      <c r="G61" s="441" t="s">
        <v>701</v>
      </c>
      <c r="H61" s="428">
        <v>1</v>
      </c>
      <c r="I61" s="530">
        <f t="shared" si="0"/>
        <v>4.22</v>
      </c>
      <c r="J61" s="289"/>
      <c r="K61" s="540"/>
      <c r="L61" s="530"/>
      <c r="M61" s="285"/>
    </row>
    <row r="62" spans="1:13" ht="14.25" hidden="1" customHeight="1" x14ac:dyDescent="0.25">
      <c r="A62" s="284"/>
      <c r="B62" s="529" t="s">
        <v>612</v>
      </c>
      <c r="C62" s="523" t="s">
        <v>1287</v>
      </c>
      <c r="D62" s="426" t="s">
        <v>617</v>
      </c>
      <c r="E62" s="426" t="s">
        <v>686</v>
      </c>
      <c r="F62" s="440">
        <v>12.36</v>
      </c>
      <c r="G62" s="441" t="s">
        <v>701</v>
      </c>
      <c r="H62" s="428">
        <v>1</v>
      </c>
      <c r="I62" s="530">
        <f t="shared" si="0"/>
        <v>12.36</v>
      </c>
      <c r="J62" s="289"/>
      <c r="K62" s="540"/>
      <c r="L62" s="530"/>
      <c r="M62" s="285"/>
    </row>
    <row r="63" spans="1:13" ht="14.25" hidden="1" customHeight="1" x14ac:dyDescent="0.25">
      <c r="A63" s="284"/>
      <c r="B63" s="529" t="s">
        <v>612</v>
      </c>
      <c r="C63" s="523" t="s">
        <v>1287</v>
      </c>
      <c r="D63" s="426" t="s">
        <v>622</v>
      </c>
      <c r="E63" s="426" t="s">
        <v>686</v>
      </c>
      <c r="F63" s="440">
        <v>27.24</v>
      </c>
      <c r="G63" s="441" t="s">
        <v>701</v>
      </c>
      <c r="H63" s="428">
        <v>1</v>
      </c>
      <c r="I63" s="530">
        <f t="shared" si="0"/>
        <v>27.24</v>
      </c>
      <c r="J63" s="289"/>
      <c r="K63" s="540"/>
      <c r="L63" s="530"/>
      <c r="M63" s="285"/>
    </row>
    <row r="64" spans="1:13" ht="14.25" customHeight="1" x14ac:dyDescent="0.25">
      <c r="A64" s="284"/>
      <c r="B64" s="529" t="s">
        <v>612</v>
      </c>
      <c r="C64" s="523" t="s">
        <v>1287</v>
      </c>
      <c r="D64" s="426" t="s">
        <v>623</v>
      </c>
      <c r="E64" s="426" t="s">
        <v>1214</v>
      </c>
      <c r="F64" s="440">
        <v>7.54</v>
      </c>
      <c r="G64" s="441" t="s">
        <v>701</v>
      </c>
      <c r="H64" s="428">
        <v>1</v>
      </c>
      <c r="I64" s="530">
        <f t="shared" si="0"/>
        <v>7.54</v>
      </c>
      <c r="J64" s="289"/>
      <c r="K64" s="540"/>
      <c r="L64" s="530"/>
      <c r="M64" s="285"/>
    </row>
    <row r="65" spans="1:13" ht="14.25" hidden="1" customHeight="1" x14ac:dyDescent="0.25">
      <c r="A65" s="284"/>
      <c r="B65" s="529" t="s">
        <v>612</v>
      </c>
      <c r="C65" s="523" t="s">
        <v>1287</v>
      </c>
      <c r="D65" s="426" t="s">
        <v>624</v>
      </c>
      <c r="E65" s="426" t="s">
        <v>686</v>
      </c>
      <c r="F65" s="440">
        <v>18.87</v>
      </c>
      <c r="G65" s="441" t="s">
        <v>701</v>
      </c>
      <c r="H65" s="428">
        <v>1</v>
      </c>
      <c r="I65" s="530">
        <f t="shared" si="0"/>
        <v>18.87</v>
      </c>
      <c r="J65" s="289"/>
      <c r="K65" s="540"/>
      <c r="L65" s="530"/>
      <c r="M65" s="285"/>
    </row>
    <row r="66" spans="1:13" ht="14.25" customHeight="1" x14ac:dyDescent="0.25">
      <c r="A66" s="284"/>
      <c r="B66" s="529" t="s">
        <v>612</v>
      </c>
      <c r="C66" s="523" t="s">
        <v>1287</v>
      </c>
      <c r="D66" s="426" t="s">
        <v>625</v>
      </c>
      <c r="E66" s="426" t="s">
        <v>1214</v>
      </c>
      <c r="F66" s="440">
        <v>4.8499999999999996</v>
      </c>
      <c r="G66" s="441" t="s">
        <v>701</v>
      </c>
      <c r="H66" s="428">
        <v>1</v>
      </c>
      <c r="I66" s="530">
        <f t="shared" si="0"/>
        <v>4.8499999999999996</v>
      </c>
      <c r="J66" s="289"/>
      <c r="K66" s="540"/>
      <c r="L66" s="530"/>
      <c r="M66" s="285"/>
    </row>
    <row r="67" spans="1:13" ht="14.25" hidden="1" customHeight="1" x14ac:dyDescent="0.25">
      <c r="A67" s="284"/>
      <c r="B67" s="529" t="s">
        <v>612</v>
      </c>
      <c r="C67" s="523" t="s">
        <v>1287</v>
      </c>
      <c r="D67" s="426" t="s">
        <v>626</v>
      </c>
      <c r="E67" s="426" t="s">
        <v>686</v>
      </c>
      <c r="F67" s="440">
        <v>18.87</v>
      </c>
      <c r="G67" s="441" t="s">
        <v>701</v>
      </c>
      <c r="H67" s="428">
        <v>1</v>
      </c>
      <c r="I67" s="530">
        <f t="shared" si="0"/>
        <v>18.87</v>
      </c>
      <c r="J67" s="289"/>
      <c r="K67" s="540"/>
      <c r="L67" s="530"/>
      <c r="M67" s="285"/>
    </row>
    <row r="68" spans="1:13" ht="14.25" customHeight="1" x14ac:dyDescent="0.25">
      <c r="A68" s="284"/>
      <c r="B68" s="529" t="s">
        <v>612</v>
      </c>
      <c r="C68" s="523" t="s">
        <v>1287</v>
      </c>
      <c r="D68" s="426" t="s">
        <v>627</v>
      </c>
      <c r="E68" s="426" t="s">
        <v>1214</v>
      </c>
      <c r="F68" s="440">
        <v>4.8499999999999996</v>
      </c>
      <c r="G68" s="441" t="s">
        <v>701</v>
      </c>
      <c r="H68" s="428">
        <v>1</v>
      </c>
      <c r="I68" s="530">
        <f t="shared" si="0"/>
        <v>4.8499999999999996</v>
      </c>
      <c r="J68" s="289"/>
      <c r="K68" s="540"/>
      <c r="L68" s="530"/>
      <c r="M68" s="285"/>
    </row>
    <row r="69" spans="1:13" ht="14.25" hidden="1" customHeight="1" x14ac:dyDescent="0.25">
      <c r="A69" s="284"/>
      <c r="B69" s="529" t="s">
        <v>612</v>
      </c>
      <c r="C69" s="523" t="s">
        <v>1288</v>
      </c>
      <c r="D69" s="426" t="s">
        <v>614</v>
      </c>
      <c r="E69" s="426" t="s">
        <v>1214</v>
      </c>
      <c r="F69" s="440">
        <v>27.02</v>
      </c>
      <c r="G69" s="441" t="s">
        <v>701</v>
      </c>
      <c r="H69" s="428">
        <v>1</v>
      </c>
      <c r="I69" s="530">
        <f t="shared" si="0"/>
        <v>27.02</v>
      </c>
      <c r="J69" s="289"/>
      <c r="K69" s="540"/>
      <c r="L69" s="530"/>
      <c r="M69" s="285"/>
    </row>
    <row r="70" spans="1:13" ht="14.25" hidden="1" customHeight="1" x14ac:dyDescent="0.25">
      <c r="A70" s="284"/>
      <c r="B70" s="529" t="s">
        <v>612</v>
      </c>
      <c r="C70" s="523" t="s">
        <v>1288</v>
      </c>
      <c r="D70" s="426" t="s">
        <v>615</v>
      </c>
      <c r="E70" s="426" t="s">
        <v>1214</v>
      </c>
      <c r="F70" s="440">
        <v>37.68</v>
      </c>
      <c r="G70" s="441" t="s">
        <v>701</v>
      </c>
      <c r="H70" s="428">
        <v>1</v>
      </c>
      <c r="I70" s="530">
        <f t="shared" si="0"/>
        <v>37.68</v>
      </c>
      <c r="J70" s="289"/>
      <c r="K70" s="540"/>
      <c r="L70" s="530"/>
      <c r="M70" s="285"/>
    </row>
    <row r="71" spans="1:13" ht="14.25" hidden="1" customHeight="1" x14ac:dyDescent="0.25">
      <c r="A71" s="284"/>
      <c r="B71" s="529" t="s">
        <v>612</v>
      </c>
      <c r="C71" s="523" t="s">
        <v>1288</v>
      </c>
      <c r="D71" s="426" t="s">
        <v>616</v>
      </c>
      <c r="E71" s="426" t="s">
        <v>1214</v>
      </c>
      <c r="F71" s="440">
        <v>3.77</v>
      </c>
      <c r="G71" s="441" t="s">
        <v>701</v>
      </c>
      <c r="H71" s="428">
        <v>1</v>
      </c>
      <c r="I71" s="530">
        <f t="shared" si="0"/>
        <v>3.77</v>
      </c>
      <c r="J71" s="289"/>
      <c r="K71" s="540"/>
      <c r="L71" s="530"/>
      <c r="M71" s="285"/>
    </row>
    <row r="72" spans="1:13" ht="14.25" hidden="1" customHeight="1" x14ac:dyDescent="0.25">
      <c r="A72" s="284"/>
      <c r="B72" s="529" t="s">
        <v>612</v>
      </c>
      <c r="C72" s="523" t="s">
        <v>1288</v>
      </c>
      <c r="D72" s="426" t="s">
        <v>618</v>
      </c>
      <c r="E72" s="426" t="s">
        <v>693</v>
      </c>
      <c r="F72" s="440">
        <v>32.299999999999997</v>
      </c>
      <c r="G72" s="441"/>
      <c r="H72" s="428">
        <v>1</v>
      </c>
      <c r="I72" s="530">
        <f t="shared" si="0"/>
        <v>32.299999999999997</v>
      </c>
      <c r="J72" s="289"/>
      <c r="K72" s="540"/>
      <c r="L72" s="530"/>
      <c r="M72" s="285"/>
    </row>
    <row r="73" spans="1:13" ht="14.25" hidden="1" customHeight="1" x14ac:dyDescent="0.25">
      <c r="A73" s="284"/>
      <c r="B73" s="529" t="s">
        <v>612</v>
      </c>
      <c r="C73" s="523" t="s">
        <v>1288</v>
      </c>
      <c r="D73" s="426" t="s">
        <v>689</v>
      </c>
      <c r="E73" s="426" t="s">
        <v>694</v>
      </c>
      <c r="F73" s="440">
        <v>23.17</v>
      </c>
      <c r="G73" s="441" t="s">
        <v>701</v>
      </c>
      <c r="H73" s="428">
        <v>1</v>
      </c>
      <c r="I73" s="530">
        <f t="shared" si="0"/>
        <v>23.17</v>
      </c>
      <c r="J73" s="289"/>
      <c r="K73" s="540"/>
      <c r="L73" s="530"/>
      <c r="M73" s="285"/>
    </row>
    <row r="74" spans="1:13" ht="14.25" hidden="1" customHeight="1" x14ac:dyDescent="0.25">
      <c r="A74" s="284"/>
      <c r="B74" s="529" t="s">
        <v>612</v>
      </c>
      <c r="C74" s="523" t="s">
        <v>1288</v>
      </c>
      <c r="D74" s="426" t="s">
        <v>619</v>
      </c>
      <c r="E74" s="426" t="s">
        <v>1214</v>
      </c>
      <c r="F74" s="440">
        <v>15.19</v>
      </c>
      <c r="G74" s="441" t="s">
        <v>701</v>
      </c>
      <c r="H74" s="428">
        <v>1</v>
      </c>
      <c r="I74" s="530">
        <f t="shared" si="0"/>
        <v>15.19</v>
      </c>
      <c r="J74" s="289"/>
      <c r="K74" s="540"/>
      <c r="L74" s="530"/>
      <c r="M74" s="285"/>
    </row>
    <row r="75" spans="1:13" ht="14.25" customHeight="1" x14ac:dyDescent="0.25">
      <c r="A75" s="284"/>
      <c r="B75" s="529" t="s">
        <v>612</v>
      </c>
      <c r="C75" s="523" t="s">
        <v>1288</v>
      </c>
      <c r="D75" s="426" t="s">
        <v>620</v>
      </c>
      <c r="E75" s="426" t="s">
        <v>1214</v>
      </c>
      <c r="F75" s="440">
        <v>9.49</v>
      </c>
      <c r="G75" s="441" t="s">
        <v>701</v>
      </c>
      <c r="H75" s="428">
        <v>1</v>
      </c>
      <c r="I75" s="530">
        <f t="shared" si="0"/>
        <v>9.49</v>
      </c>
      <c r="J75" s="289"/>
      <c r="K75" s="540"/>
      <c r="L75" s="530"/>
      <c r="M75" s="285"/>
    </row>
    <row r="76" spans="1:13" ht="14.25" hidden="1" customHeight="1" x14ac:dyDescent="0.25">
      <c r="A76" s="284"/>
      <c r="B76" s="529" t="s">
        <v>612</v>
      </c>
      <c r="C76" s="523" t="s">
        <v>1288</v>
      </c>
      <c r="D76" s="426" t="s">
        <v>640</v>
      </c>
      <c r="E76" s="426" t="s">
        <v>1214</v>
      </c>
      <c r="F76" s="440">
        <v>6.96</v>
      </c>
      <c r="G76" s="441" t="s">
        <v>701</v>
      </c>
      <c r="H76" s="428">
        <v>1</v>
      </c>
      <c r="I76" s="530">
        <f t="shared" si="0"/>
        <v>6.96</v>
      </c>
      <c r="J76" s="289"/>
      <c r="K76" s="540"/>
      <c r="L76" s="530"/>
      <c r="M76" s="285"/>
    </row>
    <row r="77" spans="1:13" ht="14.25" customHeight="1" x14ac:dyDescent="0.25">
      <c r="A77" s="284"/>
      <c r="B77" s="529" t="s">
        <v>612</v>
      </c>
      <c r="C77" s="523" t="s">
        <v>1288</v>
      </c>
      <c r="D77" s="426" t="s">
        <v>621</v>
      </c>
      <c r="E77" s="426" t="s">
        <v>1214</v>
      </c>
      <c r="F77" s="440">
        <v>4.09</v>
      </c>
      <c r="G77" s="441" t="s">
        <v>701</v>
      </c>
      <c r="H77" s="428">
        <v>1</v>
      </c>
      <c r="I77" s="530">
        <f t="shared" si="0"/>
        <v>4.09</v>
      </c>
      <c r="J77" s="289"/>
      <c r="K77" s="540"/>
      <c r="L77" s="530"/>
      <c r="M77" s="285"/>
    </row>
    <row r="78" spans="1:13" ht="14.25" hidden="1" customHeight="1" x14ac:dyDescent="0.25">
      <c r="A78" s="284"/>
      <c r="B78" s="529" t="s">
        <v>612</v>
      </c>
      <c r="C78" s="523" t="s">
        <v>1288</v>
      </c>
      <c r="D78" s="426" t="s">
        <v>617</v>
      </c>
      <c r="E78" s="426" t="s">
        <v>686</v>
      </c>
      <c r="F78" s="440">
        <v>14.99</v>
      </c>
      <c r="G78" s="441" t="s">
        <v>701</v>
      </c>
      <c r="H78" s="428">
        <v>1</v>
      </c>
      <c r="I78" s="530">
        <f t="shared" ref="I78:I150" si="5">F78*H78</f>
        <v>14.99</v>
      </c>
      <c r="J78" s="289"/>
      <c r="K78" s="540"/>
      <c r="L78" s="530"/>
      <c r="M78" s="285"/>
    </row>
    <row r="79" spans="1:13" ht="14.25" hidden="1" customHeight="1" x14ac:dyDescent="0.25">
      <c r="A79" s="284"/>
      <c r="B79" s="529" t="s">
        <v>612</v>
      </c>
      <c r="C79" s="523" t="s">
        <v>1288</v>
      </c>
      <c r="D79" s="426" t="s">
        <v>622</v>
      </c>
      <c r="E79" s="426" t="s">
        <v>686</v>
      </c>
      <c r="F79" s="440">
        <v>28.46</v>
      </c>
      <c r="G79" s="441" t="s">
        <v>701</v>
      </c>
      <c r="H79" s="428">
        <v>1</v>
      </c>
      <c r="I79" s="530">
        <f t="shared" si="5"/>
        <v>28.46</v>
      </c>
      <c r="J79" s="289"/>
      <c r="K79" s="540"/>
      <c r="L79" s="530"/>
      <c r="M79" s="285"/>
    </row>
    <row r="80" spans="1:13" ht="14.25" customHeight="1" x14ac:dyDescent="0.25">
      <c r="A80" s="284"/>
      <c r="B80" s="529" t="s">
        <v>612</v>
      </c>
      <c r="C80" s="523" t="s">
        <v>1288</v>
      </c>
      <c r="D80" s="426" t="s">
        <v>623</v>
      </c>
      <c r="E80" s="426" t="s">
        <v>1214</v>
      </c>
      <c r="F80" s="440">
        <v>7.06</v>
      </c>
      <c r="G80" s="441" t="s">
        <v>701</v>
      </c>
      <c r="H80" s="428">
        <v>1</v>
      </c>
      <c r="I80" s="530">
        <f t="shared" si="5"/>
        <v>7.06</v>
      </c>
      <c r="J80" s="289"/>
      <c r="K80" s="540"/>
      <c r="L80" s="530"/>
      <c r="M80" s="285"/>
    </row>
    <row r="81" spans="1:13" ht="14.25" hidden="1" customHeight="1" x14ac:dyDescent="0.25">
      <c r="A81" s="284"/>
      <c r="B81" s="529" t="s">
        <v>612</v>
      </c>
      <c r="C81" s="523" t="s">
        <v>1288</v>
      </c>
      <c r="D81" s="426" t="s">
        <v>630</v>
      </c>
      <c r="E81" s="426" t="s">
        <v>686</v>
      </c>
      <c r="F81" s="440">
        <v>18.87</v>
      </c>
      <c r="G81" s="441" t="s">
        <v>701</v>
      </c>
      <c r="H81" s="428">
        <v>1</v>
      </c>
      <c r="I81" s="530">
        <f t="shared" si="5"/>
        <v>18.87</v>
      </c>
      <c r="J81" s="289"/>
      <c r="K81" s="540"/>
      <c r="L81" s="530"/>
      <c r="M81" s="285"/>
    </row>
    <row r="82" spans="1:13" ht="14.25" customHeight="1" x14ac:dyDescent="0.25">
      <c r="A82" s="284"/>
      <c r="B82" s="529" t="s">
        <v>612</v>
      </c>
      <c r="C82" s="523" t="s">
        <v>1288</v>
      </c>
      <c r="D82" s="426" t="s">
        <v>631</v>
      </c>
      <c r="E82" s="426" t="s">
        <v>1214</v>
      </c>
      <c r="F82" s="440">
        <v>4.8499999999999996</v>
      </c>
      <c r="G82" s="441" t="s">
        <v>701</v>
      </c>
      <c r="H82" s="428">
        <v>1</v>
      </c>
      <c r="I82" s="530">
        <f t="shared" si="5"/>
        <v>4.8499999999999996</v>
      </c>
      <c r="J82" s="289"/>
      <c r="K82" s="540"/>
      <c r="L82" s="530"/>
      <c r="M82" s="285"/>
    </row>
    <row r="83" spans="1:13" ht="14.25" hidden="1" customHeight="1" x14ac:dyDescent="0.25">
      <c r="A83" s="284"/>
      <c r="B83" s="529" t="s">
        <v>612</v>
      </c>
      <c r="C83" s="523" t="s">
        <v>1288</v>
      </c>
      <c r="D83" s="426" t="s">
        <v>624</v>
      </c>
      <c r="E83" s="426" t="s">
        <v>686</v>
      </c>
      <c r="F83" s="440">
        <v>18.850000000000001</v>
      </c>
      <c r="G83" s="441" t="s">
        <v>701</v>
      </c>
      <c r="H83" s="428">
        <v>1</v>
      </c>
      <c r="I83" s="530">
        <f t="shared" si="5"/>
        <v>18.850000000000001</v>
      </c>
      <c r="J83" s="289"/>
      <c r="K83" s="540"/>
      <c r="L83" s="530"/>
      <c r="M83" s="285"/>
    </row>
    <row r="84" spans="1:13" ht="14.25" customHeight="1" x14ac:dyDescent="0.25">
      <c r="A84" s="284"/>
      <c r="B84" s="529" t="s">
        <v>612</v>
      </c>
      <c r="C84" s="523" t="s">
        <v>1288</v>
      </c>
      <c r="D84" s="426" t="s">
        <v>625</v>
      </c>
      <c r="E84" s="426" t="s">
        <v>1214</v>
      </c>
      <c r="F84" s="440">
        <v>4.8499999999999996</v>
      </c>
      <c r="G84" s="441" t="s">
        <v>701</v>
      </c>
      <c r="H84" s="428">
        <v>1</v>
      </c>
      <c r="I84" s="530">
        <f t="shared" si="5"/>
        <v>4.8499999999999996</v>
      </c>
      <c r="J84" s="289"/>
      <c r="K84" s="540"/>
      <c r="L84" s="530"/>
      <c r="M84" s="285"/>
    </row>
    <row r="85" spans="1:13" ht="14.25" hidden="1" customHeight="1" x14ac:dyDescent="0.25">
      <c r="A85" s="284"/>
      <c r="B85" s="529" t="s">
        <v>612</v>
      </c>
      <c r="C85" s="523" t="s">
        <v>1288</v>
      </c>
      <c r="D85" s="426" t="s">
        <v>626</v>
      </c>
      <c r="E85" s="426" t="s">
        <v>686</v>
      </c>
      <c r="F85" s="440">
        <v>18.850000000000001</v>
      </c>
      <c r="G85" s="441" t="s">
        <v>701</v>
      </c>
      <c r="H85" s="428">
        <v>1</v>
      </c>
      <c r="I85" s="530">
        <f t="shared" si="5"/>
        <v>18.850000000000001</v>
      </c>
      <c r="J85" s="289"/>
      <c r="K85" s="540"/>
      <c r="L85" s="530"/>
      <c r="M85" s="285"/>
    </row>
    <row r="86" spans="1:13" ht="14.25" customHeight="1" x14ac:dyDescent="0.25">
      <c r="A86" s="284"/>
      <c r="B86" s="529" t="s">
        <v>612</v>
      </c>
      <c r="C86" s="523" t="s">
        <v>1288</v>
      </c>
      <c r="D86" s="426" t="s">
        <v>627</v>
      </c>
      <c r="E86" s="426" t="s">
        <v>1214</v>
      </c>
      <c r="F86" s="440">
        <v>4.8499999999999996</v>
      </c>
      <c r="G86" s="441" t="s">
        <v>701</v>
      </c>
      <c r="H86" s="428">
        <v>1</v>
      </c>
      <c r="I86" s="530">
        <f t="shared" si="5"/>
        <v>4.8499999999999996</v>
      </c>
      <c r="J86" s="289"/>
      <c r="K86" s="540"/>
      <c r="L86" s="530"/>
      <c r="M86" s="285"/>
    </row>
    <row r="87" spans="1:13" ht="14.25" hidden="1" customHeight="1" x14ac:dyDescent="0.25">
      <c r="A87" s="284"/>
      <c r="B87" s="529" t="s">
        <v>612</v>
      </c>
      <c r="C87" s="523" t="s">
        <v>635</v>
      </c>
      <c r="D87" s="426" t="s">
        <v>611</v>
      </c>
      <c r="E87" s="426" t="s">
        <v>195</v>
      </c>
      <c r="F87" s="440">
        <v>1083.6099999999999</v>
      </c>
      <c r="G87" s="441" t="s">
        <v>701</v>
      </c>
      <c r="H87" s="428">
        <v>1</v>
      </c>
      <c r="I87" s="530">
        <f t="shared" si="5"/>
        <v>1083.6099999999999</v>
      </c>
      <c r="J87" s="289"/>
      <c r="K87" s="540"/>
      <c r="L87" s="530"/>
      <c r="M87" s="285"/>
    </row>
    <row r="88" spans="1:13" ht="14.25" hidden="1" customHeight="1" x14ac:dyDescent="0.25">
      <c r="A88" s="284"/>
      <c r="B88" s="529" t="s">
        <v>612</v>
      </c>
      <c r="C88" s="523" t="s">
        <v>635</v>
      </c>
      <c r="D88" s="426" t="s">
        <v>637</v>
      </c>
      <c r="E88" s="426" t="s">
        <v>197</v>
      </c>
      <c r="F88" s="440">
        <f>26.49+1.5*0.18*20</f>
        <v>31.89</v>
      </c>
      <c r="G88" s="441" t="s">
        <v>701</v>
      </c>
      <c r="H88" s="428">
        <v>1</v>
      </c>
      <c r="I88" s="530">
        <f t="shared" si="5"/>
        <v>31.89</v>
      </c>
      <c r="J88" s="289"/>
      <c r="K88" s="540"/>
      <c r="L88" s="530"/>
      <c r="M88" s="285"/>
    </row>
    <row r="89" spans="1:13" ht="14.25" hidden="1" customHeight="1" x14ac:dyDescent="0.25">
      <c r="A89" s="284"/>
      <c r="B89" s="529" t="s">
        <v>612</v>
      </c>
      <c r="C89" s="523" t="s">
        <v>635</v>
      </c>
      <c r="D89" s="426" t="s">
        <v>638</v>
      </c>
      <c r="E89" s="426" t="s">
        <v>1214</v>
      </c>
      <c r="F89" s="440">
        <v>8.01</v>
      </c>
      <c r="G89" s="441" t="s">
        <v>701</v>
      </c>
      <c r="H89" s="428">
        <v>1</v>
      </c>
      <c r="I89" s="530">
        <f t="shared" si="5"/>
        <v>8.01</v>
      </c>
      <c r="J89" s="289"/>
      <c r="K89" s="540"/>
      <c r="L89" s="530"/>
      <c r="M89" s="285"/>
    </row>
    <row r="90" spans="1:13" ht="14.25" hidden="1" customHeight="1" x14ac:dyDescent="0.25">
      <c r="A90" s="284"/>
      <c r="B90" s="529" t="s">
        <v>612</v>
      </c>
      <c r="C90" s="523" t="s">
        <v>635</v>
      </c>
      <c r="D90" s="426" t="s">
        <v>610</v>
      </c>
      <c r="E90" s="426" t="s">
        <v>1214</v>
      </c>
      <c r="F90" s="440">
        <v>34.340000000000003</v>
      </c>
      <c r="G90" s="441" t="s">
        <v>701</v>
      </c>
      <c r="H90" s="428">
        <v>1</v>
      </c>
      <c r="I90" s="530">
        <f t="shared" si="5"/>
        <v>34.340000000000003</v>
      </c>
      <c r="J90" s="289"/>
      <c r="K90" s="540"/>
      <c r="L90" s="530"/>
      <c r="M90" s="285"/>
    </row>
    <row r="91" spans="1:13" ht="14.25" hidden="1" customHeight="1" x14ac:dyDescent="0.25">
      <c r="A91" s="284"/>
      <c r="B91" s="529" t="s">
        <v>612</v>
      </c>
      <c r="C91" s="523" t="s">
        <v>635</v>
      </c>
      <c r="D91" s="426" t="s">
        <v>689</v>
      </c>
      <c r="E91" s="426" t="s">
        <v>694</v>
      </c>
      <c r="F91" s="440">
        <v>65.86</v>
      </c>
      <c r="G91" s="441" t="s">
        <v>701</v>
      </c>
      <c r="H91" s="428">
        <v>1</v>
      </c>
      <c r="I91" s="530">
        <f t="shared" si="5"/>
        <v>65.86</v>
      </c>
      <c r="J91" s="289"/>
      <c r="K91" s="540"/>
      <c r="L91" s="530"/>
      <c r="M91" s="285"/>
    </row>
    <row r="92" spans="1:13" ht="14.25" hidden="1" customHeight="1" x14ac:dyDescent="0.25">
      <c r="A92" s="284"/>
      <c r="B92" s="529" t="s">
        <v>612</v>
      </c>
      <c r="C92" s="523" t="s">
        <v>635</v>
      </c>
      <c r="D92" s="426" t="s">
        <v>609</v>
      </c>
      <c r="E92" s="426"/>
      <c r="F92" s="440">
        <v>8.99</v>
      </c>
      <c r="G92" s="441"/>
      <c r="H92" s="428">
        <v>1</v>
      </c>
      <c r="I92" s="530">
        <f t="shared" si="5"/>
        <v>8.99</v>
      </c>
      <c r="J92" s="289"/>
      <c r="K92" s="540"/>
      <c r="L92" s="530"/>
      <c r="M92" s="285"/>
    </row>
    <row r="93" spans="1:13" ht="14.25" hidden="1" customHeight="1" x14ac:dyDescent="0.25">
      <c r="A93" s="284"/>
      <c r="B93" s="529" t="s">
        <v>612</v>
      </c>
      <c r="C93" s="523" t="s">
        <v>635</v>
      </c>
      <c r="D93" s="426" t="s">
        <v>636</v>
      </c>
      <c r="E93" s="426" t="s">
        <v>1214</v>
      </c>
      <c r="F93" s="440">
        <v>24.93</v>
      </c>
      <c r="G93" s="441" t="s">
        <v>701</v>
      </c>
      <c r="H93" s="428">
        <v>1</v>
      </c>
      <c r="I93" s="530">
        <f t="shared" si="5"/>
        <v>24.93</v>
      </c>
      <c r="J93" s="289"/>
      <c r="K93" s="540"/>
      <c r="L93" s="530"/>
      <c r="M93" s="285"/>
    </row>
    <row r="94" spans="1:13" ht="14.25" hidden="1" customHeight="1" x14ac:dyDescent="0.25">
      <c r="A94" s="284"/>
      <c r="B94" s="529" t="s">
        <v>612</v>
      </c>
      <c r="C94" s="523" t="s">
        <v>1289</v>
      </c>
      <c r="D94" s="426" t="s">
        <v>614</v>
      </c>
      <c r="E94" s="426" t="s">
        <v>1214</v>
      </c>
      <c r="F94" s="440">
        <v>24.98</v>
      </c>
      <c r="G94" s="441" t="s">
        <v>701</v>
      </c>
      <c r="H94" s="428">
        <v>1</v>
      </c>
      <c r="I94" s="530">
        <f t="shared" si="5"/>
        <v>24.98</v>
      </c>
      <c r="J94" s="289"/>
      <c r="K94" s="540"/>
      <c r="L94" s="530"/>
      <c r="M94" s="285"/>
    </row>
    <row r="95" spans="1:13" ht="14.25" hidden="1" customHeight="1" x14ac:dyDescent="0.25">
      <c r="A95" s="284"/>
      <c r="B95" s="529" t="s">
        <v>612</v>
      </c>
      <c r="C95" s="523" t="s">
        <v>1289</v>
      </c>
      <c r="D95" s="426" t="s">
        <v>615</v>
      </c>
      <c r="E95" s="426" t="s">
        <v>1214</v>
      </c>
      <c r="F95" s="440">
        <v>25.92</v>
      </c>
      <c r="G95" s="441" t="s">
        <v>701</v>
      </c>
      <c r="H95" s="428">
        <v>1</v>
      </c>
      <c r="I95" s="530">
        <f t="shared" si="5"/>
        <v>25.92</v>
      </c>
      <c r="J95" s="289"/>
      <c r="K95" s="540"/>
      <c r="L95" s="530"/>
      <c r="M95" s="285"/>
    </row>
    <row r="96" spans="1:13" ht="14.25" hidden="1" customHeight="1" x14ac:dyDescent="0.25">
      <c r="A96" s="284"/>
      <c r="B96" s="529" t="s">
        <v>612</v>
      </c>
      <c r="C96" s="523" t="s">
        <v>1289</v>
      </c>
      <c r="D96" s="426" t="s">
        <v>616</v>
      </c>
      <c r="E96" s="426" t="s">
        <v>1214</v>
      </c>
      <c r="F96" s="440">
        <v>2.86</v>
      </c>
      <c r="G96" s="441" t="s">
        <v>701</v>
      </c>
      <c r="H96" s="428">
        <v>1</v>
      </c>
      <c r="I96" s="530">
        <f t="shared" si="5"/>
        <v>2.86</v>
      </c>
      <c r="J96" s="289"/>
      <c r="K96" s="540"/>
      <c r="L96" s="530"/>
      <c r="M96" s="285"/>
    </row>
    <row r="97" spans="1:13" ht="14.25" hidden="1" customHeight="1" x14ac:dyDescent="0.25">
      <c r="A97" s="284"/>
      <c r="B97" s="529" t="s">
        <v>612</v>
      </c>
      <c r="C97" s="523" t="s">
        <v>1289</v>
      </c>
      <c r="D97" s="426" t="s">
        <v>618</v>
      </c>
      <c r="E97" s="426" t="s">
        <v>693</v>
      </c>
      <c r="F97" s="440">
        <v>29.26</v>
      </c>
      <c r="G97" s="441"/>
      <c r="H97" s="428">
        <v>1</v>
      </c>
      <c r="I97" s="530">
        <f t="shared" si="5"/>
        <v>29.26</v>
      </c>
      <c r="J97" s="289"/>
      <c r="K97" s="540"/>
      <c r="L97" s="530"/>
      <c r="M97" s="285"/>
    </row>
    <row r="98" spans="1:13" ht="14.25" hidden="1" customHeight="1" x14ac:dyDescent="0.25">
      <c r="A98" s="284"/>
      <c r="B98" s="529" t="s">
        <v>612</v>
      </c>
      <c r="C98" s="523" t="s">
        <v>1289</v>
      </c>
      <c r="D98" s="426" t="s">
        <v>689</v>
      </c>
      <c r="E98" s="426" t="s">
        <v>694</v>
      </c>
      <c r="F98" s="440">
        <v>22.93</v>
      </c>
      <c r="G98" s="441" t="s">
        <v>701</v>
      </c>
      <c r="H98" s="428">
        <v>1</v>
      </c>
      <c r="I98" s="530">
        <f t="shared" si="5"/>
        <v>22.93</v>
      </c>
      <c r="J98" s="289"/>
      <c r="K98" s="540"/>
      <c r="L98" s="530"/>
      <c r="M98" s="285"/>
    </row>
    <row r="99" spans="1:13" ht="14.25" hidden="1" customHeight="1" x14ac:dyDescent="0.25">
      <c r="A99" s="284"/>
      <c r="B99" s="529" t="s">
        <v>612</v>
      </c>
      <c r="C99" s="523" t="s">
        <v>1289</v>
      </c>
      <c r="D99" s="426" t="s">
        <v>619</v>
      </c>
      <c r="E99" s="426" t="s">
        <v>1214</v>
      </c>
      <c r="F99" s="440">
        <v>16.3</v>
      </c>
      <c r="G99" s="441" t="s">
        <v>701</v>
      </c>
      <c r="H99" s="428">
        <v>1</v>
      </c>
      <c r="I99" s="530">
        <f t="shared" si="5"/>
        <v>16.3</v>
      </c>
      <c r="J99" s="289"/>
      <c r="K99" s="540"/>
      <c r="L99" s="530"/>
      <c r="M99" s="285"/>
    </row>
    <row r="100" spans="1:13" ht="14.25" customHeight="1" x14ac:dyDescent="0.25">
      <c r="A100" s="284"/>
      <c r="B100" s="529" t="s">
        <v>612</v>
      </c>
      <c r="C100" s="523" t="s">
        <v>1289</v>
      </c>
      <c r="D100" s="426" t="s">
        <v>620</v>
      </c>
      <c r="E100" s="426" t="s">
        <v>1214</v>
      </c>
      <c r="F100" s="440">
        <v>4.3099999999999996</v>
      </c>
      <c r="G100" s="441" t="s">
        <v>701</v>
      </c>
      <c r="H100" s="428">
        <v>1</v>
      </c>
      <c r="I100" s="530">
        <f t="shared" si="5"/>
        <v>4.3099999999999996</v>
      </c>
      <c r="J100" s="289"/>
      <c r="K100" s="540"/>
      <c r="L100" s="530"/>
      <c r="M100" s="285"/>
    </row>
    <row r="101" spans="1:13" ht="14.25" customHeight="1" x14ac:dyDescent="0.25">
      <c r="A101" s="284"/>
      <c r="B101" s="529" t="s">
        <v>612</v>
      </c>
      <c r="C101" s="523" t="s">
        <v>1289</v>
      </c>
      <c r="D101" s="426" t="s">
        <v>621</v>
      </c>
      <c r="E101" s="426" t="s">
        <v>1214</v>
      </c>
      <c r="F101" s="440">
        <v>5.28</v>
      </c>
      <c r="G101" s="441" t="s">
        <v>701</v>
      </c>
      <c r="H101" s="428">
        <v>1</v>
      </c>
      <c r="I101" s="530">
        <f t="shared" si="5"/>
        <v>5.28</v>
      </c>
      <c r="J101" s="289"/>
      <c r="K101" s="540"/>
      <c r="L101" s="530"/>
      <c r="M101" s="285"/>
    </row>
    <row r="102" spans="1:13" ht="14.25" hidden="1" customHeight="1" x14ac:dyDescent="0.25">
      <c r="A102" s="284"/>
      <c r="B102" s="529" t="s">
        <v>612</v>
      </c>
      <c r="C102" s="523" t="s">
        <v>1289</v>
      </c>
      <c r="D102" s="426" t="s">
        <v>617</v>
      </c>
      <c r="E102" s="426" t="s">
        <v>686</v>
      </c>
      <c r="F102" s="440">
        <v>10.66</v>
      </c>
      <c r="G102" s="441" t="s">
        <v>701</v>
      </c>
      <c r="H102" s="428">
        <v>1</v>
      </c>
      <c r="I102" s="530">
        <f t="shared" si="5"/>
        <v>10.66</v>
      </c>
      <c r="J102" s="289"/>
      <c r="K102" s="540"/>
      <c r="L102" s="530"/>
      <c r="M102" s="285"/>
    </row>
    <row r="103" spans="1:13" ht="14.25" hidden="1" customHeight="1" x14ac:dyDescent="0.25">
      <c r="A103" s="284"/>
      <c r="B103" s="529" t="s">
        <v>612</v>
      </c>
      <c r="C103" s="523" t="s">
        <v>1289</v>
      </c>
      <c r="D103" s="426" t="s">
        <v>622</v>
      </c>
      <c r="E103" s="426" t="s">
        <v>686</v>
      </c>
      <c r="F103" s="440">
        <v>19.489999999999998</v>
      </c>
      <c r="G103" s="441" t="s">
        <v>701</v>
      </c>
      <c r="H103" s="428">
        <v>1</v>
      </c>
      <c r="I103" s="530">
        <f t="shared" si="5"/>
        <v>19.489999999999998</v>
      </c>
      <c r="J103" s="289"/>
      <c r="K103" s="540"/>
      <c r="L103" s="530"/>
      <c r="M103" s="285"/>
    </row>
    <row r="104" spans="1:13" ht="14.25" customHeight="1" x14ac:dyDescent="0.25">
      <c r="A104" s="284"/>
      <c r="B104" s="529" t="s">
        <v>612</v>
      </c>
      <c r="C104" s="523" t="s">
        <v>1289</v>
      </c>
      <c r="D104" s="426" t="s">
        <v>623</v>
      </c>
      <c r="E104" s="426" t="s">
        <v>1214</v>
      </c>
      <c r="F104" s="440">
        <v>7.37</v>
      </c>
      <c r="G104" s="441" t="s">
        <v>701</v>
      </c>
      <c r="H104" s="428">
        <v>1</v>
      </c>
      <c r="I104" s="530">
        <f t="shared" si="5"/>
        <v>7.37</v>
      </c>
      <c r="J104" s="289"/>
      <c r="K104" s="540"/>
      <c r="L104" s="530"/>
      <c r="M104" s="285"/>
    </row>
    <row r="105" spans="1:13" ht="14.25" hidden="1" customHeight="1" x14ac:dyDescent="0.25">
      <c r="A105" s="284"/>
      <c r="B105" s="529" t="s">
        <v>612</v>
      </c>
      <c r="C105" s="523" t="s">
        <v>1289</v>
      </c>
      <c r="D105" s="426" t="s">
        <v>624</v>
      </c>
      <c r="E105" s="426" t="s">
        <v>686</v>
      </c>
      <c r="F105" s="440">
        <v>18.7</v>
      </c>
      <c r="G105" s="441" t="s">
        <v>701</v>
      </c>
      <c r="H105" s="428">
        <v>1</v>
      </c>
      <c r="I105" s="530">
        <f t="shared" si="5"/>
        <v>18.7</v>
      </c>
      <c r="J105" s="289"/>
      <c r="K105" s="540"/>
      <c r="L105" s="530"/>
      <c r="M105" s="285"/>
    </row>
    <row r="106" spans="1:13" ht="14.25" customHeight="1" x14ac:dyDescent="0.25">
      <c r="A106" s="284"/>
      <c r="B106" s="529" t="s">
        <v>612</v>
      </c>
      <c r="C106" s="523" t="s">
        <v>1289</v>
      </c>
      <c r="D106" s="426" t="s">
        <v>625</v>
      </c>
      <c r="E106" s="426" t="s">
        <v>1214</v>
      </c>
      <c r="F106" s="440">
        <v>4.76</v>
      </c>
      <c r="G106" s="441" t="s">
        <v>701</v>
      </c>
      <c r="H106" s="428">
        <v>1</v>
      </c>
      <c r="I106" s="530">
        <f t="shared" si="5"/>
        <v>4.76</v>
      </c>
      <c r="J106" s="289"/>
      <c r="K106" s="540"/>
      <c r="L106" s="530"/>
      <c r="M106" s="285"/>
    </row>
    <row r="107" spans="1:13" ht="14.25" hidden="1" customHeight="1" x14ac:dyDescent="0.25">
      <c r="A107" s="284"/>
      <c r="B107" s="529" t="s">
        <v>612</v>
      </c>
      <c r="C107" s="523" t="s">
        <v>1289</v>
      </c>
      <c r="D107" s="426" t="s">
        <v>626</v>
      </c>
      <c r="E107" s="426" t="s">
        <v>686</v>
      </c>
      <c r="F107" s="440">
        <v>18.71</v>
      </c>
      <c r="G107" s="441" t="s">
        <v>701</v>
      </c>
      <c r="H107" s="428">
        <v>1</v>
      </c>
      <c r="I107" s="530">
        <f t="shared" si="5"/>
        <v>18.71</v>
      </c>
      <c r="J107" s="289"/>
      <c r="K107" s="540"/>
      <c r="L107" s="530"/>
      <c r="M107" s="285"/>
    </row>
    <row r="108" spans="1:13" ht="14.25" customHeight="1" x14ac:dyDescent="0.25">
      <c r="A108" s="284"/>
      <c r="B108" s="529" t="s">
        <v>612</v>
      </c>
      <c r="C108" s="523" t="s">
        <v>1289</v>
      </c>
      <c r="D108" s="426" t="s">
        <v>627</v>
      </c>
      <c r="E108" s="426" t="s">
        <v>1214</v>
      </c>
      <c r="F108" s="440">
        <v>4.78</v>
      </c>
      <c r="G108" s="441" t="s">
        <v>701</v>
      </c>
      <c r="H108" s="428">
        <v>1</v>
      </c>
      <c r="I108" s="530">
        <f t="shared" si="5"/>
        <v>4.78</v>
      </c>
      <c r="J108" s="289"/>
      <c r="K108" s="540"/>
      <c r="L108" s="530"/>
      <c r="M108" s="285"/>
    </row>
    <row r="109" spans="1:13" ht="14.25" hidden="1" customHeight="1" x14ac:dyDescent="0.25">
      <c r="A109" s="284"/>
      <c r="B109" s="529" t="s">
        <v>1279</v>
      </c>
      <c r="C109" s="523" t="s">
        <v>1290</v>
      </c>
      <c r="D109" s="426" t="s">
        <v>614</v>
      </c>
      <c r="E109" s="426" t="s">
        <v>1214</v>
      </c>
      <c r="F109" s="440">
        <v>21.3</v>
      </c>
      <c r="G109" s="441" t="s">
        <v>701</v>
      </c>
      <c r="H109" s="428">
        <v>1</v>
      </c>
      <c r="I109" s="530">
        <f t="shared" si="5"/>
        <v>21.3</v>
      </c>
      <c r="J109" s="289"/>
      <c r="K109" s="540"/>
      <c r="L109" s="530"/>
      <c r="M109" s="285"/>
    </row>
    <row r="110" spans="1:13" ht="14.25" hidden="1" customHeight="1" x14ac:dyDescent="0.25">
      <c r="A110" s="284"/>
      <c r="B110" s="529" t="s">
        <v>1279</v>
      </c>
      <c r="C110" s="523" t="s">
        <v>1290</v>
      </c>
      <c r="D110" s="426" t="s">
        <v>615</v>
      </c>
      <c r="E110" s="426" t="s">
        <v>1214</v>
      </c>
      <c r="F110" s="440">
        <v>24.95</v>
      </c>
      <c r="G110" s="441" t="s">
        <v>701</v>
      </c>
      <c r="H110" s="428">
        <v>1</v>
      </c>
      <c r="I110" s="530">
        <f t="shared" si="5"/>
        <v>24.95</v>
      </c>
      <c r="J110" s="289"/>
      <c r="K110" s="540"/>
      <c r="L110" s="530"/>
      <c r="M110" s="285"/>
    </row>
    <row r="111" spans="1:13" ht="14.25" hidden="1" customHeight="1" x14ac:dyDescent="0.25">
      <c r="A111" s="284"/>
      <c r="B111" s="529" t="s">
        <v>1279</v>
      </c>
      <c r="C111" s="523" t="s">
        <v>1290</v>
      </c>
      <c r="D111" s="426" t="s">
        <v>616</v>
      </c>
      <c r="E111" s="426" t="s">
        <v>1214</v>
      </c>
      <c r="F111" s="440">
        <v>3.5</v>
      </c>
      <c r="G111" s="441" t="s">
        <v>701</v>
      </c>
      <c r="H111" s="428">
        <v>1</v>
      </c>
      <c r="I111" s="530">
        <f t="shared" si="5"/>
        <v>3.5</v>
      </c>
      <c r="J111" s="289"/>
      <c r="K111" s="540"/>
      <c r="L111" s="530"/>
      <c r="M111" s="285"/>
    </row>
    <row r="112" spans="1:13" ht="14.25" hidden="1" customHeight="1" x14ac:dyDescent="0.25">
      <c r="A112" s="284"/>
      <c r="B112" s="529" t="s">
        <v>1279</v>
      </c>
      <c r="C112" s="523" t="s">
        <v>1290</v>
      </c>
      <c r="D112" s="426" t="s">
        <v>618</v>
      </c>
      <c r="E112" s="426" t="s">
        <v>693</v>
      </c>
      <c r="F112" s="440">
        <v>37.4</v>
      </c>
      <c r="G112" s="441"/>
      <c r="H112" s="428">
        <v>1</v>
      </c>
      <c r="I112" s="530">
        <f t="shared" si="5"/>
        <v>37.4</v>
      </c>
      <c r="J112" s="289"/>
      <c r="K112" s="540"/>
      <c r="L112" s="530"/>
      <c r="M112" s="285"/>
    </row>
    <row r="113" spans="1:13" ht="14.25" hidden="1" customHeight="1" x14ac:dyDescent="0.25">
      <c r="A113" s="284"/>
      <c r="B113" s="529" t="s">
        <v>1279</v>
      </c>
      <c r="C113" s="523" t="s">
        <v>1290</v>
      </c>
      <c r="D113" s="426" t="s">
        <v>689</v>
      </c>
      <c r="E113" s="426" t="s">
        <v>694</v>
      </c>
      <c r="F113" s="440">
        <v>19.48</v>
      </c>
      <c r="G113" s="441" t="s">
        <v>701</v>
      </c>
      <c r="H113" s="428">
        <v>1</v>
      </c>
      <c r="I113" s="530">
        <f t="shared" si="5"/>
        <v>19.48</v>
      </c>
      <c r="J113" s="289"/>
      <c r="K113" s="540"/>
      <c r="L113" s="530"/>
      <c r="M113" s="285"/>
    </row>
    <row r="114" spans="1:13" ht="14.25" hidden="1" customHeight="1" x14ac:dyDescent="0.25">
      <c r="A114" s="284"/>
      <c r="B114" s="529" t="s">
        <v>1279</v>
      </c>
      <c r="C114" s="523" t="s">
        <v>1290</v>
      </c>
      <c r="D114" s="426" t="s">
        <v>619</v>
      </c>
      <c r="E114" s="426" t="s">
        <v>1214</v>
      </c>
      <c r="F114" s="440">
        <v>13.44</v>
      </c>
      <c r="G114" s="441" t="s">
        <v>701</v>
      </c>
      <c r="H114" s="428">
        <v>1</v>
      </c>
      <c r="I114" s="530">
        <f t="shared" si="5"/>
        <v>13.44</v>
      </c>
      <c r="J114" s="289"/>
      <c r="K114" s="540"/>
      <c r="L114" s="530"/>
      <c r="M114" s="285"/>
    </row>
    <row r="115" spans="1:13" ht="14.25" customHeight="1" x14ac:dyDescent="0.25">
      <c r="A115" s="284"/>
      <c r="B115" s="529" t="s">
        <v>1279</v>
      </c>
      <c r="C115" s="523" t="s">
        <v>1290</v>
      </c>
      <c r="D115" s="426" t="s">
        <v>620</v>
      </c>
      <c r="E115" s="426" t="s">
        <v>1214</v>
      </c>
      <c r="F115" s="440">
        <v>9.19</v>
      </c>
      <c r="G115" s="441" t="s">
        <v>701</v>
      </c>
      <c r="H115" s="428">
        <v>1</v>
      </c>
      <c r="I115" s="530">
        <f t="shared" si="5"/>
        <v>9.19</v>
      </c>
      <c r="J115" s="289"/>
      <c r="K115" s="540"/>
      <c r="L115" s="530"/>
      <c r="M115" s="285"/>
    </row>
    <row r="116" spans="1:13" ht="14.25" hidden="1" customHeight="1" x14ac:dyDescent="0.25">
      <c r="A116" s="284"/>
      <c r="B116" s="529" t="s">
        <v>1279</v>
      </c>
      <c r="C116" s="523" t="s">
        <v>1290</v>
      </c>
      <c r="D116" s="426" t="s">
        <v>639</v>
      </c>
      <c r="E116" s="426" t="s">
        <v>1214</v>
      </c>
      <c r="F116" s="440">
        <v>3.08</v>
      </c>
      <c r="G116" s="441" t="s">
        <v>701</v>
      </c>
      <c r="H116" s="428">
        <v>1</v>
      </c>
      <c r="I116" s="530">
        <f t="shared" si="5"/>
        <v>3.08</v>
      </c>
      <c r="J116" s="289"/>
      <c r="K116" s="540"/>
      <c r="L116" s="530"/>
      <c r="M116" s="285"/>
    </row>
    <row r="117" spans="1:13" ht="14.25" hidden="1" customHeight="1" x14ac:dyDescent="0.25">
      <c r="A117" s="284"/>
      <c r="B117" s="529" t="s">
        <v>1279</v>
      </c>
      <c r="C117" s="523" t="s">
        <v>1290</v>
      </c>
      <c r="D117" s="426" t="s">
        <v>640</v>
      </c>
      <c r="E117" s="426" t="s">
        <v>1214</v>
      </c>
      <c r="F117" s="440">
        <v>8.4499999999999993</v>
      </c>
      <c r="G117" s="441" t="s">
        <v>701</v>
      </c>
      <c r="H117" s="428">
        <v>1</v>
      </c>
      <c r="I117" s="530">
        <f t="shared" si="5"/>
        <v>8.4499999999999993</v>
      </c>
      <c r="J117" s="289"/>
      <c r="K117" s="540"/>
      <c r="L117" s="530"/>
      <c r="M117" s="285"/>
    </row>
    <row r="118" spans="1:13" ht="14.25" hidden="1" customHeight="1" x14ac:dyDescent="0.25">
      <c r="A118" s="284"/>
      <c r="B118" s="529" t="s">
        <v>1279</v>
      </c>
      <c r="C118" s="523" t="s">
        <v>1290</v>
      </c>
      <c r="D118" s="426" t="s">
        <v>617</v>
      </c>
      <c r="E118" s="426" t="s">
        <v>686</v>
      </c>
      <c r="F118" s="440">
        <v>18.690000000000001</v>
      </c>
      <c r="G118" s="441" t="s">
        <v>701</v>
      </c>
      <c r="H118" s="428">
        <v>1</v>
      </c>
      <c r="I118" s="530">
        <f t="shared" si="5"/>
        <v>18.690000000000001</v>
      </c>
      <c r="J118" s="289"/>
      <c r="K118" s="540"/>
      <c r="L118" s="530"/>
      <c r="M118" s="285"/>
    </row>
    <row r="119" spans="1:13" ht="14.25" hidden="1" customHeight="1" x14ac:dyDescent="0.25">
      <c r="A119" s="284"/>
      <c r="B119" s="529" t="s">
        <v>1279</v>
      </c>
      <c r="C119" s="523" t="s">
        <v>1290</v>
      </c>
      <c r="D119" s="426" t="s">
        <v>626</v>
      </c>
      <c r="E119" s="426" t="s">
        <v>686</v>
      </c>
      <c r="F119" s="440">
        <v>15.83</v>
      </c>
      <c r="G119" s="441" t="s">
        <v>701</v>
      </c>
      <c r="H119" s="428">
        <v>1</v>
      </c>
      <c r="I119" s="530">
        <f t="shared" si="5"/>
        <v>15.83</v>
      </c>
      <c r="J119" s="289"/>
      <c r="K119" s="540"/>
      <c r="L119" s="530"/>
      <c r="M119" s="285"/>
    </row>
    <row r="120" spans="1:13" ht="14.25" customHeight="1" x14ac:dyDescent="0.25">
      <c r="A120" s="284"/>
      <c r="B120" s="529" t="s">
        <v>1279</v>
      </c>
      <c r="C120" s="523" t="s">
        <v>1290</v>
      </c>
      <c r="D120" s="426" t="s">
        <v>627</v>
      </c>
      <c r="E120" s="426" t="s">
        <v>1214</v>
      </c>
      <c r="F120" s="440">
        <v>4.3600000000000003</v>
      </c>
      <c r="G120" s="441" t="s">
        <v>701</v>
      </c>
      <c r="H120" s="428">
        <v>1</v>
      </c>
      <c r="I120" s="530">
        <f t="shared" si="5"/>
        <v>4.3600000000000003</v>
      </c>
      <c r="J120" s="289"/>
      <c r="K120" s="540"/>
      <c r="L120" s="530"/>
      <c r="M120" s="285"/>
    </row>
    <row r="121" spans="1:13" ht="14.25" hidden="1" customHeight="1" x14ac:dyDescent="0.25">
      <c r="A121" s="284"/>
      <c r="B121" s="529" t="s">
        <v>1279</v>
      </c>
      <c r="C121" s="523" t="s">
        <v>1290</v>
      </c>
      <c r="D121" s="929" t="s">
        <v>681</v>
      </c>
      <c r="E121" s="426" t="s">
        <v>686</v>
      </c>
      <c r="F121" s="440">
        <v>9.9499999999999993</v>
      </c>
      <c r="G121" s="441" t="s">
        <v>701</v>
      </c>
      <c r="H121" s="428">
        <v>1</v>
      </c>
      <c r="I121" s="530">
        <f t="shared" ref="I121:I129" si="6">F121*H121</f>
        <v>9.9499999999999993</v>
      </c>
      <c r="J121" s="289"/>
      <c r="K121" s="540"/>
      <c r="L121" s="530"/>
      <c r="M121" s="285"/>
    </row>
    <row r="122" spans="1:13" ht="14.25" customHeight="1" x14ac:dyDescent="0.25">
      <c r="A122" s="284"/>
      <c r="B122" s="529" t="s">
        <v>1279</v>
      </c>
      <c r="C122" s="523" t="s">
        <v>1290</v>
      </c>
      <c r="D122" s="929" t="s">
        <v>1282</v>
      </c>
      <c r="E122" s="426" t="s">
        <v>1214</v>
      </c>
      <c r="F122" s="440">
        <v>2.65</v>
      </c>
      <c r="G122" s="441" t="s">
        <v>701</v>
      </c>
      <c r="H122" s="428">
        <v>1</v>
      </c>
      <c r="I122" s="530">
        <f t="shared" si="6"/>
        <v>2.65</v>
      </c>
      <c r="J122" s="289"/>
      <c r="K122" s="540"/>
      <c r="L122" s="530"/>
      <c r="M122" s="285"/>
    </row>
    <row r="123" spans="1:13" ht="14.25" hidden="1" customHeight="1" x14ac:dyDescent="0.25">
      <c r="A123" s="284"/>
      <c r="B123" s="529" t="s">
        <v>1279</v>
      </c>
      <c r="C123" s="523" t="s">
        <v>1290</v>
      </c>
      <c r="D123" s="929" t="s">
        <v>1283</v>
      </c>
      <c r="E123" s="426" t="s">
        <v>686</v>
      </c>
      <c r="F123" s="440">
        <v>15.41</v>
      </c>
      <c r="G123" s="441" t="s">
        <v>701</v>
      </c>
      <c r="H123" s="428">
        <v>1</v>
      </c>
      <c r="I123" s="530">
        <f t="shared" si="6"/>
        <v>15.41</v>
      </c>
      <c r="J123" s="289"/>
      <c r="K123" s="540"/>
      <c r="L123" s="530"/>
      <c r="M123" s="285"/>
    </row>
    <row r="124" spans="1:13" ht="14.25" hidden="1" customHeight="1" x14ac:dyDescent="0.25">
      <c r="A124" s="284"/>
      <c r="B124" s="529" t="s">
        <v>1279</v>
      </c>
      <c r="C124" s="523" t="s">
        <v>1290</v>
      </c>
      <c r="D124" s="929" t="s">
        <v>675</v>
      </c>
      <c r="E124" s="426" t="s">
        <v>686</v>
      </c>
      <c r="F124" s="440">
        <v>32.67</v>
      </c>
      <c r="G124" s="441" t="s">
        <v>701</v>
      </c>
      <c r="H124" s="428">
        <v>1</v>
      </c>
      <c r="I124" s="530">
        <f t="shared" si="6"/>
        <v>32.67</v>
      </c>
      <c r="J124" s="289"/>
      <c r="K124" s="540"/>
      <c r="L124" s="530"/>
      <c r="M124" s="285"/>
    </row>
    <row r="125" spans="1:13" ht="14.25" customHeight="1" x14ac:dyDescent="0.25">
      <c r="A125" s="284"/>
      <c r="B125" s="529" t="s">
        <v>1279</v>
      </c>
      <c r="C125" s="523" t="s">
        <v>1290</v>
      </c>
      <c r="D125" s="929" t="s">
        <v>676</v>
      </c>
      <c r="E125" s="426" t="s">
        <v>1214</v>
      </c>
      <c r="F125" s="440">
        <v>9.58</v>
      </c>
      <c r="G125" s="441" t="s">
        <v>701</v>
      </c>
      <c r="H125" s="428">
        <v>1</v>
      </c>
      <c r="I125" s="530">
        <f t="shared" si="6"/>
        <v>9.58</v>
      </c>
      <c r="J125" s="289"/>
      <c r="K125" s="540"/>
      <c r="L125" s="530"/>
      <c r="M125" s="285"/>
    </row>
    <row r="126" spans="1:13" ht="14.25" hidden="1" customHeight="1" x14ac:dyDescent="0.25">
      <c r="A126" s="284"/>
      <c r="B126" s="529" t="s">
        <v>1279</v>
      </c>
      <c r="C126" s="523" t="s">
        <v>1290</v>
      </c>
      <c r="D126" s="929" t="s">
        <v>677</v>
      </c>
      <c r="E126" s="426" t="s">
        <v>686</v>
      </c>
      <c r="F126" s="440">
        <v>17.100000000000001</v>
      </c>
      <c r="G126" s="441" t="s">
        <v>701</v>
      </c>
      <c r="H126" s="428">
        <v>1</v>
      </c>
      <c r="I126" s="530">
        <f t="shared" si="6"/>
        <v>17.100000000000001</v>
      </c>
      <c r="J126" s="289"/>
      <c r="K126" s="540"/>
      <c r="L126" s="530"/>
      <c r="M126" s="285"/>
    </row>
    <row r="127" spans="1:13" ht="14.25" customHeight="1" x14ac:dyDescent="0.25">
      <c r="A127" s="284"/>
      <c r="B127" s="529" t="s">
        <v>1279</v>
      </c>
      <c r="C127" s="523" t="s">
        <v>1290</v>
      </c>
      <c r="D127" s="929" t="s">
        <v>678</v>
      </c>
      <c r="E127" s="426" t="s">
        <v>1214</v>
      </c>
      <c r="F127" s="440">
        <v>4.6399999999999997</v>
      </c>
      <c r="G127" s="441" t="s">
        <v>701</v>
      </c>
      <c r="H127" s="428">
        <v>1</v>
      </c>
      <c r="I127" s="530">
        <f t="shared" si="6"/>
        <v>4.6399999999999997</v>
      </c>
      <c r="J127" s="289"/>
      <c r="K127" s="540"/>
      <c r="L127" s="530"/>
      <c r="M127" s="285"/>
    </row>
    <row r="128" spans="1:13" ht="14.25" hidden="1" customHeight="1" x14ac:dyDescent="0.25">
      <c r="A128" s="284"/>
      <c r="B128" s="529" t="s">
        <v>1279</v>
      </c>
      <c r="C128" s="523" t="s">
        <v>1290</v>
      </c>
      <c r="D128" s="929" t="s">
        <v>679</v>
      </c>
      <c r="E128" s="426" t="s">
        <v>686</v>
      </c>
      <c r="F128" s="440">
        <v>17.100000000000001</v>
      </c>
      <c r="G128" s="441" t="s">
        <v>701</v>
      </c>
      <c r="H128" s="428">
        <v>1</v>
      </c>
      <c r="I128" s="530">
        <f t="shared" si="6"/>
        <v>17.100000000000001</v>
      </c>
      <c r="J128" s="289"/>
      <c r="K128" s="540"/>
      <c r="L128" s="530"/>
      <c r="M128" s="285"/>
    </row>
    <row r="129" spans="1:13" ht="14.25" customHeight="1" x14ac:dyDescent="0.25">
      <c r="A129" s="284"/>
      <c r="B129" s="529" t="s">
        <v>1279</v>
      </c>
      <c r="C129" s="523" t="s">
        <v>1290</v>
      </c>
      <c r="D129" s="929" t="s">
        <v>680</v>
      </c>
      <c r="E129" s="426" t="s">
        <v>1214</v>
      </c>
      <c r="F129" s="440">
        <v>4.6399999999999997</v>
      </c>
      <c r="G129" s="441" t="s">
        <v>701</v>
      </c>
      <c r="H129" s="428">
        <v>1</v>
      </c>
      <c r="I129" s="530">
        <f t="shared" si="6"/>
        <v>4.6399999999999997</v>
      </c>
      <c r="J129" s="289"/>
      <c r="K129" s="540"/>
      <c r="L129" s="530"/>
      <c r="M129" s="285"/>
    </row>
    <row r="130" spans="1:13" ht="14.25" hidden="1" customHeight="1" x14ac:dyDescent="0.25">
      <c r="A130" s="284"/>
      <c r="B130" s="529" t="s">
        <v>641</v>
      </c>
      <c r="C130" s="523" t="s">
        <v>1248</v>
      </c>
      <c r="D130" s="426" t="s">
        <v>614</v>
      </c>
      <c r="E130" s="426" t="s">
        <v>1214</v>
      </c>
      <c r="F130" s="440">
        <v>23.82</v>
      </c>
      <c r="G130" s="441" t="s">
        <v>701</v>
      </c>
      <c r="H130" s="428">
        <v>1</v>
      </c>
      <c r="I130" s="530">
        <f t="shared" si="5"/>
        <v>23.82</v>
      </c>
      <c r="J130" s="289"/>
      <c r="K130" s="540"/>
      <c r="L130" s="530"/>
      <c r="M130" s="285"/>
    </row>
    <row r="131" spans="1:13" ht="14.25" hidden="1" customHeight="1" x14ac:dyDescent="0.25">
      <c r="A131" s="284"/>
      <c r="B131" s="529" t="s">
        <v>641</v>
      </c>
      <c r="C131" s="523" t="s">
        <v>1248</v>
      </c>
      <c r="D131" s="426" t="s">
        <v>615</v>
      </c>
      <c r="E131" s="426" t="s">
        <v>1214</v>
      </c>
      <c r="F131" s="440">
        <v>27.05</v>
      </c>
      <c r="G131" s="441" t="s">
        <v>701</v>
      </c>
      <c r="H131" s="428">
        <v>1</v>
      </c>
      <c r="I131" s="530">
        <f t="shared" si="5"/>
        <v>27.05</v>
      </c>
      <c r="J131" s="289"/>
      <c r="K131" s="540"/>
      <c r="L131" s="530"/>
      <c r="M131" s="285"/>
    </row>
    <row r="132" spans="1:13" ht="14.25" hidden="1" customHeight="1" x14ac:dyDescent="0.25">
      <c r="A132" s="284"/>
      <c r="B132" s="529" t="s">
        <v>641</v>
      </c>
      <c r="C132" s="523" t="s">
        <v>1248</v>
      </c>
      <c r="D132" s="426" t="s">
        <v>616</v>
      </c>
      <c r="E132" s="426" t="s">
        <v>1214</v>
      </c>
      <c r="F132" s="440">
        <v>3.6</v>
      </c>
      <c r="G132" s="441"/>
      <c r="H132" s="428">
        <v>1</v>
      </c>
      <c r="I132" s="530">
        <f t="shared" si="5"/>
        <v>3.6</v>
      </c>
      <c r="J132" s="289"/>
      <c r="K132" s="540"/>
      <c r="L132" s="530"/>
      <c r="M132" s="285"/>
    </row>
    <row r="133" spans="1:13" ht="14.25" hidden="1" customHeight="1" x14ac:dyDescent="0.25">
      <c r="A133" s="284"/>
      <c r="B133" s="529" t="s">
        <v>641</v>
      </c>
      <c r="C133" s="523" t="s">
        <v>1248</v>
      </c>
      <c r="D133" s="426" t="s">
        <v>618</v>
      </c>
      <c r="E133" s="426" t="s">
        <v>693</v>
      </c>
      <c r="F133" s="440">
        <v>32.74</v>
      </c>
      <c r="G133" s="441" t="s">
        <v>701</v>
      </c>
      <c r="H133" s="428">
        <v>1</v>
      </c>
      <c r="I133" s="530">
        <f t="shared" si="5"/>
        <v>32.74</v>
      </c>
      <c r="J133" s="289"/>
      <c r="K133" s="540"/>
      <c r="L133" s="530"/>
      <c r="M133" s="285"/>
    </row>
    <row r="134" spans="1:13" ht="14.25" hidden="1" customHeight="1" x14ac:dyDescent="0.25">
      <c r="A134" s="284"/>
      <c r="B134" s="529" t="s">
        <v>641</v>
      </c>
      <c r="C134" s="523" t="s">
        <v>1248</v>
      </c>
      <c r="D134" s="426" t="s">
        <v>689</v>
      </c>
      <c r="E134" s="426" t="s">
        <v>694</v>
      </c>
      <c r="F134" s="440">
        <v>22.74</v>
      </c>
      <c r="G134" s="441" t="s">
        <v>701</v>
      </c>
      <c r="H134" s="428">
        <v>1</v>
      </c>
      <c r="I134" s="530">
        <f t="shared" si="5"/>
        <v>22.74</v>
      </c>
      <c r="J134" s="289"/>
      <c r="K134" s="540"/>
      <c r="L134" s="530"/>
      <c r="M134" s="285"/>
    </row>
    <row r="135" spans="1:13" ht="14.25" hidden="1" customHeight="1" x14ac:dyDescent="0.25">
      <c r="A135" s="284"/>
      <c r="B135" s="529" t="s">
        <v>641</v>
      </c>
      <c r="C135" s="523" t="s">
        <v>1248</v>
      </c>
      <c r="D135" s="426" t="s">
        <v>619</v>
      </c>
      <c r="E135" s="426" t="s">
        <v>1214</v>
      </c>
      <c r="F135" s="440">
        <v>11.27</v>
      </c>
      <c r="G135" s="441" t="s">
        <v>701</v>
      </c>
      <c r="H135" s="428">
        <v>1</v>
      </c>
      <c r="I135" s="530">
        <f t="shared" si="5"/>
        <v>11.27</v>
      </c>
      <c r="J135" s="289"/>
      <c r="K135" s="540"/>
      <c r="L135" s="530"/>
      <c r="M135" s="285"/>
    </row>
    <row r="136" spans="1:13" ht="14.25" customHeight="1" x14ac:dyDescent="0.25">
      <c r="A136" s="284"/>
      <c r="B136" s="529" t="s">
        <v>641</v>
      </c>
      <c r="C136" s="523" t="s">
        <v>1248</v>
      </c>
      <c r="D136" s="426" t="s">
        <v>620</v>
      </c>
      <c r="E136" s="426" t="s">
        <v>1214</v>
      </c>
      <c r="F136" s="440">
        <v>6.91</v>
      </c>
      <c r="G136" s="441" t="s">
        <v>701</v>
      </c>
      <c r="H136" s="428">
        <v>1</v>
      </c>
      <c r="I136" s="530">
        <f t="shared" si="5"/>
        <v>6.91</v>
      </c>
      <c r="J136" s="289"/>
      <c r="K136" s="540"/>
      <c r="L136" s="530"/>
      <c r="M136" s="285"/>
    </row>
    <row r="137" spans="1:13" ht="14.25" customHeight="1" x14ac:dyDescent="0.25">
      <c r="A137" s="284"/>
      <c r="B137" s="529" t="s">
        <v>641</v>
      </c>
      <c r="C137" s="523" t="s">
        <v>1248</v>
      </c>
      <c r="D137" s="426" t="s">
        <v>621</v>
      </c>
      <c r="E137" s="426" t="s">
        <v>1214</v>
      </c>
      <c r="F137" s="440">
        <v>7.74</v>
      </c>
      <c r="G137" s="441" t="s">
        <v>701</v>
      </c>
      <c r="H137" s="428">
        <v>1</v>
      </c>
      <c r="I137" s="530">
        <f t="shared" si="5"/>
        <v>7.74</v>
      </c>
      <c r="J137" s="289"/>
      <c r="K137" s="540"/>
      <c r="L137" s="530"/>
      <c r="M137" s="285"/>
    </row>
    <row r="138" spans="1:13" ht="14.25" hidden="1" customHeight="1" x14ac:dyDescent="0.25">
      <c r="A138" s="284"/>
      <c r="B138" s="529" t="s">
        <v>641</v>
      </c>
      <c r="C138" s="523" t="s">
        <v>1248</v>
      </c>
      <c r="D138" s="426" t="s">
        <v>617</v>
      </c>
      <c r="E138" s="426" t="s">
        <v>686</v>
      </c>
      <c r="F138" s="440">
        <v>10.34</v>
      </c>
      <c r="G138" s="441" t="s">
        <v>701</v>
      </c>
      <c r="H138" s="428">
        <v>1</v>
      </c>
      <c r="I138" s="530">
        <f t="shared" si="5"/>
        <v>10.34</v>
      </c>
      <c r="J138" s="289"/>
      <c r="K138" s="540"/>
      <c r="L138" s="530"/>
      <c r="M138" s="285"/>
    </row>
    <row r="139" spans="1:13" ht="14.25" hidden="1" customHeight="1" x14ac:dyDescent="0.25">
      <c r="A139" s="284"/>
      <c r="B139" s="529" t="s">
        <v>641</v>
      </c>
      <c r="C139" s="523" t="s">
        <v>1248</v>
      </c>
      <c r="D139" s="426" t="s">
        <v>622</v>
      </c>
      <c r="E139" s="426" t="s">
        <v>686</v>
      </c>
      <c r="F139" s="440">
        <v>27.56</v>
      </c>
      <c r="G139" s="441" t="s">
        <v>701</v>
      </c>
      <c r="H139" s="428">
        <v>1</v>
      </c>
      <c r="I139" s="530">
        <f t="shared" si="5"/>
        <v>27.56</v>
      </c>
      <c r="J139" s="289"/>
      <c r="K139" s="540"/>
      <c r="L139" s="530"/>
      <c r="M139" s="285"/>
    </row>
    <row r="140" spans="1:13" ht="14.25" customHeight="1" x14ac:dyDescent="0.25">
      <c r="A140" s="284"/>
      <c r="B140" s="529" t="s">
        <v>641</v>
      </c>
      <c r="C140" s="523" t="s">
        <v>1248</v>
      </c>
      <c r="D140" s="426" t="s">
        <v>623</v>
      </c>
      <c r="E140" s="426" t="s">
        <v>1214</v>
      </c>
      <c r="F140" s="440">
        <v>7.74</v>
      </c>
      <c r="G140" s="441" t="s">
        <v>701</v>
      </c>
      <c r="H140" s="428">
        <v>1</v>
      </c>
      <c r="I140" s="530">
        <f t="shared" si="5"/>
        <v>7.74</v>
      </c>
      <c r="J140" s="289"/>
      <c r="K140" s="540"/>
      <c r="L140" s="530"/>
      <c r="M140" s="285"/>
    </row>
    <row r="141" spans="1:13" ht="14.25" hidden="1" customHeight="1" x14ac:dyDescent="0.25">
      <c r="A141" s="284"/>
      <c r="B141" s="529" t="s">
        <v>641</v>
      </c>
      <c r="C141" s="523" t="s">
        <v>1248</v>
      </c>
      <c r="D141" s="426" t="s">
        <v>624</v>
      </c>
      <c r="E141" s="426" t="s">
        <v>686</v>
      </c>
      <c r="F141" s="440">
        <v>19.21</v>
      </c>
      <c r="G141" s="441" t="s">
        <v>701</v>
      </c>
      <c r="H141" s="428">
        <v>1</v>
      </c>
      <c r="I141" s="530">
        <f t="shared" si="5"/>
        <v>19.21</v>
      </c>
      <c r="J141" s="289"/>
      <c r="K141" s="540"/>
      <c r="L141" s="530"/>
      <c r="M141" s="285"/>
    </row>
    <row r="142" spans="1:13" ht="14.25" customHeight="1" x14ac:dyDescent="0.25">
      <c r="A142" s="284"/>
      <c r="B142" s="529" t="s">
        <v>641</v>
      </c>
      <c r="C142" s="523" t="s">
        <v>1248</v>
      </c>
      <c r="D142" s="426" t="s">
        <v>625</v>
      </c>
      <c r="E142" s="426" t="s">
        <v>1214</v>
      </c>
      <c r="F142" s="440">
        <v>4.8600000000000003</v>
      </c>
      <c r="G142" s="441" t="s">
        <v>701</v>
      </c>
      <c r="H142" s="428">
        <v>1</v>
      </c>
      <c r="I142" s="530">
        <f t="shared" si="5"/>
        <v>4.8600000000000003</v>
      </c>
      <c r="J142" s="289"/>
      <c r="K142" s="540"/>
      <c r="L142" s="530"/>
      <c r="M142" s="285"/>
    </row>
    <row r="143" spans="1:13" ht="14.25" hidden="1" customHeight="1" x14ac:dyDescent="0.25">
      <c r="A143" s="284"/>
      <c r="B143" s="529" t="s">
        <v>641</v>
      </c>
      <c r="C143" s="523" t="s">
        <v>1248</v>
      </c>
      <c r="D143" s="426" t="s">
        <v>626</v>
      </c>
      <c r="E143" s="426" t="s">
        <v>686</v>
      </c>
      <c r="F143" s="440">
        <v>19.21</v>
      </c>
      <c r="G143" s="441" t="s">
        <v>701</v>
      </c>
      <c r="H143" s="428">
        <v>1</v>
      </c>
      <c r="I143" s="530">
        <f t="shared" si="5"/>
        <v>19.21</v>
      </c>
      <c r="J143" s="289"/>
      <c r="K143" s="540"/>
      <c r="L143" s="530"/>
      <c r="M143" s="285"/>
    </row>
    <row r="144" spans="1:13" ht="14.25" customHeight="1" x14ac:dyDescent="0.25">
      <c r="A144" s="284"/>
      <c r="B144" s="529" t="s">
        <v>641</v>
      </c>
      <c r="C144" s="523" t="s">
        <v>1248</v>
      </c>
      <c r="D144" s="426" t="s">
        <v>627</v>
      </c>
      <c r="E144" s="426" t="s">
        <v>1214</v>
      </c>
      <c r="F144" s="440">
        <v>4.8600000000000003</v>
      </c>
      <c r="G144" s="441" t="s">
        <v>701</v>
      </c>
      <c r="H144" s="428">
        <v>1</v>
      </c>
      <c r="I144" s="530">
        <f t="shared" si="5"/>
        <v>4.8600000000000003</v>
      </c>
      <c r="J144" s="289"/>
      <c r="K144" s="540"/>
      <c r="L144" s="530"/>
      <c r="M144" s="285"/>
    </row>
    <row r="145" spans="1:13" ht="14.25" hidden="1" customHeight="1" x14ac:dyDescent="0.25">
      <c r="A145" s="284"/>
      <c r="B145" s="529" t="s">
        <v>641</v>
      </c>
      <c r="C145" s="523" t="s">
        <v>635</v>
      </c>
      <c r="D145" s="426" t="s">
        <v>628</v>
      </c>
      <c r="E145" s="426" t="s">
        <v>197</v>
      </c>
      <c r="F145" s="440">
        <f>18.04+1.5*0.18*20</f>
        <v>23.439999999999998</v>
      </c>
      <c r="G145" s="441" t="s">
        <v>701</v>
      </c>
      <c r="H145" s="428">
        <v>1</v>
      </c>
      <c r="I145" s="530">
        <f t="shared" si="5"/>
        <v>23.439999999999998</v>
      </c>
      <c r="J145" s="289"/>
      <c r="K145" s="540"/>
      <c r="L145" s="530"/>
      <c r="M145" s="285"/>
    </row>
    <row r="146" spans="1:13" ht="14.25" hidden="1" customHeight="1" x14ac:dyDescent="0.25">
      <c r="A146" s="284"/>
      <c r="B146" s="529" t="s">
        <v>641</v>
      </c>
      <c r="C146" s="523" t="s">
        <v>635</v>
      </c>
      <c r="D146" s="426" t="s">
        <v>642</v>
      </c>
      <c r="E146" s="426" t="s">
        <v>1214</v>
      </c>
      <c r="F146" s="440">
        <v>123.68</v>
      </c>
      <c r="G146" s="441" t="s">
        <v>701</v>
      </c>
      <c r="H146" s="428">
        <v>1</v>
      </c>
      <c r="I146" s="530">
        <f t="shared" si="5"/>
        <v>123.68</v>
      </c>
      <c r="J146" s="289"/>
      <c r="K146" s="540"/>
      <c r="L146" s="530"/>
      <c r="M146" s="285"/>
    </row>
    <row r="147" spans="1:13" ht="14.25" customHeight="1" x14ac:dyDescent="0.25">
      <c r="A147" s="284"/>
      <c r="B147" s="529" t="s">
        <v>641</v>
      </c>
      <c r="C147" s="523" t="s">
        <v>635</v>
      </c>
      <c r="D147" s="426" t="s">
        <v>643</v>
      </c>
      <c r="E147" s="426" t="s">
        <v>1214</v>
      </c>
      <c r="F147" s="440">
        <v>5.16</v>
      </c>
      <c r="G147" s="441" t="s">
        <v>701</v>
      </c>
      <c r="H147" s="428">
        <v>1</v>
      </c>
      <c r="I147" s="530">
        <f t="shared" si="5"/>
        <v>5.16</v>
      </c>
      <c r="J147" s="289"/>
      <c r="K147" s="540"/>
      <c r="L147" s="530"/>
      <c r="M147" s="285"/>
    </row>
    <row r="148" spans="1:13" ht="14.25" hidden="1" customHeight="1" x14ac:dyDescent="0.25">
      <c r="A148" s="284"/>
      <c r="B148" s="529" t="s">
        <v>641</v>
      </c>
      <c r="C148" s="523" t="s">
        <v>635</v>
      </c>
      <c r="D148" s="426" t="s">
        <v>644</v>
      </c>
      <c r="E148" s="426" t="s">
        <v>1214</v>
      </c>
      <c r="F148" s="440">
        <v>5.48</v>
      </c>
      <c r="G148" s="441" t="s">
        <v>701</v>
      </c>
      <c r="H148" s="428">
        <v>1</v>
      </c>
      <c r="I148" s="530">
        <f t="shared" si="5"/>
        <v>5.48</v>
      </c>
      <c r="J148" s="289"/>
      <c r="K148" s="540"/>
      <c r="L148" s="530"/>
      <c r="M148" s="285"/>
    </row>
    <row r="149" spans="1:13" ht="14.25" hidden="1" customHeight="1" x14ac:dyDescent="0.25">
      <c r="A149" s="284"/>
      <c r="B149" s="529" t="s">
        <v>641</v>
      </c>
      <c r="C149" s="523" t="s">
        <v>635</v>
      </c>
      <c r="D149" s="426" t="s">
        <v>655</v>
      </c>
      <c r="E149" s="426" t="s">
        <v>1214</v>
      </c>
      <c r="F149" s="440">
        <v>7.39</v>
      </c>
      <c r="G149" s="441" t="s">
        <v>701</v>
      </c>
      <c r="H149" s="428">
        <v>1</v>
      </c>
      <c r="I149" s="530">
        <f t="shared" si="5"/>
        <v>7.39</v>
      </c>
      <c r="J149" s="289"/>
      <c r="K149" s="540"/>
      <c r="L149" s="530"/>
      <c r="M149" s="285"/>
    </row>
    <row r="150" spans="1:13" ht="14.25" customHeight="1" x14ac:dyDescent="0.25">
      <c r="A150" s="284"/>
      <c r="B150" s="529" t="s">
        <v>641</v>
      </c>
      <c r="C150" s="523" t="s">
        <v>635</v>
      </c>
      <c r="D150" s="426" t="s">
        <v>643</v>
      </c>
      <c r="E150" s="426" t="s">
        <v>1214</v>
      </c>
      <c r="F150" s="440">
        <v>5.16</v>
      </c>
      <c r="G150" s="441" t="s">
        <v>701</v>
      </c>
      <c r="H150" s="428">
        <v>1</v>
      </c>
      <c r="I150" s="530">
        <f t="shared" si="5"/>
        <v>5.16</v>
      </c>
      <c r="J150" s="289"/>
      <c r="K150" s="540"/>
      <c r="L150" s="530"/>
      <c r="M150" s="285"/>
    </row>
    <row r="151" spans="1:13" ht="14.25" customHeight="1" x14ac:dyDescent="0.25">
      <c r="A151" s="284"/>
      <c r="B151" s="529" t="s">
        <v>641</v>
      </c>
      <c r="C151" s="523" t="s">
        <v>635</v>
      </c>
      <c r="D151" s="426" t="s">
        <v>645</v>
      </c>
      <c r="E151" s="426" t="s">
        <v>693</v>
      </c>
      <c r="F151" s="440">
        <v>5.48</v>
      </c>
      <c r="G151" s="441"/>
      <c r="H151" s="428">
        <v>1</v>
      </c>
      <c r="I151" s="530">
        <f t="shared" ref="I151:I214" si="7">F151*H151</f>
        <v>5.48</v>
      </c>
      <c r="J151" s="289"/>
      <c r="K151" s="540"/>
      <c r="L151" s="530"/>
      <c r="M151" s="285"/>
    </row>
    <row r="152" spans="1:13" ht="14.25" hidden="1" customHeight="1" x14ac:dyDescent="0.25">
      <c r="A152" s="284"/>
      <c r="B152" s="529" t="s">
        <v>641</v>
      </c>
      <c r="C152" s="523" t="s">
        <v>1249</v>
      </c>
      <c r="D152" s="426" t="s">
        <v>614</v>
      </c>
      <c r="E152" s="426" t="s">
        <v>1214</v>
      </c>
      <c r="F152" s="440">
        <v>27.02</v>
      </c>
      <c r="G152" s="441" t="s">
        <v>701</v>
      </c>
      <c r="H152" s="428">
        <v>1</v>
      </c>
      <c r="I152" s="530">
        <f t="shared" si="7"/>
        <v>27.02</v>
      </c>
      <c r="J152" s="289"/>
      <c r="K152" s="540"/>
      <c r="L152" s="530"/>
      <c r="M152" s="285"/>
    </row>
    <row r="153" spans="1:13" ht="14.25" hidden="1" customHeight="1" x14ac:dyDescent="0.25">
      <c r="A153" s="284"/>
      <c r="B153" s="529" t="s">
        <v>641</v>
      </c>
      <c r="C153" s="523" t="s">
        <v>1249</v>
      </c>
      <c r="D153" s="426" t="s">
        <v>615</v>
      </c>
      <c r="E153" s="426" t="s">
        <v>1214</v>
      </c>
      <c r="F153" s="440">
        <v>39.43</v>
      </c>
      <c r="G153" s="441" t="s">
        <v>701</v>
      </c>
      <c r="H153" s="428">
        <v>1</v>
      </c>
      <c r="I153" s="530">
        <f t="shared" si="7"/>
        <v>39.43</v>
      </c>
      <c r="J153" s="289"/>
      <c r="K153" s="540"/>
      <c r="L153" s="530"/>
      <c r="M153" s="285"/>
    </row>
    <row r="154" spans="1:13" ht="14.25" hidden="1" customHeight="1" x14ac:dyDescent="0.25">
      <c r="A154" s="284"/>
      <c r="B154" s="529" t="s">
        <v>641</v>
      </c>
      <c r="C154" s="523" t="s">
        <v>1249</v>
      </c>
      <c r="D154" s="426" t="s">
        <v>616</v>
      </c>
      <c r="E154" s="426" t="s">
        <v>1214</v>
      </c>
      <c r="F154" s="440">
        <v>3.66</v>
      </c>
      <c r="G154" s="441" t="s">
        <v>701</v>
      </c>
      <c r="H154" s="428">
        <v>1</v>
      </c>
      <c r="I154" s="530">
        <f t="shared" si="7"/>
        <v>3.66</v>
      </c>
      <c r="J154" s="289"/>
      <c r="K154" s="540"/>
      <c r="L154" s="530"/>
      <c r="M154" s="285"/>
    </row>
    <row r="155" spans="1:13" ht="14.25" hidden="1" customHeight="1" x14ac:dyDescent="0.25">
      <c r="A155" s="284"/>
      <c r="B155" s="529" t="s">
        <v>641</v>
      </c>
      <c r="C155" s="523" t="s">
        <v>1249</v>
      </c>
      <c r="D155" s="426" t="s">
        <v>618</v>
      </c>
      <c r="E155" s="426" t="s">
        <v>693</v>
      </c>
      <c r="F155" s="440">
        <v>28.88</v>
      </c>
      <c r="G155" s="441"/>
      <c r="H155" s="428">
        <v>1</v>
      </c>
      <c r="I155" s="530">
        <f t="shared" si="7"/>
        <v>28.88</v>
      </c>
      <c r="J155" s="289"/>
      <c r="K155" s="540"/>
      <c r="L155" s="530"/>
      <c r="M155" s="285"/>
    </row>
    <row r="156" spans="1:13" ht="14.25" hidden="1" customHeight="1" x14ac:dyDescent="0.25">
      <c r="A156" s="284"/>
      <c r="B156" s="529" t="s">
        <v>641</v>
      </c>
      <c r="C156" s="523" t="s">
        <v>1249</v>
      </c>
      <c r="D156" s="426" t="s">
        <v>689</v>
      </c>
      <c r="E156" s="426" t="s">
        <v>694</v>
      </c>
      <c r="F156" s="440">
        <v>21.51</v>
      </c>
      <c r="G156" s="441" t="s">
        <v>701</v>
      </c>
      <c r="H156" s="428">
        <v>1</v>
      </c>
      <c r="I156" s="530">
        <f t="shared" si="7"/>
        <v>21.51</v>
      </c>
      <c r="J156" s="289"/>
      <c r="K156" s="540"/>
      <c r="L156" s="530"/>
      <c r="M156" s="285"/>
    </row>
    <row r="157" spans="1:13" ht="14.25" hidden="1" customHeight="1" x14ac:dyDescent="0.25">
      <c r="A157" s="284"/>
      <c r="B157" s="529" t="s">
        <v>641</v>
      </c>
      <c r="C157" s="523" t="s">
        <v>1249</v>
      </c>
      <c r="D157" s="426" t="s">
        <v>619</v>
      </c>
      <c r="E157" s="426" t="s">
        <v>1214</v>
      </c>
      <c r="F157" s="440">
        <v>17.02</v>
      </c>
      <c r="G157" s="441" t="s">
        <v>701</v>
      </c>
      <c r="H157" s="428">
        <v>1</v>
      </c>
      <c r="I157" s="530">
        <f t="shared" si="7"/>
        <v>17.02</v>
      </c>
      <c r="J157" s="289"/>
      <c r="K157" s="540"/>
      <c r="L157" s="530"/>
      <c r="M157" s="285"/>
    </row>
    <row r="158" spans="1:13" ht="14.25" customHeight="1" x14ac:dyDescent="0.25">
      <c r="A158" s="284"/>
      <c r="B158" s="529" t="s">
        <v>641</v>
      </c>
      <c r="C158" s="523" t="s">
        <v>1249</v>
      </c>
      <c r="D158" s="426" t="s">
        <v>620</v>
      </c>
      <c r="E158" s="426" t="s">
        <v>1214</v>
      </c>
      <c r="F158" s="440">
        <v>9.32</v>
      </c>
      <c r="G158" s="441" t="s">
        <v>701</v>
      </c>
      <c r="H158" s="428">
        <v>1</v>
      </c>
      <c r="I158" s="530">
        <f t="shared" si="7"/>
        <v>9.32</v>
      </c>
      <c r="J158" s="289"/>
      <c r="K158" s="540"/>
      <c r="L158" s="530"/>
      <c r="M158" s="285"/>
    </row>
    <row r="159" spans="1:13" ht="14.25" hidden="1" customHeight="1" x14ac:dyDescent="0.25">
      <c r="A159" s="284"/>
      <c r="B159" s="529" t="s">
        <v>641</v>
      </c>
      <c r="C159" s="523" t="s">
        <v>1249</v>
      </c>
      <c r="D159" s="426" t="s">
        <v>640</v>
      </c>
      <c r="E159" s="426" t="s">
        <v>1214</v>
      </c>
      <c r="F159" s="440">
        <v>6.48</v>
      </c>
      <c r="G159" s="441" t="s">
        <v>701</v>
      </c>
      <c r="H159" s="428">
        <v>1</v>
      </c>
      <c r="I159" s="530">
        <f t="shared" si="7"/>
        <v>6.48</v>
      </c>
      <c r="J159" s="289"/>
      <c r="K159" s="540"/>
      <c r="L159" s="530"/>
      <c r="M159" s="285"/>
    </row>
    <row r="160" spans="1:13" ht="14.25" customHeight="1" x14ac:dyDescent="0.25">
      <c r="A160" s="284"/>
      <c r="B160" s="529" t="s">
        <v>641</v>
      </c>
      <c r="C160" s="523" t="s">
        <v>1249</v>
      </c>
      <c r="D160" s="426" t="s">
        <v>621</v>
      </c>
      <c r="E160" s="426" t="s">
        <v>1214</v>
      </c>
      <c r="F160" s="440">
        <v>3.78</v>
      </c>
      <c r="G160" s="441" t="s">
        <v>701</v>
      </c>
      <c r="H160" s="428">
        <v>1</v>
      </c>
      <c r="I160" s="530">
        <f t="shared" si="7"/>
        <v>3.78</v>
      </c>
      <c r="J160" s="289"/>
      <c r="K160" s="540"/>
      <c r="L160" s="530"/>
      <c r="M160" s="285"/>
    </row>
    <row r="161" spans="1:13" ht="14.25" hidden="1" customHeight="1" x14ac:dyDescent="0.25">
      <c r="A161" s="284"/>
      <c r="B161" s="529" t="s">
        <v>641</v>
      </c>
      <c r="C161" s="523" t="s">
        <v>1249</v>
      </c>
      <c r="D161" s="426" t="s">
        <v>617</v>
      </c>
      <c r="E161" s="426" t="s">
        <v>686</v>
      </c>
      <c r="F161" s="440">
        <v>17.87</v>
      </c>
      <c r="G161" s="441" t="s">
        <v>701</v>
      </c>
      <c r="H161" s="428">
        <v>1</v>
      </c>
      <c r="I161" s="530">
        <f t="shared" si="7"/>
        <v>17.87</v>
      </c>
      <c r="J161" s="289"/>
      <c r="K161" s="540"/>
      <c r="L161" s="530"/>
      <c r="M161" s="285"/>
    </row>
    <row r="162" spans="1:13" ht="14.25" hidden="1" customHeight="1" x14ac:dyDescent="0.25">
      <c r="A162" s="284"/>
      <c r="B162" s="529" t="s">
        <v>641</v>
      </c>
      <c r="C162" s="523" t="s">
        <v>1249</v>
      </c>
      <c r="D162" s="426" t="s">
        <v>622</v>
      </c>
      <c r="E162" s="426" t="s">
        <v>686</v>
      </c>
      <c r="F162" s="440">
        <v>26.67</v>
      </c>
      <c r="G162" s="441" t="s">
        <v>701</v>
      </c>
      <c r="H162" s="428">
        <v>1</v>
      </c>
      <c r="I162" s="530">
        <f t="shared" si="7"/>
        <v>26.67</v>
      </c>
      <c r="J162" s="289"/>
      <c r="K162" s="540"/>
      <c r="L162" s="530"/>
      <c r="M162" s="285"/>
    </row>
    <row r="163" spans="1:13" ht="14.25" customHeight="1" x14ac:dyDescent="0.25">
      <c r="A163" s="284"/>
      <c r="B163" s="529" t="s">
        <v>641</v>
      </c>
      <c r="C163" s="523" t="s">
        <v>1249</v>
      </c>
      <c r="D163" s="426" t="s">
        <v>623</v>
      </c>
      <c r="E163" s="426" t="s">
        <v>1214</v>
      </c>
      <c r="F163" s="440">
        <v>7.51</v>
      </c>
      <c r="G163" s="441" t="s">
        <v>701</v>
      </c>
      <c r="H163" s="428">
        <v>1</v>
      </c>
      <c r="I163" s="530">
        <f t="shared" si="7"/>
        <v>7.51</v>
      </c>
      <c r="J163" s="289"/>
      <c r="K163" s="540"/>
      <c r="L163" s="530"/>
      <c r="M163" s="285"/>
    </row>
    <row r="164" spans="1:13" ht="14.25" hidden="1" customHeight="1" x14ac:dyDescent="0.25">
      <c r="A164" s="284"/>
      <c r="B164" s="529" t="s">
        <v>641</v>
      </c>
      <c r="C164" s="523" t="s">
        <v>1249</v>
      </c>
      <c r="D164" s="426" t="s">
        <v>630</v>
      </c>
      <c r="E164" s="426" t="s">
        <v>686</v>
      </c>
      <c r="F164" s="440">
        <v>18.829999999999998</v>
      </c>
      <c r="G164" s="441" t="s">
        <v>701</v>
      </c>
      <c r="H164" s="428">
        <v>1</v>
      </c>
      <c r="I164" s="530">
        <f t="shared" si="7"/>
        <v>18.829999999999998</v>
      </c>
      <c r="J164" s="289"/>
      <c r="K164" s="540"/>
      <c r="L164" s="530"/>
      <c r="M164" s="285"/>
    </row>
    <row r="165" spans="1:13" ht="14.25" customHeight="1" x14ac:dyDescent="0.25">
      <c r="A165" s="284"/>
      <c r="B165" s="529" t="s">
        <v>641</v>
      </c>
      <c r="C165" s="523" t="s">
        <v>1249</v>
      </c>
      <c r="D165" s="426" t="s">
        <v>631</v>
      </c>
      <c r="E165" s="426" t="s">
        <v>1214</v>
      </c>
      <c r="F165" s="440">
        <v>4.84</v>
      </c>
      <c r="G165" s="441" t="s">
        <v>701</v>
      </c>
      <c r="H165" s="428">
        <v>1</v>
      </c>
      <c r="I165" s="530">
        <f t="shared" si="7"/>
        <v>4.84</v>
      </c>
      <c r="J165" s="289"/>
      <c r="K165" s="540"/>
      <c r="L165" s="530"/>
      <c r="M165" s="285"/>
    </row>
    <row r="166" spans="1:13" ht="14.25" hidden="1" customHeight="1" x14ac:dyDescent="0.25">
      <c r="A166" s="284"/>
      <c r="B166" s="529" t="s">
        <v>641</v>
      </c>
      <c r="C166" s="523" t="s">
        <v>1249</v>
      </c>
      <c r="D166" s="426" t="s">
        <v>624</v>
      </c>
      <c r="E166" s="426" t="s">
        <v>686</v>
      </c>
      <c r="F166" s="440">
        <v>18.8</v>
      </c>
      <c r="G166" s="441" t="s">
        <v>701</v>
      </c>
      <c r="H166" s="428">
        <v>1</v>
      </c>
      <c r="I166" s="530">
        <f t="shared" si="7"/>
        <v>18.8</v>
      </c>
      <c r="J166" s="289"/>
      <c r="K166" s="540"/>
      <c r="L166" s="530"/>
      <c r="M166" s="285"/>
    </row>
    <row r="167" spans="1:13" ht="14.25" customHeight="1" x14ac:dyDescent="0.25">
      <c r="A167" s="284"/>
      <c r="B167" s="529" t="s">
        <v>641</v>
      </c>
      <c r="C167" s="523" t="s">
        <v>1249</v>
      </c>
      <c r="D167" s="426" t="s">
        <v>625</v>
      </c>
      <c r="E167" s="426" t="s">
        <v>1214</v>
      </c>
      <c r="F167" s="440">
        <v>4.83</v>
      </c>
      <c r="G167" s="441" t="s">
        <v>701</v>
      </c>
      <c r="H167" s="428">
        <v>1</v>
      </c>
      <c r="I167" s="530">
        <f t="shared" si="7"/>
        <v>4.83</v>
      </c>
      <c r="J167" s="289"/>
      <c r="K167" s="540"/>
      <c r="L167" s="530"/>
      <c r="M167" s="285"/>
    </row>
    <row r="168" spans="1:13" ht="14.25" hidden="1" customHeight="1" x14ac:dyDescent="0.25">
      <c r="A168" s="284"/>
      <c r="B168" s="529" t="s">
        <v>641</v>
      </c>
      <c r="C168" s="523" t="s">
        <v>1249</v>
      </c>
      <c r="D168" s="426" t="s">
        <v>626</v>
      </c>
      <c r="E168" s="426" t="s">
        <v>686</v>
      </c>
      <c r="F168" s="440">
        <v>18.760000000000002</v>
      </c>
      <c r="G168" s="441" t="s">
        <v>701</v>
      </c>
      <c r="H168" s="428">
        <v>1</v>
      </c>
      <c r="I168" s="530">
        <f t="shared" si="7"/>
        <v>18.760000000000002</v>
      </c>
      <c r="J168" s="289"/>
      <c r="K168" s="540"/>
      <c r="L168" s="530"/>
      <c r="M168" s="285"/>
    </row>
    <row r="169" spans="1:13" ht="14.25" customHeight="1" x14ac:dyDescent="0.25">
      <c r="A169" s="284"/>
      <c r="B169" s="529" t="s">
        <v>641</v>
      </c>
      <c r="C169" s="523" t="s">
        <v>1249</v>
      </c>
      <c r="D169" s="426" t="s">
        <v>627</v>
      </c>
      <c r="E169" s="426" t="s">
        <v>1214</v>
      </c>
      <c r="F169" s="440">
        <v>4.82</v>
      </c>
      <c r="G169" s="441" t="s">
        <v>701</v>
      </c>
      <c r="H169" s="428">
        <v>1</v>
      </c>
      <c r="I169" s="530">
        <f t="shared" si="7"/>
        <v>4.82</v>
      </c>
      <c r="J169" s="289"/>
      <c r="K169" s="540"/>
      <c r="L169" s="530"/>
      <c r="M169" s="285"/>
    </row>
    <row r="170" spans="1:13" ht="14.25" hidden="1" customHeight="1" x14ac:dyDescent="0.25">
      <c r="A170" s="284"/>
      <c r="B170" s="529" t="s">
        <v>641</v>
      </c>
      <c r="C170" s="523" t="s">
        <v>1250</v>
      </c>
      <c r="D170" s="426" t="s">
        <v>614</v>
      </c>
      <c r="E170" s="426" t="s">
        <v>1214</v>
      </c>
      <c r="F170" s="440">
        <v>24.29</v>
      </c>
      <c r="G170" s="441" t="s">
        <v>701</v>
      </c>
      <c r="H170" s="428">
        <v>1</v>
      </c>
      <c r="I170" s="530">
        <f t="shared" si="7"/>
        <v>24.29</v>
      </c>
      <c r="J170" s="289"/>
      <c r="K170" s="540"/>
      <c r="L170" s="530"/>
      <c r="M170" s="285"/>
    </row>
    <row r="171" spans="1:13" ht="14.25" hidden="1" customHeight="1" x14ac:dyDescent="0.25">
      <c r="A171" s="284"/>
      <c r="B171" s="529" t="s">
        <v>641</v>
      </c>
      <c r="C171" s="523" t="s">
        <v>1250</v>
      </c>
      <c r="D171" s="426" t="s">
        <v>615</v>
      </c>
      <c r="E171" s="426" t="s">
        <v>1214</v>
      </c>
      <c r="F171" s="440">
        <v>28.88</v>
      </c>
      <c r="G171" s="441" t="s">
        <v>701</v>
      </c>
      <c r="H171" s="428">
        <v>1</v>
      </c>
      <c r="I171" s="530">
        <f t="shared" si="7"/>
        <v>28.88</v>
      </c>
      <c r="J171" s="289"/>
      <c r="K171" s="540"/>
      <c r="L171" s="530"/>
      <c r="M171" s="285"/>
    </row>
    <row r="172" spans="1:13" ht="14.25" hidden="1" customHeight="1" x14ac:dyDescent="0.25">
      <c r="A172" s="284"/>
      <c r="B172" s="529" t="s">
        <v>641</v>
      </c>
      <c r="C172" s="523" t="s">
        <v>1250</v>
      </c>
      <c r="D172" s="426" t="s">
        <v>616</v>
      </c>
      <c r="E172" s="426" t="s">
        <v>1214</v>
      </c>
      <c r="F172" s="440">
        <v>3.6</v>
      </c>
      <c r="G172" s="441" t="s">
        <v>701</v>
      </c>
      <c r="H172" s="428">
        <v>1</v>
      </c>
      <c r="I172" s="530">
        <f t="shared" si="7"/>
        <v>3.6</v>
      </c>
      <c r="J172" s="289"/>
      <c r="K172" s="540"/>
      <c r="L172" s="530"/>
      <c r="M172" s="285"/>
    </row>
    <row r="173" spans="1:13" ht="14.25" hidden="1" customHeight="1" x14ac:dyDescent="0.25">
      <c r="A173" s="284"/>
      <c r="B173" s="529" t="s">
        <v>641</v>
      </c>
      <c r="C173" s="523" t="s">
        <v>1250</v>
      </c>
      <c r="D173" s="426" t="s">
        <v>618</v>
      </c>
      <c r="E173" s="426" t="s">
        <v>693</v>
      </c>
      <c r="F173" s="440">
        <v>29.24</v>
      </c>
      <c r="G173" s="441"/>
      <c r="H173" s="428">
        <v>1</v>
      </c>
      <c r="I173" s="530">
        <f t="shared" si="7"/>
        <v>29.24</v>
      </c>
      <c r="J173" s="289"/>
      <c r="K173" s="540"/>
      <c r="L173" s="530"/>
      <c r="M173" s="285"/>
    </row>
    <row r="174" spans="1:13" ht="14.25" hidden="1" customHeight="1" x14ac:dyDescent="0.25">
      <c r="A174" s="284"/>
      <c r="B174" s="529" t="s">
        <v>641</v>
      </c>
      <c r="C174" s="523" t="s">
        <v>1250</v>
      </c>
      <c r="D174" s="426" t="s">
        <v>689</v>
      </c>
      <c r="E174" s="426" t="s">
        <v>694</v>
      </c>
      <c r="F174" s="440">
        <v>22.78</v>
      </c>
      <c r="G174" s="441" t="s">
        <v>701</v>
      </c>
      <c r="H174" s="428">
        <v>1</v>
      </c>
      <c r="I174" s="530">
        <f t="shared" si="7"/>
        <v>22.78</v>
      </c>
      <c r="J174" s="289"/>
      <c r="K174" s="540"/>
      <c r="L174" s="530"/>
      <c r="M174" s="285"/>
    </row>
    <row r="175" spans="1:13" ht="14.25" hidden="1" customHeight="1" x14ac:dyDescent="0.25">
      <c r="A175" s="284"/>
      <c r="B175" s="529" t="s">
        <v>641</v>
      </c>
      <c r="C175" s="523" t="s">
        <v>1250</v>
      </c>
      <c r="D175" s="426" t="s">
        <v>619</v>
      </c>
      <c r="E175" s="426" t="s">
        <v>1214</v>
      </c>
      <c r="F175" s="440">
        <v>13.22</v>
      </c>
      <c r="G175" s="441" t="s">
        <v>701</v>
      </c>
      <c r="H175" s="428">
        <v>1</v>
      </c>
      <c r="I175" s="530">
        <f t="shared" si="7"/>
        <v>13.22</v>
      </c>
      <c r="J175" s="289"/>
      <c r="K175" s="540"/>
      <c r="L175" s="530"/>
      <c r="M175" s="285"/>
    </row>
    <row r="176" spans="1:13" ht="14.25" customHeight="1" x14ac:dyDescent="0.25">
      <c r="A176" s="284"/>
      <c r="B176" s="529" t="s">
        <v>641</v>
      </c>
      <c r="C176" s="523" t="s">
        <v>1250</v>
      </c>
      <c r="D176" s="426" t="s">
        <v>620</v>
      </c>
      <c r="E176" s="426" t="s">
        <v>1214</v>
      </c>
      <c r="F176" s="440">
        <v>6.91</v>
      </c>
      <c r="G176" s="441" t="s">
        <v>701</v>
      </c>
      <c r="H176" s="428">
        <v>1</v>
      </c>
      <c r="I176" s="530">
        <f t="shared" si="7"/>
        <v>6.91</v>
      </c>
      <c r="J176" s="289"/>
      <c r="K176" s="540"/>
      <c r="L176" s="530"/>
      <c r="M176" s="285"/>
    </row>
    <row r="177" spans="1:13" ht="14.25" customHeight="1" x14ac:dyDescent="0.25">
      <c r="A177" s="284"/>
      <c r="B177" s="529" t="s">
        <v>641</v>
      </c>
      <c r="C177" s="523" t="s">
        <v>1250</v>
      </c>
      <c r="D177" s="426" t="s">
        <v>621</v>
      </c>
      <c r="E177" s="426" t="s">
        <v>1214</v>
      </c>
      <c r="F177" s="440">
        <v>3.88</v>
      </c>
      <c r="G177" s="441" t="s">
        <v>701</v>
      </c>
      <c r="H177" s="428">
        <v>1</v>
      </c>
      <c r="I177" s="530">
        <f t="shared" si="7"/>
        <v>3.88</v>
      </c>
      <c r="J177" s="289"/>
      <c r="K177" s="540"/>
      <c r="L177" s="530"/>
      <c r="M177" s="285"/>
    </row>
    <row r="178" spans="1:13" ht="14.25" hidden="1" customHeight="1" x14ac:dyDescent="0.25">
      <c r="A178" s="284"/>
      <c r="B178" s="529" t="s">
        <v>641</v>
      </c>
      <c r="C178" s="523" t="s">
        <v>1250</v>
      </c>
      <c r="D178" s="426" t="s">
        <v>617</v>
      </c>
      <c r="E178" s="426" t="s">
        <v>686</v>
      </c>
      <c r="F178" s="440">
        <v>10.34</v>
      </c>
      <c r="G178" s="441" t="s">
        <v>701</v>
      </c>
      <c r="H178" s="428">
        <v>1</v>
      </c>
      <c r="I178" s="530">
        <f t="shared" si="7"/>
        <v>10.34</v>
      </c>
      <c r="J178" s="289"/>
      <c r="K178" s="540"/>
      <c r="L178" s="530"/>
      <c r="M178" s="285"/>
    </row>
    <row r="179" spans="1:13" ht="14.25" hidden="1" customHeight="1" x14ac:dyDescent="0.25">
      <c r="A179" s="284"/>
      <c r="B179" s="529" t="s">
        <v>641</v>
      </c>
      <c r="C179" s="523" t="s">
        <v>1250</v>
      </c>
      <c r="D179" s="426" t="s">
        <v>622</v>
      </c>
      <c r="E179" s="426" t="s">
        <v>686</v>
      </c>
      <c r="F179" s="440">
        <v>27.64</v>
      </c>
      <c r="G179" s="441" t="s">
        <v>701</v>
      </c>
      <c r="H179" s="428">
        <v>1</v>
      </c>
      <c r="I179" s="530">
        <f t="shared" si="7"/>
        <v>27.64</v>
      </c>
      <c r="J179" s="289"/>
      <c r="K179" s="540"/>
      <c r="L179" s="530"/>
      <c r="M179" s="285"/>
    </row>
    <row r="180" spans="1:13" ht="14.25" customHeight="1" x14ac:dyDescent="0.25">
      <c r="A180" s="284"/>
      <c r="B180" s="529" t="s">
        <v>641</v>
      </c>
      <c r="C180" s="523" t="s">
        <v>1250</v>
      </c>
      <c r="D180" s="426" t="s">
        <v>623</v>
      </c>
      <c r="E180" s="426" t="s">
        <v>1214</v>
      </c>
      <c r="F180" s="440">
        <v>7.74</v>
      </c>
      <c r="G180" s="441" t="s">
        <v>701</v>
      </c>
      <c r="H180" s="428">
        <v>1</v>
      </c>
      <c r="I180" s="530">
        <f t="shared" si="7"/>
        <v>7.74</v>
      </c>
      <c r="J180" s="289"/>
      <c r="K180" s="540"/>
      <c r="L180" s="530"/>
      <c r="M180" s="285"/>
    </row>
    <row r="181" spans="1:13" ht="14.25" hidden="1" customHeight="1" x14ac:dyDescent="0.25">
      <c r="A181" s="284"/>
      <c r="B181" s="529" t="s">
        <v>641</v>
      </c>
      <c r="C181" s="523" t="s">
        <v>1250</v>
      </c>
      <c r="D181" s="426" t="s">
        <v>624</v>
      </c>
      <c r="E181" s="426" t="s">
        <v>686</v>
      </c>
      <c r="F181" s="440">
        <v>19.21</v>
      </c>
      <c r="G181" s="441" t="s">
        <v>701</v>
      </c>
      <c r="H181" s="428">
        <v>1</v>
      </c>
      <c r="I181" s="530">
        <f t="shared" si="7"/>
        <v>19.21</v>
      </c>
      <c r="J181" s="289"/>
      <c r="K181" s="540"/>
      <c r="L181" s="530"/>
      <c r="M181" s="285"/>
    </row>
    <row r="182" spans="1:13" ht="14.25" customHeight="1" x14ac:dyDescent="0.25">
      <c r="A182" s="284"/>
      <c r="B182" s="529" t="s">
        <v>641</v>
      </c>
      <c r="C182" s="523" t="s">
        <v>1250</v>
      </c>
      <c r="D182" s="426" t="s">
        <v>625</v>
      </c>
      <c r="E182" s="426" t="s">
        <v>1214</v>
      </c>
      <c r="F182" s="440">
        <v>4.8600000000000003</v>
      </c>
      <c r="G182" s="441" t="s">
        <v>701</v>
      </c>
      <c r="H182" s="428">
        <v>1</v>
      </c>
      <c r="I182" s="530">
        <f t="shared" si="7"/>
        <v>4.8600000000000003</v>
      </c>
      <c r="J182" s="289"/>
      <c r="K182" s="540"/>
      <c r="L182" s="530"/>
      <c r="M182" s="285"/>
    </row>
    <row r="183" spans="1:13" ht="14.25" hidden="1" customHeight="1" x14ac:dyDescent="0.25">
      <c r="A183" s="284"/>
      <c r="B183" s="529" t="s">
        <v>641</v>
      </c>
      <c r="C183" s="523" t="s">
        <v>1250</v>
      </c>
      <c r="D183" s="426" t="s">
        <v>626</v>
      </c>
      <c r="E183" s="426" t="s">
        <v>686</v>
      </c>
      <c r="F183" s="440">
        <v>19.21</v>
      </c>
      <c r="G183" s="441" t="s">
        <v>701</v>
      </c>
      <c r="H183" s="428">
        <v>1</v>
      </c>
      <c r="I183" s="530">
        <f t="shared" si="7"/>
        <v>19.21</v>
      </c>
      <c r="J183" s="289"/>
      <c r="K183" s="540"/>
      <c r="L183" s="530"/>
      <c r="M183" s="285"/>
    </row>
    <row r="184" spans="1:13" ht="14.25" customHeight="1" x14ac:dyDescent="0.25">
      <c r="A184" s="284"/>
      <c r="B184" s="529" t="s">
        <v>641</v>
      </c>
      <c r="C184" s="523" t="s">
        <v>1250</v>
      </c>
      <c r="D184" s="426" t="s">
        <v>627</v>
      </c>
      <c r="E184" s="426" t="s">
        <v>1214</v>
      </c>
      <c r="F184" s="440">
        <v>4.8600000000000003</v>
      </c>
      <c r="G184" s="441" t="s">
        <v>701</v>
      </c>
      <c r="H184" s="428">
        <v>1</v>
      </c>
      <c r="I184" s="530">
        <f t="shared" si="7"/>
        <v>4.8600000000000003</v>
      </c>
      <c r="J184" s="289"/>
      <c r="K184" s="540"/>
      <c r="L184" s="530"/>
      <c r="M184" s="285"/>
    </row>
    <row r="185" spans="1:13" ht="14.25" hidden="1" customHeight="1" x14ac:dyDescent="0.25">
      <c r="A185" s="284"/>
      <c r="B185" s="529" t="s">
        <v>641</v>
      </c>
      <c r="C185" s="523" t="s">
        <v>1251</v>
      </c>
      <c r="D185" s="426" t="s">
        <v>614</v>
      </c>
      <c r="E185" s="426" t="s">
        <v>1214</v>
      </c>
      <c r="F185" s="440">
        <v>26.55</v>
      </c>
      <c r="G185" s="441" t="s">
        <v>701</v>
      </c>
      <c r="H185" s="428">
        <v>1</v>
      </c>
      <c r="I185" s="530">
        <f t="shared" si="7"/>
        <v>26.55</v>
      </c>
      <c r="J185" s="289"/>
      <c r="K185" s="540"/>
      <c r="L185" s="530"/>
      <c r="M185" s="285"/>
    </row>
    <row r="186" spans="1:13" ht="14.25" hidden="1" customHeight="1" x14ac:dyDescent="0.25">
      <c r="A186" s="284"/>
      <c r="B186" s="529" t="s">
        <v>641</v>
      </c>
      <c r="C186" s="523" t="s">
        <v>1251</v>
      </c>
      <c r="D186" s="426" t="s">
        <v>615</v>
      </c>
      <c r="E186" s="426" t="s">
        <v>1214</v>
      </c>
      <c r="F186" s="440">
        <v>33.43</v>
      </c>
      <c r="G186" s="441" t="s">
        <v>701</v>
      </c>
      <c r="H186" s="428">
        <v>1</v>
      </c>
      <c r="I186" s="530">
        <f t="shared" si="7"/>
        <v>33.43</v>
      </c>
      <c r="J186" s="289"/>
      <c r="K186" s="540"/>
      <c r="L186" s="530"/>
      <c r="M186" s="285"/>
    </row>
    <row r="187" spans="1:13" ht="14.25" hidden="1" customHeight="1" x14ac:dyDescent="0.25">
      <c r="A187" s="284"/>
      <c r="B187" s="529" t="s">
        <v>641</v>
      </c>
      <c r="C187" s="523" t="s">
        <v>1251</v>
      </c>
      <c r="D187" s="426" t="s">
        <v>616</v>
      </c>
      <c r="E187" s="426" t="s">
        <v>1214</v>
      </c>
      <c r="F187" s="440">
        <v>3.14</v>
      </c>
      <c r="G187" s="441" t="s">
        <v>701</v>
      </c>
      <c r="H187" s="428">
        <v>1</v>
      </c>
      <c r="I187" s="530">
        <f t="shared" si="7"/>
        <v>3.14</v>
      </c>
      <c r="J187" s="289"/>
      <c r="K187" s="540"/>
      <c r="L187" s="530"/>
      <c r="M187" s="285"/>
    </row>
    <row r="188" spans="1:13" ht="14.25" hidden="1" customHeight="1" x14ac:dyDescent="0.25">
      <c r="A188" s="284"/>
      <c r="B188" s="529" t="s">
        <v>641</v>
      </c>
      <c r="C188" s="523" t="s">
        <v>1251</v>
      </c>
      <c r="D188" s="426" t="s">
        <v>618</v>
      </c>
      <c r="E188" s="426" t="s">
        <v>693</v>
      </c>
      <c r="F188" s="440">
        <v>28.92</v>
      </c>
      <c r="G188" s="441"/>
      <c r="H188" s="428">
        <v>1</v>
      </c>
      <c r="I188" s="530">
        <f t="shared" si="7"/>
        <v>28.92</v>
      </c>
      <c r="J188" s="289"/>
      <c r="K188" s="540"/>
      <c r="L188" s="530"/>
      <c r="M188" s="285"/>
    </row>
    <row r="189" spans="1:13" ht="14.25" hidden="1" customHeight="1" x14ac:dyDescent="0.25">
      <c r="A189" s="284"/>
      <c r="B189" s="529" t="s">
        <v>641</v>
      </c>
      <c r="C189" s="523" t="s">
        <v>1251</v>
      </c>
      <c r="D189" s="426" t="s">
        <v>689</v>
      </c>
      <c r="E189" s="426" t="s">
        <v>694</v>
      </c>
      <c r="F189" s="440">
        <v>21.51</v>
      </c>
      <c r="G189" s="441" t="s">
        <v>701</v>
      </c>
      <c r="H189" s="428">
        <v>1</v>
      </c>
      <c r="I189" s="530">
        <f t="shared" si="7"/>
        <v>21.51</v>
      </c>
      <c r="J189" s="289"/>
      <c r="K189" s="540"/>
      <c r="L189" s="530"/>
      <c r="M189" s="285"/>
    </row>
    <row r="190" spans="1:13" ht="14.25" hidden="1" customHeight="1" x14ac:dyDescent="0.25">
      <c r="A190" s="284"/>
      <c r="B190" s="529" t="s">
        <v>641</v>
      </c>
      <c r="C190" s="523" t="s">
        <v>1251</v>
      </c>
      <c r="D190" s="426" t="s">
        <v>619</v>
      </c>
      <c r="E190" s="426" t="s">
        <v>1214</v>
      </c>
      <c r="F190" s="440">
        <v>17.02</v>
      </c>
      <c r="G190" s="441" t="s">
        <v>701</v>
      </c>
      <c r="H190" s="428">
        <v>1</v>
      </c>
      <c r="I190" s="530">
        <f t="shared" si="7"/>
        <v>17.02</v>
      </c>
      <c r="J190" s="289"/>
      <c r="K190" s="540"/>
      <c r="L190" s="530"/>
      <c r="M190" s="285"/>
    </row>
    <row r="191" spans="1:13" ht="14.25" customHeight="1" x14ac:dyDescent="0.25">
      <c r="A191" s="284"/>
      <c r="B191" s="529" t="s">
        <v>641</v>
      </c>
      <c r="C191" s="523" t="s">
        <v>1251</v>
      </c>
      <c r="D191" s="426" t="s">
        <v>620</v>
      </c>
      <c r="E191" s="426" t="s">
        <v>1214</v>
      </c>
      <c r="F191" s="440">
        <v>9.32</v>
      </c>
      <c r="G191" s="441" t="s">
        <v>701</v>
      </c>
      <c r="H191" s="428">
        <v>1</v>
      </c>
      <c r="I191" s="530">
        <f t="shared" si="7"/>
        <v>9.32</v>
      </c>
      <c r="J191" s="289"/>
      <c r="K191" s="540"/>
      <c r="L191" s="530"/>
      <c r="M191" s="285"/>
    </row>
    <row r="192" spans="1:13" ht="14.25" hidden="1" customHeight="1" x14ac:dyDescent="0.25">
      <c r="A192" s="284"/>
      <c r="B192" s="529" t="s">
        <v>641</v>
      </c>
      <c r="C192" s="523" t="s">
        <v>1251</v>
      </c>
      <c r="D192" s="426" t="s">
        <v>640</v>
      </c>
      <c r="E192" s="426" t="s">
        <v>1214</v>
      </c>
      <c r="F192" s="440">
        <v>6.48</v>
      </c>
      <c r="G192" s="441" t="s">
        <v>701</v>
      </c>
      <c r="H192" s="428">
        <v>1</v>
      </c>
      <c r="I192" s="530">
        <f t="shared" si="7"/>
        <v>6.48</v>
      </c>
      <c r="J192" s="289"/>
      <c r="K192" s="540"/>
      <c r="L192" s="530"/>
      <c r="M192" s="285"/>
    </row>
    <row r="193" spans="1:13" ht="14.25" customHeight="1" x14ac:dyDescent="0.25">
      <c r="A193" s="284"/>
      <c r="B193" s="529" t="s">
        <v>641</v>
      </c>
      <c r="C193" s="523" t="s">
        <v>1251</v>
      </c>
      <c r="D193" s="426" t="s">
        <v>621</v>
      </c>
      <c r="E193" s="426" t="s">
        <v>1214</v>
      </c>
      <c r="F193" s="440">
        <v>7.51</v>
      </c>
      <c r="G193" s="441" t="s">
        <v>701</v>
      </c>
      <c r="H193" s="428">
        <v>1</v>
      </c>
      <c r="I193" s="530">
        <f t="shared" si="7"/>
        <v>7.51</v>
      </c>
      <c r="J193" s="289"/>
      <c r="K193" s="540"/>
      <c r="L193" s="530"/>
      <c r="M193" s="285"/>
    </row>
    <row r="194" spans="1:13" ht="14.25" hidden="1" customHeight="1" x14ac:dyDescent="0.25">
      <c r="A194" s="284"/>
      <c r="B194" s="529" t="s">
        <v>641</v>
      </c>
      <c r="C194" s="523" t="s">
        <v>1251</v>
      </c>
      <c r="D194" s="426" t="s">
        <v>617</v>
      </c>
      <c r="E194" s="426" t="s">
        <v>686</v>
      </c>
      <c r="F194" s="440">
        <v>17.87</v>
      </c>
      <c r="G194" s="441" t="s">
        <v>701</v>
      </c>
      <c r="H194" s="428">
        <v>1</v>
      </c>
      <c r="I194" s="530">
        <f t="shared" si="7"/>
        <v>17.87</v>
      </c>
      <c r="J194" s="289"/>
      <c r="K194" s="540"/>
      <c r="L194" s="530"/>
      <c r="M194" s="285"/>
    </row>
    <row r="195" spans="1:13" ht="14.25" hidden="1" customHeight="1" x14ac:dyDescent="0.25">
      <c r="A195" s="284"/>
      <c r="B195" s="529" t="s">
        <v>641</v>
      </c>
      <c r="C195" s="523" t="s">
        <v>1251</v>
      </c>
      <c r="D195" s="426" t="s">
        <v>622</v>
      </c>
      <c r="E195" s="426" t="s">
        <v>686</v>
      </c>
      <c r="F195" s="440">
        <v>26.69</v>
      </c>
      <c r="G195" s="441" t="s">
        <v>701</v>
      </c>
      <c r="H195" s="428">
        <v>1</v>
      </c>
      <c r="I195" s="530">
        <f t="shared" si="7"/>
        <v>26.69</v>
      </c>
      <c r="J195" s="289"/>
      <c r="K195" s="540"/>
      <c r="L195" s="530"/>
      <c r="M195" s="285"/>
    </row>
    <row r="196" spans="1:13" ht="14.25" customHeight="1" x14ac:dyDescent="0.25">
      <c r="A196" s="284"/>
      <c r="B196" s="529" t="s">
        <v>641</v>
      </c>
      <c r="C196" s="523" t="s">
        <v>1251</v>
      </c>
      <c r="D196" s="426" t="s">
        <v>623</v>
      </c>
      <c r="E196" s="426" t="s">
        <v>1214</v>
      </c>
      <c r="F196" s="440">
        <v>7.51</v>
      </c>
      <c r="G196" s="441" t="s">
        <v>701</v>
      </c>
      <c r="H196" s="428">
        <v>1</v>
      </c>
      <c r="I196" s="530">
        <f t="shared" si="7"/>
        <v>7.51</v>
      </c>
      <c r="J196" s="289"/>
      <c r="K196" s="540"/>
      <c r="L196" s="530"/>
      <c r="M196" s="285"/>
    </row>
    <row r="197" spans="1:13" ht="14.25" hidden="1" customHeight="1" x14ac:dyDescent="0.25">
      <c r="A197" s="284"/>
      <c r="B197" s="529" t="s">
        <v>641</v>
      </c>
      <c r="C197" s="523" t="s">
        <v>1251</v>
      </c>
      <c r="D197" s="426" t="s">
        <v>630</v>
      </c>
      <c r="E197" s="426" t="s">
        <v>686</v>
      </c>
      <c r="F197" s="440">
        <v>18.87</v>
      </c>
      <c r="G197" s="441" t="s">
        <v>701</v>
      </c>
      <c r="H197" s="428">
        <v>1</v>
      </c>
      <c r="I197" s="530">
        <f t="shared" si="7"/>
        <v>18.87</v>
      </c>
      <c r="J197" s="289"/>
      <c r="K197" s="540"/>
      <c r="L197" s="530"/>
      <c r="M197" s="285"/>
    </row>
    <row r="198" spans="1:13" ht="14.25" customHeight="1" x14ac:dyDescent="0.25">
      <c r="A198" s="284"/>
      <c r="B198" s="529" t="s">
        <v>641</v>
      </c>
      <c r="C198" s="523" t="s">
        <v>1251</v>
      </c>
      <c r="D198" s="426" t="s">
        <v>631</v>
      </c>
      <c r="E198" s="426" t="s">
        <v>1214</v>
      </c>
      <c r="F198" s="440">
        <v>4.8600000000000003</v>
      </c>
      <c r="G198" s="441" t="s">
        <v>701</v>
      </c>
      <c r="H198" s="428">
        <v>1</v>
      </c>
      <c r="I198" s="530">
        <f t="shared" si="7"/>
        <v>4.8600000000000003</v>
      </c>
      <c r="J198" s="289"/>
      <c r="K198" s="540"/>
      <c r="L198" s="530"/>
      <c r="M198" s="285"/>
    </row>
    <row r="199" spans="1:13" ht="14.25" hidden="1" customHeight="1" x14ac:dyDescent="0.25">
      <c r="A199" s="284"/>
      <c r="B199" s="529" t="s">
        <v>641</v>
      </c>
      <c r="C199" s="523" t="s">
        <v>1251</v>
      </c>
      <c r="D199" s="426" t="s">
        <v>624</v>
      </c>
      <c r="E199" s="426" t="s">
        <v>686</v>
      </c>
      <c r="F199" s="440">
        <v>18.87</v>
      </c>
      <c r="G199" s="441" t="s">
        <v>701</v>
      </c>
      <c r="H199" s="428">
        <v>1</v>
      </c>
      <c r="I199" s="530">
        <f t="shared" si="7"/>
        <v>18.87</v>
      </c>
      <c r="J199" s="289"/>
      <c r="K199" s="540"/>
      <c r="L199" s="530"/>
      <c r="M199" s="285"/>
    </row>
    <row r="200" spans="1:13" ht="14.25" customHeight="1" x14ac:dyDescent="0.25">
      <c r="A200" s="284"/>
      <c r="B200" s="529" t="s">
        <v>641</v>
      </c>
      <c r="C200" s="523" t="s">
        <v>1251</v>
      </c>
      <c r="D200" s="426" t="s">
        <v>625</v>
      </c>
      <c r="E200" s="426" t="s">
        <v>1214</v>
      </c>
      <c r="F200" s="440">
        <v>4.8600000000000003</v>
      </c>
      <c r="G200" s="441" t="s">
        <v>701</v>
      </c>
      <c r="H200" s="428">
        <v>1</v>
      </c>
      <c r="I200" s="530">
        <f t="shared" si="7"/>
        <v>4.8600000000000003</v>
      </c>
      <c r="J200" s="289"/>
      <c r="K200" s="540"/>
      <c r="L200" s="530"/>
      <c r="M200" s="285"/>
    </row>
    <row r="201" spans="1:13" ht="14.25" hidden="1" customHeight="1" x14ac:dyDescent="0.25">
      <c r="A201" s="284"/>
      <c r="B201" s="529" t="s">
        <v>641</v>
      </c>
      <c r="C201" s="523" t="s">
        <v>1251</v>
      </c>
      <c r="D201" s="426" t="s">
        <v>626</v>
      </c>
      <c r="E201" s="426" t="s">
        <v>686</v>
      </c>
      <c r="F201" s="440">
        <v>18.87</v>
      </c>
      <c r="G201" s="441" t="s">
        <v>701</v>
      </c>
      <c r="H201" s="428">
        <v>1</v>
      </c>
      <c r="I201" s="530">
        <f t="shared" si="7"/>
        <v>18.87</v>
      </c>
      <c r="J201" s="289"/>
      <c r="K201" s="540"/>
      <c r="L201" s="530"/>
      <c r="M201" s="285"/>
    </row>
    <row r="202" spans="1:13" ht="14.25" customHeight="1" x14ac:dyDescent="0.25">
      <c r="A202" s="284"/>
      <c r="B202" s="529" t="s">
        <v>641</v>
      </c>
      <c r="C202" s="523" t="s">
        <v>1251</v>
      </c>
      <c r="D202" s="426" t="s">
        <v>627</v>
      </c>
      <c r="E202" s="426" t="s">
        <v>1214</v>
      </c>
      <c r="F202" s="440">
        <v>4.8600000000000003</v>
      </c>
      <c r="G202" s="441" t="s">
        <v>701</v>
      </c>
      <c r="H202" s="428">
        <v>1</v>
      </c>
      <c r="I202" s="530">
        <f t="shared" si="7"/>
        <v>4.8600000000000003</v>
      </c>
      <c r="J202" s="289"/>
      <c r="K202" s="540"/>
      <c r="L202" s="530"/>
      <c r="M202" s="285"/>
    </row>
    <row r="203" spans="1:13" ht="14.25" hidden="1" customHeight="1" x14ac:dyDescent="0.25">
      <c r="A203" s="284"/>
      <c r="B203" s="529" t="s">
        <v>641</v>
      </c>
      <c r="C203" s="523" t="s">
        <v>1252</v>
      </c>
      <c r="D203" s="426" t="s">
        <v>614</v>
      </c>
      <c r="E203" s="426" t="s">
        <v>1214</v>
      </c>
      <c r="F203" s="440">
        <v>20.92</v>
      </c>
      <c r="G203" s="441" t="s">
        <v>701</v>
      </c>
      <c r="H203" s="428">
        <v>1</v>
      </c>
      <c r="I203" s="530">
        <f t="shared" si="7"/>
        <v>20.92</v>
      </c>
      <c r="J203" s="289"/>
      <c r="K203" s="540"/>
      <c r="L203" s="530"/>
      <c r="M203" s="285"/>
    </row>
    <row r="204" spans="1:13" ht="14.25" hidden="1" customHeight="1" x14ac:dyDescent="0.25">
      <c r="A204" s="284"/>
      <c r="B204" s="529" t="s">
        <v>641</v>
      </c>
      <c r="C204" s="523" t="s">
        <v>1252</v>
      </c>
      <c r="D204" s="426" t="s">
        <v>615</v>
      </c>
      <c r="E204" s="426" t="s">
        <v>1214</v>
      </c>
      <c r="F204" s="440">
        <v>29.33</v>
      </c>
      <c r="G204" s="441" t="s">
        <v>701</v>
      </c>
      <c r="H204" s="428">
        <v>1</v>
      </c>
      <c r="I204" s="530">
        <f t="shared" si="7"/>
        <v>29.33</v>
      </c>
      <c r="J204" s="289"/>
      <c r="K204" s="540"/>
      <c r="L204" s="530"/>
      <c r="M204" s="285"/>
    </row>
    <row r="205" spans="1:13" ht="14.25" hidden="1" customHeight="1" x14ac:dyDescent="0.25">
      <c r="A205" s="284"/>
      <c r="B205" s="529" t="s">
        <v>641</v>
      </c>
      <c r="C205" s="523" t="s">
        <v>1252</v>
      </c>
      <c r="D205" s="426" t="s">
        <v>616</v>
      </c>
      <c r="E205" s="426" t="s">
        <v>1214</v>
      </c>
      <c r="F205" s="440">
        <v>3.91</v>
      </c>
      <c r="G205" s="441" t="s">
        <v>701</v>
      </c>
      <c r="H205" s="428">
        <v>1</v>
      </c>
      <c r="I205" s="530">
        <f t="shared" si="7"/>
        <v>3.91</v>
      </c>
      <c r="J205" s="289"/>
      <c r="K205" s="540"/>
      <c r="L205" s="530"/>
      <c r="M205" s="285"/>
    </row>
    <row r="206" spans="1:13" ht="14.25" hidden="1" customHeight="1" x14ac:dyDescent="0.25">
      <c r="A206" s="284"/>
      <c r="B206" s="529" t="s">
        <v>641</v>
      </c>
      <c r="C206" s="523" t="s">
        <v>1252</v>
      </c>
      <c r="D206" s="426" t="s">
        <v>618</v>
      </c>
      <c r="E206" s="426" t="s">
        <v>693</v>
      </c>
      <c r="F206" s="440">
        <v>28.85</v>
      </c>
      <c r="G206" s="441"/>
      <c r="H206" s="428">
        <v>1</v>
      </c>
      <c r="I206" s="530">
        <f t="shared" si="7"/>
        <v>28.85</v>
      </c>
      <c r="J206" s="289"/>
      <c r="K206" s="540"/>
      <c r="L206" s="530"/>
      <c r="M206" s="285"/>
    </row>
    <row r="207" spans="1:13" ht="14.25" hidden="1" customHeight="1" x14ac:dyDescent="0.25">
      <c r="A207" s="284"/>
      <c r="B207" s="529" t="s">
        <v>641</v>
      </c>
      <c r="C207" s="523" t="s">
        <v>1252</v>
      </c>
      <c r="D207" s="426" t="s">
        <v>689</v>
      </c>
      <c r="E207" s="426" t="s">
        <v>694</v>
      </c>
      <c r="F207" s="440">
        <v>22.79</v>
      </c>
      <c r="G207" s="441" t="s">
        <v>701</v>
      </c>
      <c r="H207" s="428">
        <v>1</v>
      </c>
      <c r="I207" s="530">
        <f t="shared" si="7"/>
        <v>22.79</v>
      </c>
      <c r="J207" s="289"/>
      <c r="K207" s="540"/>
      <c r="L207" s="530"/>
      <c r="M207" s="285"/>
    </row>
    <row r="208" spans="1:13" ht="14.25" hidden="1" customHeight="1" x14ac:dyDescent="0.25">
      <c r="A208" s="284"/>
      <c r="B208" s="529" t="s">
        <v>641</v>
      </c>
      <c r="C208" s="523" t="s">
        <v>1252</v>
      </c>
      <c r="D208" s="426" t="s">
        <v>619</v>
      </c>
      <c r="E208" s="426" t="s">
        <v>1214</v>
      </c>
      <c r="F208" s="440">
        <v>12.23</v>
      </c>
      <c r="G208" s="441" t="s">
        <v>701</v>
      </c>
      <c r="H208" s="428">
        <v>1</v>
      </c>
      <c r="I208" s="530">
        <f t="shared" si="7"/>
        <v>12.23</v>
      </c>
      <c r="J208" s="289"/>
      <c r="K208" s="540"/>
      <c r="L208" s="530"/>
      <c r="M208" s="285"/>
    </row>
    <row r="209" spans="1:13" ht="14.25" customHeight="1" x14ac:dyDescent="0.25">
      <c r="A209" s="284"/>
      <c r="B209" s="529" t="s">
        <v>641</v>
      </c>
      <c r="C209" s="523" t="s">
        <v>1252</v>
      </c>
      <c r="D209" s="426" t="s">
        <v>620</v>
      </c>
      <c r="E209" s="426" t="s">
        <v>1214</v>
      </c>
      <c r="F209" s="440">
        <v>5.12</v>
      </c>
      <c r="G209" s="441" t="s">
        <v>701</v>
      </c>
      <c r="H209" s="428">
        <v>1</v>
      </c>
      <c r="I209" s="530">
        <f t="shared" si="7"/>
        <v>5.12</v>
      </c>
      <c r="J209" s="289"/>
      <c r="K209" s="540"/>
      <c r="L209" s="530"/>
      <c r="M209" s="285"/>
    </row>
    <row r="210" spans="1:13" ht="14.25" customHeight="1" x14ac:dyDescent="0.25">
      <c r="A210" s="284"/>
      <c r="B210" s="529" t="s">
        <v>641</v>
      </c>
      <c r="C210" s="523" t="s">
        <v>1252</v>
      </c>
      <c r="D210" s="426" t="s">
        <v>621</v>
      </c>
      <c r="E210" s="426" t="s">
        <v>1214</v>
      </c>
      <c r="F210" s="440">
        <v>5.28</v>
      </c>
      <c r="G210" s="441" t="s">
        <v>701</v>
      </c>
      <c r="H210" s="428">
        <v>1</v>
      </c>
      <c r="I210" s="530">
        <f t="shared" si="7"/>
        <v>5.28</v>
      </c>
      <c r="J210" s="289"/>
      <c r="K210" s="540"/>
      <c r="L210" s="530"/>
      <c r="M210" s="285"/>
    </row>
    <row r="211" spans="1:13" ht="14.25" hidden="1" customHeight="1" x14ac:dyDescent="0.25">
      <c r="A211" s="284"/>
      <c r="B211" s="529" t="s">
        <v>641</v>
      </c>
      <c r="C211" s="523" t="s">
        <v>1252</v>
      </c>
      <c r="D211" s="426" t="s">
        <v>617</v>
      </c>
      <c r="E211" s="426" t="s">
        <v>686</v>
      </c>
      <c r="F211" s="440">
        <v>10.66</v>
      </c>
      <c r="G211" s="441" t="s">
        <v>701</v>
      </c>
      <c r="H211" s="428">
        <v>1</v>
      </c>
      <c r="I211" s="530">
        <f t="shared" si="7"/>
        <v>10.66</v>
      </c>
      <c r="J211" s="289"/>
      <c r="K211" s="540"/>
      <c r="L211" s="530"/>
      <c r="M211" s="285"/>
    </row>
    <row r="212" spans="1:13" ht="14.25" hidden="1" customHeight="1" x14ac:dyDescent="0.25">
      <c r="A212" s="284"/>
      <c r="B212" s="529" t="s">
        <v>641</v>
      </c>
      <c r="C212" s="523" t="s">
        <v>1252</v>
      </c>
      <c r="D212" s="426" t="s">
        <v>622</v>
      </c>
      <c r="E212" s="426" t="s">
        <v>686</v>
      </c>
      <c r="F212" s="440">
        <v>31.59</v>
      </c>
      <c r="G212" s="441" t="s">
        <v>701</v>
      </c>
      <c r="H212" s="428">
        <v>1</v>
      </c>
      <c r="I212" s="530">
        <f t="shared" si="7"/>
        <v>31.59</v>
      </c>
      <c r="J212" s="289"/>
      <c r="K212" s="540"/>
      <c r="L212" s="530"/>
      <c r="M212" s="285"/>
    </row>
    <row r="213" spans="1:13" ht="14.25" customHeight="1" x14ac:dyDescent="0.25">
      <c r="A213" s="284"/>
      <c r="B213" s="529" t="s">
        <v>641</v>
      </c>
      <c r="C213" s="523" t="s">
        <v>1252</v>
      </c>
      <c r="D213" s="426" t="s">
        <v>623</v>
      </c>
      <c r="E213" s="426" t="s">
        <v>1214</v>
      </c>
      <c r="F213" s="440">
        <v>7.34</v>
      </c>
      <c r="G213" s="441" t="s">
        <v>701</v>
      </c>
      <c r="H213" s="428">
        <v>1</v>
      </c>
      <c r="I213" s="530">
        <f t="shared" si="7"/>
        <v>7.34</v>
      </c>
      <c r="J213" s="289"/>
      <c r="K213" s="540"/>
      <c r="L213" s="530"/>
      <c r="M213" s="285"/>
    </row>
    <row r="214" spans="1:13" ht="14.25" hidden="1" customHeight="1" x14ac:dyDescent="0.25">
      <c r="A214" s="284"/>
      <c r="B214" s="529" t="s">
        <v>641</v>
      </c>
      <c r="C214" s="523" t="s">
        <v>1252</v>
      </c>
      <c r="D214" s="426" t="s">
        <v>624</v>
      </c>
      <c r="E214" s="426" t="s">
        <v>686</v>
      </c>
      <c r="F214" s="440">
        <v>18.7</v>
      </c>
      <c r="G214" s="441" t="s">
        <v>701</v>
      </c>
      <c r="H214" s="428">
        <v>1</v>
      </c>
      <c r="I214" s="530">
        <f t="shared" si="7"/>
        <v>18.7</v>
      </c>
      <c r="J214" s="289"/>
      <c r="K214" s="540"/>
      <c r="L214" s="530"/>
      <c r="M214" s="285"/>
    </row>
    <row r="215" spans="1:13" ht="14.25" customHeight="1" x14ac:dyDescent="0.25">
      <c r="A215" s="284"/>
      <c r="B215" s="529" t="s">
        <v>641</v>
      </c>
      <c r="C215" s="523" t="s">
        <v>1252</v>
      </c>
      <c r="D215" s="426" t="s">
        <v>625</v>
      </c>
      <c r="E215" s="426" t="s">
        <v>1214</v>
      </c>
      <c r="F215" s="440">
        <v>4.83</v>
      </c>
      <c r="G215" s="441" t="s">
        <v>701</v>
      </c>
      <c r="H215" s="428">
        <v>1</v>
      </c>
      <c r="I215" s="530">
        <f t="shared" ref="I215:I278" si="8">F215*H215</f>
        <v>4.83</v>
      </c>
      <c r="J215" s="289"/>
      <c r="K215" s="540"/>
      <c r="L215" s="530"/>
      <c r="M215" s="285"/>
    </row>
    <row r="216" spans="1:13" ht="14.25" hidden="1" customHeight="1" x14ac:dyDescent="0.25">
      <c r="A216" s="284"/>
      <c r="B216" s="529" t="s">
        <v>641</v>
      </c>
      <c r="C216" s="523" t="s">
        <v>1252</v>
      </c>
      <c r="D216" s="426" t="s">
        <v>626</v>
      </c>
      <c r="E216" s="426" t="s">
        <v>686</v>
      </c>
      <c r="F216" s="440">
        <v>18.7</v>
      </c>
      <c r="G216" s="441" t="s">
        <v>701</v>
      </c>
      <c r="H216" s="428">
        <v>1</v>
      </c>
      <c r="I216" s="530">
        <f t="shared" si="8"/>
        <v>18.7</v>
      </c>
      <c r="J216" s="289"/>
      <c r="K216" s="540"/>
      <c r="L216" s="530"/>
      <c r="M216" s="285"/>
    </row>
    <row r="217" spans="1:13" ht="14.25" customHeight="1" x14ac:dyDescent="0.25">
      <c r="A217" s="284"/>
      <c r="B217" s="529" t="s">
        <v>641</v>
      </c>
      <c r="C217" s="523" t="s">
        <v>1252</v>
      </c>
      <c r="D217" s="426" t="s">
        <v>627</v>
      </c>
      <c r="E217" s="426" t="s">
        <v>1214</v>
      </c>
      <c r="F217" s="440">
        <v>5.82</v>
      </c>
      <c r="G217" s="441" t="s">
        <v>701</v>
      </c>
      <c r="H217" s="428">
        <v>1</v>
      </c>
      <c r="I217" s="530">
        <f t="shared" si="8"/>
        <v>5.82</v>
      </c>
      <c r="J217" s="289"/>
      <c r="K217" s="540"/>
      <c r="L217" s="530"/>
      <c r="M217" s="285"/>
    </row>
    <row r="218" spans="1:13" ht="14.25" hidden="1" customHeight="1" x14ac:dyDescent="0.25">
      <c r="A218" s="284"/>
      <c r="B218" s="529" t="s">
        <v>641</v>
      </c>
      <c r="C218" s="523" t="s">
        <v>635</v>
      </c>
      <c r="D218" s="426" t="s">
        <v>637</v>
      </c>
      <c r="E218" s="426" t="s">
        <v>197</v>
      </c>
      <c r="F218" s="440">
        <f>15.93+1.5*0.18*20</f>
        <v>21.33</v>
      </c>
      <c r="G218" s="441" t="s">
        <v>701</v>
      </c>
      <c r="H218" s="428">
        <v>1</v>
      </c>
      <c r="I218" s="530">
        <f t="shared" si="8"/>
        <v>21.33</v>
      </c>
      <c r="J218" s="289"/>
      <c r="K218" s="540"/>
      <c r="L218" s="530"/>
      <c r="M218" s="285"/>
    </row>
    <row r="219" spans="1:13" ht="14.25" hidden="1" customHeight="1" x14ac:dyDescent="0.25">
      <c r="A219" s="284"/>
      <c r="B219" s="529" t="s">
        <v>641</v>
      </c>
      <c r="C219" s="523" t="s">
        <v>635</v>
      </c>
      <c r="D219" s="426" t="s">
        <v>646</v>
      </c>
      <c r="E219" s="426" t="s">
        <v>1214</v>
      </c>
      <c r="F219" s="440">
        <v>12.9</v>
      </c>
      <c r="G219" s="441" t="s">
        <v>701</v>
      </c>
      <c r="H219" s="428">
        <v>1</v>
      </c>
      <c r="I219" s="530">
        <f t="shared" si="8"/>
        <v>12.9</v>
      </c>
      <c r="J219" s="289"/>
      <c r="K219" s="540"/>
      <c r="L219" s="530"/>
      <c r="M219" s="285"/>
    </row>
    <row r="220" spans="1:13" ht="14.25" hidden="1" customHeight="1" x14ac:dyDescent="0.25">
      <c r="A220" s="284"/>
      <c r="B220" s="529" t="s">
        <v>641</v>
      </c>
      <c r="C220" s="523" t="s">
        <v>635</v>
      </c>
      <c r="D220" s="426" t="s">
        <v>647</v>
      </c>
      <c r="E220" s="426" t="s">
        <v>1214</v>
      </c>
      <c r="F220" s="440">
        <v>6.05</v>
      </c>
      <c r="G220" s="441" t="s">
        <v>701</v>
      </c>
      <c r="H220" s="428">
        <v>1</v>
      </c>
      <c r="I220" s="530">
        <f t="shared" si="8"/>
        <v>6.05</v>
      </c>
      <c r="J220" s="289"/>
      <c r="K220" s="540"/>
      <c r="L220" s="530"/>
      <c r="M220" s="285"/>
    </row>
    <row r="221" spans="1:13" ht="14.25" customHeight="1" x14ac:dyDescent="0.25">
      <c r="A221" s="284"/>
      <c r="B221" s="529" t="s">
        <v>641</v>
      </c>
      <c r="C221" s="523" t="s">
        <v>635</v>
      </c>
      <c r="D221" s="426" t="s">
        <v>648</v>
      </c>
      <c r="E221" s="426" t="s">
        <v>1214</v>
      </c>
      <c r="F221" s="440">
        <v>2.04</v>
      </c>
      <c r="G221" s="441" t="s">
        <v>701</v>
      </c>
      <c r="H221" s="428">
        <v>1</v>
      </c>
      <c r="I221" s="530">
        <f t="shared" si="8"/>
        <v>2.04</v>
      </c>
      <c r="J221" s="289"/>
      <c r="K221" s="540"/>
      <c r="L221" s="530"/>
      <c r="M221" s="285"/>
    </row>
    <row r="222" spans="1:13" ht="14.25" hidden="1" customHeight="1" x14ac:dyDescent="0.25">
      <c r="A222" s="284"/>
      <c r="B222" s="529" t="s">
        <v>641</v>
      </c>
      <c r="C222" s="523" t="s">
        <v>635</v>
      </c>
      <c r="D222" s="426" t="s">
        <v>649</v>
      </c>
      <c r="E222" s="426" t="s">
        <v>1214</v>
      </c>
      <c r="F222" s="440">
        <v>9.02</v>
      </c>
      <c r="G222" s="441" t="s">
        <v>701</v>
      </c>
      <c r="H222" s="428">
        <v>1</v>
      </c>
      <c r="I222" s="530">
        <f t="shared" si="8"/>
        <v>9.02</v>
      </c>
      <c r="J222" s="289"/>
      <c r="K222" s="540"/>
      <c r="L222" s="530"/>
      <c r="M222" s="285"/>
    </row>
    <row r="223" spans="1:13" ht="14.25" hidden="1" customHeight="1" x14ac:dyDescent="0.25">
      <c r="A223" s="284"/>
      <c r="B223" s="529" t="s">
        <v>641</v>
      </c>
      <c r="C223" s="523" t="s">
        <v>635</v>
      </c>
      <c r="D223" s="426" t="s">
        <v>650</v>
      </c>
      <c r="E223" s="426" t="s">
        <v>188</v>
      </c>
      <c r="F223" s="440">
        <v>19.420000000000002</v>
      </c>
      <c r="G223" s="441" t="s">
        <v>701</v>
      </c>
      <c r="H223" s="428">
        <v>1</v>
      </c>
      <c r="I223" s="530">
        <f t="shared" si="8"/>
        <v>19.420000000000002</v>
      </c>
      <c r="J223" s="289"/>
      <c r="K223" s="540"/>
      <c r="L223" s="530"/>
      <c r="M223" s="285"/>
    </row>
    <row r="224" spans="1:13" ht="14.25" hidden="1" customHeight="1" x14ac:dyDescent="0.25">
      <c r="A224" s="284"/>
      <c r="B224" s="529" t="s">
        <v>641</v>
      </c>
      <c r="C224" s="523" t="s">
        <v>635</v>
      </c>
      <c r="D224" s="426" t="s">
        <v>652</v>
      </c>
      <c r="E224" s="426" t="s">
        <v>1214</v>
      </c>
      <c r="F224" s="440">
        <v>488.99</v>
      </c>
      <c r="G224" s="441" t="s">
        <v>701</v>
      </c>
      <c r="H224" s="428">
        <v>1</v>
      </c>
      <c r="I224" s="530">
        <f t="shared" si="8"/>
        <v>488.99</v>
      </c>
      <c r="J224" s="289"/>
      <c r="K224" s="540"/>
      <c r="L224" s="530"/>
      <c r="M224" s="285"/>
    </row>
    <row r="225" spans="1:13" ht="14.25" hidden="1" customHeight="1" x14ac:dyDescent="0.25">
      <c r="A225" s="284"/>
      <c r="B225" s="529" t="s">
        <v>641</v>
      </c>
      <c r="C225" s="523" t="s">
        <v>1253</v>
      </c>
      <c r="D225" s="426" t="s">
        <v>614</v>
      </c>
      <c r="E225" s="426" t="s">
        <v>1214</v>
      </c>
      <c r="F225" s="440">
        <v>27.56</v>
      </c>
      <c r="G225" s="441" t="s">
        <v>701</v>
      </c>
      <c r="H225" s="428">
        <v>1</v>
      </c>
      <c r="I225" s="530">
        <f t="shared" si="8"/>
        <v>27.56</v>
      </c>
      <c r="J225" s="289"/>
      <c r="K225" s="540"/>
      <c r="L225" s="530"/>
      <c r="M225" s="285"/>
    </row>
    <row r="226" spans="1:13" ht="14.25" hidden="1" customHeight="1" x14ac:dyDescent="0.25">
      <c r="A226" s="284"/>
      <c r="B226" s="529" t="s">
        <v>641</v>
      </c>
      <c r="C226" s="523" t="s">
        <v>1253</v>
      </c>
      <c r="D226" s="426" t="s">
        <v>615</v>
      </c>
      <c r="E226" s="426" t="s">
        <v>1214</v>
      </c>
      <c r="F226" s="440">
        <v>41.49</v>
      </c>
      <c r="G226" s="441" t="s">
        <v>701</v>
      </c>
      <c r="H226" s="428">
        <v>1</v>
      </c>
      <c r="I226" s="530">
        <f t="shared" si="8"/>
        <v>41.49</v>
      </c>
      <c r="J226" s="289"/>
      <c r="K226" s="540"/>
      <c r="L226" s="530"/>
      <c r="M226" s="285"/>
    </row>
    <row r="227" spans="1:13" ht="14.25" hidden="1" customHeight="1" x14ac:dyDescent="0.25">
      <c r="A227" s="284"/>
      <c r="B227" s="529" t="s">
        <v>641</v>
      </c>
      <c r="C227" s="523" t="s">
        <v>1253</v>
      </c>
      <c r="D227" s="426" t="s">
        <v>616</v>
      </c>
      <c r="E227" s="426" t="s">
        <v>1214</v>
      </c>
      <c r="F227" s="440">
        <v>3.5</v>
      </c>
      <c r="G227" s="441" t="s">
        <v>701</v>
      </c>
      <c r="H227" s="428">
        <v>1</v>
      </c>
      <c r="I227" s="530">
        <f t="shared" si="8"/>
        <v>3.5</v>
      </c>
      <c r="J227" s="289"/>
      <c r="K227" s="540"/>
      <c r="L227" s="530"/>
      <c r="M227" s="285"/>
    </row>
    <row r="228" spans="1:13" ht="14.25" hidden="1" customHeight="1" x14ac:dyDescent="0.25">
      <c r="A228" s="284"/>
      <c r="B228" s="529" t="s">
        <v>641</v>
      </c>
      <c r="C228" s="523" t="s">
        <v>1253</v>
      </c>
      <c r="D228" s="426" t="s">
        <v>618</v>
      </c>
      <c r="E228" s="426" t="s">
        <v>693</v>
      </c>
      <c r="F228" s="440">
        <v>30.89</v>
      </c>
      <c r="G228" s="441"/>
      <c r="H228" s="428">
        <v>1</v>
      </c>
      <c r="I228" s="530">
        <f t="shared" si="8"/>
        <v>30.89</v>
      </c>
      <c r="J228" s="289"/>
      <c r="K228" s="540"/>
      <c r="L228" s="530"/>
      <c r="M228" s="285"/>
    </row>
    <row r="229" spans="1:13" ht="14.25" hidden="1" customHeight="1" x14ac:dyDescent="0.25">
      <c r="A229" s="284"/>
      <c r="B229" s="529" t="s">
        <v>641</v>
      </c>
      <c r="C229" s="523" t="s">
        <v>1253</v>
      </c>
      <c r="D229" s="426" t="s">
        <v>689</v>
      </c>
      <c r="E229" s="426" t="s">
        <v>694</v>
      </c>
      <c r="F229" s="440">
        <v>22.77</v>
      </c>
      <c r="G229" s="441" t="s">
        <v>701</v>
      </c>
      <c r="H229" s="428">
        <v>1</v>
      </c>
      <c r="I229" s="530">
        <f t="shared" si="8"/>
        <v>22.77</v>
      </c>
      <c r="J229" s="289"/>
      <c r="K229" s="540"/>
      <c r="L229" s="530"/>
      <c r="M229" s="285"/>
    </row>
    <row r="230" spans="1:13" ht="14.25" hidden="1" customHeight="1" x14ac:dyDescent="0.25">
      <c r="A230" s="284"/>
      <c r="B230" s="529" t="s">
        <v>641</v>
      </c>
      <c r="C230" s="523" t="s">
        <v>1253</v>
      </c>
      <c r="D230" s="426" t="s">
        <v>619</v>
      </c>
      <c r="E230" s="426" t="s">
        <v>1214</v>
      </c>
      <c r="F230" s="440">
        <v>15.14</v>
      </c>
      <c r="G230" s="441" t="s">
        <v>701</v>
      </c>
      <c r="H230" s="428">
        <v>1</v>
      </c>
      <c r="I230" s="530">
        <f t="shared" si="8"/>
        <v>15.14</v>
      </c>
      <c r="J230" s="289"/>
      <c r="K230" s="540"/>
      <c r="L230" s="530"/>
      <c r="M230" s="285"/>
    </row>
    <row r="231" spans="1:13" ht="14.25" customHeight="1" x14ac:dyDescent="0.25">
      <c r="A231" s="284"/>
      <c r="B231" s="529" t="s">
        <v>641</v>
      </c>
      <c r="C231" s="523" t="s">
        <v>1253</v>
      </c>
      <c r="D231" s="426" t="s">
        <v>620</v>
      </c>
      <c r="E231" s="426" t="s">
        <v>1214</v>
      </c>
      <c r="F231" s="440">
        <v>9.49</v>
      </c>
      <c r="G231" s="441" t="s">
        <v>701</v>
      </c>
      <c r="H231" s="428">
        <v>1</v>
      </c>
      <c r="I231" s="530">
        <f t="shared" si="8"/>
        <v>9.49</v>
      </c>
      <c r="J231" s="289"/>
      <c r="K231" s="540"/>
      <c r="L231" s="530"/>
      <c r="M231" s="285"/>
    </row>
    <row r="232" spans="1:13" ht="14.25" customHeight="1" x14ac:dyDescent="0.25">
      <c r="A232" s="284"/>
      <c r="B232" s="529" t="s">
        <v>641</v>
      </c>
      <c r="C232" s="523" t="s">
        <v>1253</v>
      </c>
      <c r="D232" s="426" t="s">
        <v>621</v>
      </c>
      <c r="E232" s="426" t="s">
        <v>1214</v>
      </c>
      <c r="F232" s="440">
        <v>6.96</v>
      </c>
      <c r="G232" s="441" t="s">
        <v>701</v>
      </c>
      <c r="H232" s="428">
        <v>1</v>
      </c>
      <c r="I232" s="530">
        <f t="shared" si="8"/>
        <v>6.96</v>
      </c>
      <c r="J232" s="289"/>
      <c r="K232" s="540"/>
      <c r="L232" s="530"/>
      <c r="M232" s="285"/>
    </row>
    <row r="233" spans="1:13" ht="14.25" hidden="1" customHeight="1" x14ac:dyDescent="0.25">
      <c r="A233" s="284"/>
      <c r="B233" s="529" t="s">
        <v>641</v>
      </c>
      <c r="C233" s="523" t="s">
        <v>1253</v>
      </c>
      <c r="D233" s="426" t="s">
        <v>617</v>
      </c>
      <c r="E233" s="426" t="s">
        <v>686</v>
      </c>
      <c r="F233" s="440">
        <v>4.09</v>
      </c>
      <c r="G233" s="441" t="s">
        <v>701</v>
      </c>
      <c r="H233" s="428">
        <v>1</v>
      </c>
      <c r="I233" s="530">
        <f t="shared" si="8"/>
        <v>4.09</v>
      </c>
      <c r="J233" s="289"/>
      <c r="K233" s="540"/>
      <c r="L233" s="530"/>
      <c r="M233" s="285"/>
    </row>
    <row r="234" spans="1:13" ht="14.25" hidden="1" customHeight="1" x14ac:dyDescent="0.25">
      <c r="A234" s="284"/>
      <c r="B234" s="529" t="s">
        <v>641</v>
      </c>
      <c r="C234" s="523" t="s">
        <v>1253</v>
      </c>
      <c r="D234" s="426" t="s">
        <v>622</v>
      </c>
      <c r="E234" s="426" t="s">
        <v>686</v>
      </c>
      <c r="F234" s="440">
        <v>28.46</v>
      </c>
      <c r="G234" s="441" t="s">
        <v>701</v>
      </c>
      <c r="H234" s="428">
        <v>1</v>
      </c>
      <c r="I234" s="530">
        <f t="shared" si="8"/>
        <v>28.46</v>
      </c>
      <c r="J234" s="289"/>
      <c r="K234" s="540"/>
      <c r="L234" s="530"/>
      <c r="M234" s="285"/>
    </row>
    <row r="235" spans="1:13" ht="14.25" customHeight="1" x14ac:dyDescent="0.25">
      <c r="A235" s="284"/>
      <c r="B235" s="529" t="s">
        <v>641</v>
      </c>
      <c r="C235" s="523" t="s">
        <v>1253</v>
      </c>
      <c r="D235" s="426" t="s">
        <v>623</v>
      </c>
      <c r="E235" s="426" t="s">
        <v>1214</v>
      </c>
      <c r="F235" s="440">
        <v>6.9</v>
      </c>
      <c r="G235" s="441" t="s">
        <v>701</v>
      </c>
      <c r="H235" s="428">
        <v>1</v>
      </c>
      <c r="I235" s="530">
        <f t="shared" si="8"/>
        <v>6.9</v>
      </c>
      <c r="J235" s="289"/>
      <c r="K235" s="540"/>
      <c r="L235" s="530"/>
      <c r="M235" s="285"/>
    </row>
    <row r="236" spans="1:13" ht="14.25" hidden="1" customHeight="1" x14ac:dyDescent="0.25">
      <c r="A236" s="284"/>
      <c r="B236" s="529" t="s">
        <v>641</v>
      </c>
      <c r="C236" s="523" t="s">
        <v>1253</v>
      </c>
      <c r="D236" s="426" t="s">
        <v>630</v>
      </c>
      <c r="E236" s="426" t="s">
        <v>686</v>
      </c>
      <c r="F236" s="440">
        <v>18.87</v>
      </c>
      <c r="G236" s="441" t="s">
        <v>701</v>
      </c>
      <c r="H236" s="428">
        <v>1</v>
      </c>
      <c r="I236" s="530">
        <f t="shared" si="8"/>
        <v>18.87</v>
      </c>
      <c r="J236" s="289"/>
      <c r="K236" s="540"/>
      <c r="L236" s="530"/>
      <c r="M236" s="285"/>
    </row>
    <row r="237" spans="1:13" ht="14.25" customHeight="1" x14ac:dyDescent="0.25">
      <c r="A237" s="284"/>
      <c r="B237" s="529" t="s">
        <v>641</v>
      </c>
      <c r="C237" s="523" t="s">
        <v>1253</v>
      </c>
      <c r="D237" s="426" t="s">
        <v>631</v>
      </c>
      <c r="E237" s="426" t="s">
        <v>1214</v>
      </c>
      <c r="F237" s="440">
        <v>4.8499999999999996</v>
      </c>
      <c r="G237" s="441" t="s">
        <v>701</v>
      </c>
      <c r="H237" s="428">
        <v>1</v>
      </c>
      <c r="I237" s="530">
        <f t="shared" si="8"/>
        <v>4.8499999999999996</v>
      </c>
      <c r="J237" s="289"/>
      <c r="K237" s="540"/>
      <c r="L237" s="530"/>
      <c r="M237" s="285"/>
    </row>
    <row r="238" spans="1:13" ht="14.25" hidden="1" customHeight="1" x14ac:dyDescent="0.25">
      <c r="A238" s="284"/>
      <c r="B238" s="529" t="s">
        <v>641</v>
      </c>
      <c r="C238" s="523" t="s">
        <v>1253</v>
      </c>
      <c r="D238" s="426" t="s">
        <v>624</v>
      </c>
      <c r="E238" s="426" t="s">
        <v>686</v>
      </c>
      <c r="F238" s="440">
        <v>18.850000000000001</v>
      </c>
      <c r="G238" s="441" t="s">
        <v>701</v>
      </c>
      <c r="H238" s="428">
        <v>1</v>
      </c>
      <c r="I238" s="530">
        <f t="shared" si="8"/>
        <v>18.850000000000001</v>
      </c>
      <c r="J238" s="289"/>
      <c r="K238" s="540"/>
      <c r="L238" s="530"/>
      <c r="M238" s="285"/>
    </row>
    <row r="239" spans="1:13" ht="14.25" customHeight="1" x14ac:dyDescent="0.25">
      <c r="A239" s="284"/>
      <c r="B239" s="529" t="s">
        <v>641</v>
      </c>
      <c r="C239" s="523" t="s">
        <v>1253</v>
      </c>
      <c r="D239" s="426" t="s">
        <v>625</v>
      </c>
      <c r="E239" s="426" t="s">
        <v>1214</v>
      </c>
      <c r="F239" s="440">
        <v>4.8499999999999996</v>
      </c>
      <c r="G239" s="441" t="s">
        <v>701</v>
      </c>
      <c r="H239" s="428">
        <v>1</v>
      </c>
      <c r="I239" s="530">
        <f t="shared" si="8"/>
        <v>4.8499999999999996</v>
      </c>
      <c r="J239" s="289"/>
      <c r="K239" s="540"/>
      <c r="L239" s="530"/>
      <c r="M239" s="285"/>
    </row>
    <row r="240" spans="1:13" ht="14.25" hidden="1" customHeight="1" x14ac:dyDescent="0.25">
      <c r="A240" s="284"/>
      <c r="B240" s="529" t="s">
        <v>641</v>
      </c>
      <c r="C240" s="523" t="s">
        <v>1253</v>
      </c>
      <c r="D240" s="426" t="s">
        <v>626</v>
      </c>
      <c r="E240" s="426" t="s">
        <v>686</v>
      </c>
      <c r="F240" s="440">
        <v>18.850000000000001</v>
      </c>
      <c r="G240" s="441" t="s">
        <v>701</v>
      </c>
      <c r="H240" s="428">
        <v>1</v>
      </c>
      <c r="I240" s="530">
        <f t="shared" si="8"/>
        <v>18.850000000000001</v>
      </c>
      <c r="J240" s="289"/>
      <c r="K240" s="540"/>
      <c r="L240" s="530"/>
      <c r="M240" s="285"/>
    </row>
    <row r="241" spans="1:13" ht="14.25" customHeight="1" x14ac:dyDescent="0.25">
      <c r="A241" s="284"/>
      <c r="B241" s="529" t="s">
        <v>641</v>
      </c>
      <c r="C241" s="523" t="s">
        <v>1253</v>
      </c>
      <c r="D241" s="426" t="s">
        <v>627</v>
      </c>
      <c r="E241" s="426" t="s">
        <v>1214</v>
      </c>
      <c r="F241" s="440">
        <v>4.8499999999999996</v>
      </c>
      <c r="G241" s="441" t="s">
        <v>701</v>
      </c>
      <c r="H241" s="428">
        <v>1</v>
      </c>
      <c r="I241" s="530">
        <f t="shared" si="8"/>
        <v>4.8499999999999996</v>
      </c>
      <c r="J241" s="289"/>
      <c r="K241" s="540"/>
      <c r="L241" s="530"/>
      <c r="M241" s="285"/>
    </row>
    <row r="242" spans="1:13" ht="14.25" hidden="1" customHeight="1" x14ac:dyDescent="0.25">
      <c r="A242" s="284"/>
      <c r="B242" s="529" t="s">
        <v>641</v>
      </c>
      <c r="C242" s="523" t="s">
        <v>1254</v>
      </c>
      <c r="D242" s="426" t="s">
        <v>614</v>
      </c>
      <c r="E242" s="426" t="s">
        <v>1214</v>
      </c>
      <c r="F242" s="440">
        <v>23.35</v>
      </c>
      <c r="G242" s="441" t="s">
        <v>701</v>
      </c>
      <c r="H242" s="428">
        <v>1</v>
      </c>
      <c r="I242" s="530">
        <f t="shared" si="8"/>
        <v>23.35</v>
      </c>
      <c r="J242" s="289"/>
      <c r="K242" s="540"/>
      <c r="L242" s="530"/>
      <c r="M242" s="285"/>
    </row>
    <row r="243" spans="1:13" ht="14.25" hidden="1" customHeight="1" x14ac:dyDescent="0.25">
      <c r="A243" s="284"/>
      <c r="B243" s="529" t="s">
        <v>641</v>
      </c>
      <c r="C243" s="523" t="s">
        <v>1254</v>
      </c>
      <c r="D243" s="426" t="s">
        <v>615</v>
      </c>
      <c r="E243" s="426" t="s">
        <v>1214</v>
      </c>
      <c r="F243" s="440">
        <v>27.85</v>
      </c>
      <c r="G243" s="441" t="s">
        <v>701</v>
      </c>
      <c r="H243" s="428">
        <v>1</v>
      </c>
      <c r="I243" s="530">
        <f t="shared" si="8"/>
        <v>27.85</v>
      </c>
      <c r="J243" s="289"/>
      <c r="K243" s="540"/>
      <c r="L243" s="530"/>
      <c r="M243" s="285"/>
    </row>
    <row r="244" spans="1:13" ht="14.25" hidden="1" customHeight="1" x14ac:dyDescent="0.25">
      <c r="A244" s="284"/>
      <c r="B244" s="529" t="s">
        <v>641</v>
      </c>
      <c r="C244" s="523" t="s">
        <v>1254</v>
      </c>
      <c r="D244" s="426" t="s">
        <v>616</v>
      </c>
      <c r="E244" s="426" t="s">
        <v>1214</v>
      </c>
      <c r="F244" s="440">
        <v>3.4</v>
      </c>
      <c r="G244" s="441" t="s">
        <v>701</v>
      </c>
      <c r="H244" s="428">
        <v>1</v>
      </c>
      <c r="I244" s="530">
        <f t="shared" si="8"/>
        <v>3.4</v>
      </c>
      <c r="J244" s="289"/>
      <c r="K244" s="540"/>
      <c r="L244" s="530"/>
      <c r="M244" s="285"/>
    </row>
    <row r="245" spans="1:13" ht="14.25" hidden="1" customHeight="1" x14ac:dyDescent="0.25">
      <c r="A245" s="284"/>
      <c r="B245" s="529" t="s">
        <v>641</v>
      </c>
      <c r="C245" s="523" t="s">
        <v>1254</v>
      </c>
      <c r="D245" s="426" t="s">
        <v>618</v>
      </c>
      <c r="E245" s="426" t="s">
        <v>693</v>
      </c>
      <c r="F245" s="440">
        <v>32.5</v>
      </c>
      <c r="G245" s="441"/>
      <c r="H245" s="428">
        <v>1</v>
      </c>
      <c r="I245" s="530">
        <f t="shared" si="8"/>
        <v>32.5</v>
      </c>
      <c r="J245" s="289"/>
      <c r="K245" s="540"/>
      <c r="L245" s="530"/>
      <c r="M245" s="285"/>
    </row>
    <row r="246" spans="1:13" ht="14.25" hidden="1" customHeight="1" x14ac:dyDescent="0.25">
      <c r="A246" s="284"/>
      <c r="B246" s="529" t="s">
        <v>641</v>
      </c>
      <c r="C246" s="523" t="s">
        <v>1254</v>
      </c>
      <c r="D246" s="426" t="s">
        <v>689</v>
      </c>
      <c r="E246" s="426" t="s">
        <v>694</v>
      </c>
      <c r="F246" s="440">
        <v>22.8</v>
      </c>
      <c r="G246" s="441" t="s">
        <v>701</v>
      </c>
      <c r="H246" s="428">
        <v>1</v>
      </c>
      <c r="I246" s="530">
        <f t="shared" si="8"/>
        <v>22.8</v>
      </c>
      <c r="J246" s="289"/>
      <c r="K246" s="540"/>
      <c r="L246" s="530"/>
      <c r="M246" s="285"/>
    </row>
    <row r="247" spans="1:13" ht="14.25" hidden="1" customHeight="1" x14ac:dyDescent="0.25">
      <c r="A247" s="284"/>
      <c r="B247" s="529" t="s">
        <v>641</v>
      </c>
      <c r="C247" s="523" t="s">
        <v>1254</v>
      </c>
      <c r="D247" s="426" t="s">
        <v>619</v>
      </c>
      <c r="E247" s="426" t="s">
        <v>1214</v>
      </c>
      <c r="F247" s="440">
        <v>15.61</v>
      </c>
      <c r="G247" s="441" t="s">
        <v>701</v>
      </c>
      <c r="H247" s="428">
        <v>1</v>
      </c>
      <c r="I247" s="530">
        <f t="shared" si="8"/>
        <v>15.61</v>
      </c>
      <c r="J247" s="289"/>
      <c r="K247" s="540"/>
      <c r="L247" s="530"/>
      <c r="M247" s="285"/>
    </row>
    <row r="248" spans="1:13" ht="14.25" customHeight="1" x14ac:dyDescent="0.25">
      <c r="A248" s="284"/>
      <c r="B248" s="529" t="s">
        <v>641</v>
      </c>
      <c r="C248" s="523" t="s">
        <v>1254</v>
      </c>
      <c r="D248" s="426" t="s">
        <v>620</v>
      </c>
      <c r="E248" s="426" t="s">
        <v>1214</v>
      </c>
      <c r="F248" s="440">
        <v>7.53</v>
      </c>
      <c r="G248" s="441" t="s">
        <v>701</v>
      </c>
      <c r="H248" s="428">
        <v>1</v>
      </c>
      <c r="I248" s="530">
        <f t="shared" si="8"/>
        <v>7.53</v>
      </c>
      <c r="J248" s="289"/>
      <c r="K248" s="540"/>
      <c r="L248" s="530"/>
      <c r="M248" s="285"/>
    </row>
    <row r="249" spans="1:13" ht="14.25" customHeight="1" x14ac:dyDescent="0.25">
      <c r="A249" s="284"/>
      <c r="B249" s="529" t="s">
        <v>641</v>
      </c>
      <c r="C249" s="523" t="s">
        <v>1254</v>
      </c>
      <c r="D249" s="426" t="s">
        <v>621</v>
      </c>
      <c r="E249" s="426" t="s">
        <v>1214</v>
      </c>
      <c r="F249" s="440">
        <v>4.22</v>
      </c>
      <c r="G249" s="441" t="s">
        <v>701</v>
      </c>
      <c r="H249" s="428">
        <v>1</v>
      </c>
      <c r="I249" s="530">
        <f t="shared" si="8"/>
        <v>4.22</v>
      </c>
      <c r="J249" s="289"/>
      <c r="K249" s="540"/>
      <c r="L249" s="530"/>
      <c r="M249" s="285"/>
    </row>
    <row r="250" spans="1:13" ht="14.25" hidden="1" customHeight="1" x14ac:dyDescent="0.25">
      <c r="A250" s="284"/>
      <c r="B250" s="529" t="s">
        <v>641</v>
      </c>
      <c r="C250" s="523" t="s">
        <v>1254</v>
      </c>
      <c r="D250" s="426" t="s">
        <v>617</v>
      </c>
      <c r="E250" s="426" t="s">
        <v>686</v>
      </c>
      <c r="F250" s="440">
        <v>11.99</v>
      </c>
      <c r="G250" s="441" t="s">
        <v>701</v>
      </c>
      <c r="H250" s="428">
        <v>1</v>
      </c>
      <c r="I250" s="530">
        <f t="shared" si="8"/>
        <v>11.99</v>
      </c>
      <c r="J250" s="289"/>
      <c r="K250" s="540"/>
      <c r="L250" s="530"/>
      <c r="M250" s="285"/>
    </row>
    <row r="251" spans="1:13" ht="14.25" hidden="1" customHeight="1" x14ac:dyDescent="0.25">
      <c r="A251" s="284"/>
      <c r="B251" s="529" t="s">
        <v>641</v>
      </c>
      <c r="C251" s="523" t="s">
        <v>1254</v>
      </c>
      <c r="D251" s="426" t="s">
        <v>622</v>
      </c>
      <c r="E251" s="426" t="s">
        <v>686</v>
      </c>
      <c r="F251" s="440">
        <v>27.24</v>
      </c>
      <c r="G251" s="441" t="s">
        <v>701</v>
      </c>
      <c r="H251" s="428">
        <v>1</v>
      </c>
      <c r="I251" s="530">
        <f t="shared" si="8"/>
        <v>27.24</v>
      </c>
      <c r="J251" s="289"/>
      <c r="K251" s="540"/>
      <c r="L251" s="530"/>
      <c r="M251" s="285"/>
    </row>
    <row r="252" spans="1:13" ht="14.25" customHeight="1" x14ac:dyDescent="0.25">
      <c r="A252" s="284"/>
      <c r="B252" s="529" t="s">
        <v>641</v>
      </c>
      <c r="C252" s="523" t="s">
        <v>1254</v>
      </c>
      <c r="D252" s="426" t="s">
        <v>623</v>
      </c>
      <c r="E252" s="426" t="s">
        <v>1214</v>
      </c>
      <c r="F252" s="440">
        <v>7.54</v>
      </c>
      <c r="G252" s="441" t="s">
        <v>701</v>
      </c>
      <c r="H252" s="428">
        <v>1</v>
      </c>
      <c r="I252" s="530">
        <f t="shared" si="8"/>
        <v>7.54</v>
      </c>
      <c r="J252" s="289"/>
      <c r="K252" s="540"/>
      <c r="L252" s="530"/>
      <c r="M252" s="285"/>
    </row>
    <row r="253" spans="1:13" ht="14.25" hidden="1" customHeight="1" x14ac:dyDescent="0.25">
      <c r="A253" s="284"/>
      <c r="B253" s="529" t="s">
        <v>641</v>
      </c>
      <c r="C253" s="523" t="s">
        <v>1254</v>
      </c>
      <c r="D253" s="426" t="s">
        <v>624</v>
      </c>
      <c r="E253" s="426" t="s">
        <v>686</v>
      </c>
      <c r="F253" s="440">
        <v>18.87</v>
      </c>
      <c r="G253" s="441" t="s">
        <v>701</v>
      </c>
      <c r="H253" s="428">
        <v>1</v>
      </c>
      <c r="I253" s="530">
        <f t="shared" si="8"/>
        <v>18.87</v>
      </c>
      <c r="J253" s="289"/>
      <c r="K253" s="540"/>
      <c r="L253" s="530"/>
      <c r="M253" s="285"/>
    </row>
    <row r="254" spans="1:13" ht="14.25" customHeight="1" x14ac:dyDescent="0.25">
      <c r="A254" s="284"/>
      <c r="B254" s="529" t="s">
        <v>641</v>
      </c>
      <c r="C254" s="523" t="s">
        <v>1254</v>
      </c>
      <c r="D254" s="426" t="s">
        <v>625</v>
      </c>
      <c r="E254" s="426" t="s">
        <v>1214</v>
      </c>
      <c r="F254" s="440">
        <v>4.8499999999999996</v>
      </c>
      <c r="G254" s="441" t="s">
        <v>701</v>
      </c>
      <c r="H254" s="428">
        <v>1</v>
      </c>
      <c r="I254" s="530">
        <f t="shared" si="8"/>
        <v>4.8499999999999996</v>
      </c>
      <c r="J254" s="289"/>
      <c r="K254" s="540"/>
      <c r="L254" s="530"/>
      <c r="M254" s="285"/>
    </row>
    <row r="255" spans="1:13" ht="14.25" hidden="1" customHeight="1" x14ac:dyDescent="0.25">
      <c r="A255" s="284"/>
      <c r="B255" s="529" t="s">
        <v>641</v>
      </c>
      <c r="C255" s="523" t="s">
        <v>1254</v>
      </c>
      <c r="D255" s="426" t="s">
        <v>626</v>
      </c>
      <c r="E255" s="426" t="s">
        <v>686</v>
      </c>
      <c r="F255" s="440">
        <v>18.87</v>
      </c>
      <c r="G255" s="441" t="s">
        <v>701</v>
      </c>
      <c r="H255" s="428">
        <v>1</v>
      </c>
      <c r="I255" s="530">
        <f t="shared" si="8"/>
        <v>18.87</v>
      </c>
      <c r="J255" s="289"/>
      <c r="K255" s="540"/>
      <c r="L255" s="530"/>
      <c r="M255" s="285"/>
    </row>
    <row r="256" spans="1:13" ht="14.25" customHeight="1" x14ac:dyDescent="0.25">
      <c r="A256" s="284"/>
      <c r="B256" s="529" t="s">
        <v>641</v>
      </c>
      <c r="C256" s="523" t="s">
        <v>1254</v>
      </c>
      <c r="D256" s="426" t="s">
        <v>627</v>
      </c>
      <c r="E256" s="426" t="s">
        <v>1214</v>
      </c>
      <c r="F256" s="440">
        <v>4.8499999999999996</v>
      </c>
      <c r="G256" s="441" t="s">
        <v>701</v>
      </c>
      <c r="H256" s="428">
        <v>1</v>
      </c>
      <c r="I256" s="530">
        <f t="shared" si="8"/>
        <v>4.8499999999999996</v>
      </c>
      <c r="J256" s="289"/>
      <c r="K256" s="540"/>
      <c r="L256" s="530"/>
      <c r="M256" s="285"/>
    </row>
    <row r="257" spans="1:13" ht="14.25" hidden="1" customHeight="1" x14ac:dyDescent="0.25">
      <c r="A257" s="284"/>
      <c r="B257" s="529" t="s">
        <v>1280</v>
      </c>
      <c r="C257" s="523" t="s">
        <v>1281</v>
      </c>
      <c r="D257" s="426" t="s">
        <v>614</v>
      </c>
      <c r="E257" s="426" t="s">
        <v>1214</v>
      </c>
      <c r="F257" s="440">
        <v>22.08</v>
      </c>
      <c r="G257" s="441" t="s">
        <v>701</v>
      </c>
      <c r="H257" s="428">
        <v>1</v>
      </c>
      <c r="I257" s="530">
        <f t="shared" si="8"/>
        <v>22.08</v>
      </c>
      <c r="J257" s="289"/>
      <c r="K257" s="540"/>
      <c r="L257" s="530"/>
      <c r="M257" s="285"/>
    </row>
    <row r="258" spans="1:13" ht="14.25" hidden="1" customHeight="1" x14ac:dyDescent="0.25">
      <c r="A258" s="284"/>
      <c r="B258" s="529" t="s">
        <v>1280</v>
      </c>
      <c r="C258" s="523" t="s">
        <v>1281</v>
      </c>
      <c r="D258" s="426" t="s">
        <v>615</v>
      </c>
      <c r="E258" s="426" t="s">
        <v>1214</v>
      </c>
      <c r="F258" s="440">
        <v>34.340000000000003</v>
      </c>
      <c r="G258" s="441" t="s">
        <v>701</v>
      </c>
      <c r="H258" s="428">
        <v>1</v>
      </c>
      <c r="I258" s="530">
        <f t="shared" si="8"/>
        <v>34.340000000000003</v>
      </c>
      <c r="J258" s="289"/>
      <c r="K258" s="540"/>
      <c r="L258" s="530"/>
      <c r="M258" s="285"/>
    </row>
    <row r="259" spans="1:13" ht="14.25" hidden="1" customHeight="1" x14ac:dyDescent="0.25">
      <c r="A259" s="284"/>
      <c r="B259" s="529" t="s">
        <v>1280</v>
      </c>
      <c r="C259" s="523" t="s">
        <v>1281</v>
      </c>
      <c r="D259" s="426" t="s">
        <v>616</v>
      </c>
      <c r="E259" s="426" t="s">
        <v>1214</v>
      </c>
      <c r="F259" s="440">
        <v>3.47</v>
      </c>
      <c r="G259" s="441" t="s">
        <v>701</v>
      </c>
      <c r="H259" s="428">
        <v>1</v>
      </c>
      <c r="I259" s="530">
        <f t="shared" si="8"/>
        <v>3.47</v>
      </c>
      <c r="J259" s="289"/>
      <c r="K259" s="540"/>
      <c r="L259" s="530"/>
      <c r="M259" s="285"/>
    </row>
    <row r="260" spans="1:13" ht="14.25" hidden="1" customHeight="1" x14ac:dyDescent="0.25">
      <c r="A260" s="284"/>
      <c r="B260" s="529" t="s">
        <v>1280</v>
      </c>
      <c r="C260" s="523" t="s">
        <v>1281</v>
      </c>
      <c r="D260" s="426" t="s">
        <v>618</v>
      </c>
      <c r="E260" s="426" t="s">
        <v>693</v>
      </c>
      <c r="F260" s="440">
        <v>17.28</v>
      </c>
      <c r="G260" s="441"/>
      <c r="H260" s="428">
        <v>1</v>
      </c>
      <c r="I260" s="530">
        <f t="shared" si="8"/>
        <v>17.28</v>
      </c>
      <c r="J260" s="289"/>
      <c r="K260" s="540"/>
      <c r="L260" s="530"/>
      <c r="M260" s="285"/>
    </row>
    <row r="261" spans="1:13" ht="14.25" hidden="1" customHeight="1" x14ac:dyDescent="0.25">
      <c r="A261" s="284"/>
      <c r="B261" s="529" t="s">
        <v>1280</v>
      </c>
      <c r="C261" s="523" t="s">
        <v>1281</v>
      </c>
      <c r="D261" s="426" t="s">
        <v>689</v>
      </c>
      <c r="E261" s="426" t="s">
        <v>694</v>
      </c>
      <c r="F261" s="440">
        <v>19.23</v>
      </c>
      <c r="G261" s="441" t="s">
        <v>701</v>
      </c>
      <c r="H261" s="428">
        <v>1</v>
      </c>
      <c r="I261" s="530">
        <f t="shared" si="8"/>
        <v>19.23</v>
      </c>
      <c r="J261" s="289"/>
      <c r="K261" s="540"/>
      <c r="L261" s="530"/>
      <c r="M261" s="285"/>
    </row>
    <row r="262" spans="1:13" ht="14.25" hidden="1" customHeight="1" x14ac:dyDescent="0.25">
      <c r="A262" s="284"/>
      <c r="B262" s="529" t="s">
        <v>1280</v>
      </c>
      <c r="C262" s="523" t="s">
        <v>1281</v>
      </c>
      <c r="D262" s="426" t="s">
        <v>619</v>
      </c>
      <c r="E262" s="426" t="s">
        <v>1214</v>
      </c>
      <c r="F262" s="440">
        <v>16.88</v>
      </c>
      <c r="G262" s="441" t="s">
        <v>701</v>
      </c>
      <c r="H262" s="428">
        <v>1</v>
      </c>
      <c r="I262" s="530">
        <f t="shared" si="8"/>
        <v>16.88</v>
      </c>
      <c r="J262" s="289"/>
      <c r="K262" s="540"/>
      <c r="L262" s="530"/>
      <c r="M262" s="285"/>
    </row>
    <row r="263" spans="1:13" ht="14.25" customHeight="1" x14ac:dyDescent="0.25">
      <c r="A263" s="284"/>
      <c r="B263" s="529" t="s">
        <v>1280</v>
      </c>
      <c r="C263" s="523" t="s">
        <v>1281</v>
      </c>
      <c r="D263" s="426" t="s">
        <v>620</v>
      </c>
      <c r="E263" s="426" t="s">
        <v>1214</v>
      </c>
      <c r="F263" s="440">
        <v>10.95</v>
      </c>
      <c r="G263" s="441" t="s">
        <v>701</v>
      </c>
      <c r="H263" s="428">
        <v>1</v>
      </c>
      <c r="I263" s="530">
        <f t="shared" si="8"/>
        <v>10.95</v>
      </c>
      <c r="J263" s="289"/>
      <c r="K263" s="540"/>
      <c r="L263" s="530"/>
      <c r="M263" s="285"/>
    </row>
    <row r="264" spans="1:13" ht="14.25" hidden="1" customHeight="1" x14ac:dyDescent="0.25">
      <c r="A264" s="284"/>
      <c r="B264" s="529" t="s">
        <v>1280</v>
      </c>
      <c r="C264" s="523" t="s">
        <v>1281</v>
      </c>
      <c r="D264" s="426" t="s">
        <v>639</v>
      </c>
      <c r="E264" s="426" t="s">
        <v>1214</v>
      </c>
      <c r="F264" s="440">
        <v>2.75</v>
      </c>
      <c r="G264" s="441" t="s">
        <v>701</v>
      </c>
      <c r="H264" s="428">
        <v>1</v>
      </c>
      <c r="I264" s="530">
        <f t="shared" si="8"/>
        <v>2.75</v>
      </c>
      <c r="J264" s="289"/>
      <c r="K264" s="540"/>
      <c r="L264" s="530"/>
      <c r="M264" s="285"/>
    </row>
    <row r="265" spans="1:13" ht="14.25" hidden="1" customHeight="1" x14ac:dyDescent="0.25">
      <c r="A265" s="284"/>
      <c r="B265" s="529" t="s">
        <v>1280</v>
      </c>
      <c r="C265" s="523" t="s">
        <v>1281</v>
      </c>
      <c r="D265" s="426" t="s">
        <v>626</v>
      </c>
      <c r="E265" s="426" t="s">
        <v>686</v>
      </c>
      <c r="F265" s="440">
        <v>13.66</v>
      </c>
      <c r="G265" s="441" t="s">
        <v>701</v>
      </c>
      <c r="H265" s="428">
        <v>1</v>
      </c>
      <c r="I265" s="530">
        <f t="shared" si="8"/>
        <v>13.66</v>
      </c>
      <c r="J265" s="289"/>
      <c r="K265" s="540"/>
      <c r="L265" s="530"/>
      <c r="M265" s="285"/>
    </row>
    <row r="266" spans="1:13" ht="14.25" customHeight="1" x14ac:dyDescent="0.25">
      <c r="A266" s="284"/>
      <c r="B266" s="529" t="s">
        <v>1280</v>
      </c>
      <c r="C266" s="523" t="s">
        <v>1281</v>
      </c>
      <c r="D266" s="426" t="s">
        <v>627</v>
      </c>
      <c r="E266" s="426" t="s">
        <v>1214</v>
      </c>
      <c r="F266" s="440">
        <v>3.78</v>
      </c>
      <c r="G266" s="441" t="s">
        <v>701</v>
      </c>
      <c r="H266" s="428">
        <v>1</v>
      </c>
      <c r="I266" s="530">
        <f t="shared" si="8"/>
        <v>3.78</v>
      </c>
      <c r="J266" s="289"/>
      <c r="K266" s="540"/>
      <c r="L266" s="530"/>
      <c r="M266" s="285"/>
    </row>
    <row r="267" spans="1:13" ht="14.25" hidden="1" customHeight="1" x14ac:dyDescent="0.25">
      <c r="A267" s="284"/>
      <c r="B267" s="529" t="s">
        <v>1280</v>
      </c>
      <c r="C267" s="523" t="s">
        <v>1281</v>
      </c>
      <c r="D267" s="929" t="s">
        <v>681</v>
      </c>
      <c r="E267" s="929" t="s">
        <v>686</v>
      </c>
      <c r="F267" s="930">
        <v>9.9499999999999993</v>
      </c>
      <c r="G267" s="441" t="s">
        <v>701</v>
      </c>
      <c r="H267" s="428">
        <v>1</v>
      </c>
      <c r="I267" s="530">
        <f t="shared" ref="I267:I275" si="9">F267*H267</f>
        <v>9.9499999999999993</v>
      </c>
      <c r="J267" s="289"/>
      <c r="K267" s="540"/>
      <c r="L267" s="530"/>
      <c r="M267" s="285"/>
    </row>
    <row r="268" spans="1:13" ht="14.25" customHeight="1" x14ac:dyDescent="0.25">
      <c r="A268" s="284"/>
      <c r="B268" s="529" t="s">
        <v>1280</v>
      </c>
      <c r="C268" s="523" t="s">
        <v>1281</v>
      </c>
      <c r="D268" s="929" t="s">
        <v>1282</v>
      </c>
      <c r="E268" s="929" t="s">
        <v>1214</v>
      </c>
      <c r="F268" s="930">
        <v>4.12</v>
      </c>
      <c r="G268" s="441" t="s">
        <v>701</v>
      </c>
      <c r="H268" s="428">
        <v>1</v>
      </c>
      <c r="I268" s="530">
        <f t="shared" si="9"/>
        <v>4.12</v>
      </c>
      <c r="J268" s="289"/>
      <c r="K268" s="540"/>
      <c r="L268" s="530"/>
      <c r="M268" s="285"/>
    </row>
    <row r="269" spans="1:13" ht="14.25" hidden="1" customHeight="1" x14ac:dyDescent="0.25">
      <c r="A269" s="284"/>
      <c r="B269" s="529" t="s">
        <v>1280</v>
      </c>
      <c r="C269" s="523" t="s">
        <v>1281</v>
      </c>
      <c r="D269" s="929" t="s">
        <v>1283</v>
      </c>
      <c r="E269" s="929" t="s">
        <v>686</v>
      </c>
      <c r="F269" s="930">
        <v>14.97</v>
      </c>
      <c r="G269" s="441" t="s">
        <v>701</v>
      </c>
      <c r="H269" s="428">
        <v>1</v>
      </c>
      <c r="I269" s="530">
        <f t="shared" si="9"/>
        <v>14.97</v>
      </c>
      <c r="J269" s="289"/>
      <c r="K269" s="540"/>
      <c r="L269" s="530"/>
      <c r="M269" s="285"/>
    </row>
    <row r="270" spans="1:13" ht="14.25" hidden="1" customHeight="1" x14ac:dyDescent="0.25">
      <c r="A270" s="284"/>
      <c r="B270" s="529" t="s">
        <v>1280</v>
      </c>
      <c r="C270" s="523" t="s">
        <v>1281</v>
      </c>
      <c r="D270" s="929" t="s">
        <v>675</v>
      </c>
      <c r="E270" s="929" t="s">
        <v>686</v>
      </c>
      <c r="F270" s="930">
        <v>32.69</v>
      </c>
      <c r="G270" s="441" t="s">
        <v>701</v>
      </c>
      <c r="H270" s="428">
        <v>1</v>
      </c>
      <c r="I270" s="530">
        <f t="shared" si="9"/>
        <v>32.69</v>
      </c>
      <c r="J270" s="289"/>
      <c r="K270" s="540"/>
      <c r="L270" s="530"/>
      <c r="M270" s="285"/>
    </row>
    <row r="271" spans="1:13" ht="14.25" customHeight="1" x14ac:dyDescent="0.25">
      <c r="A271" s="284"/>
      <c r="B271" s="529" t="s">
        <v>1280</v>
      </c>
      <c r="C271" s="523" t="s">
        <v>1281</v>
      </c>
      <c r="D271" s="929" t="s">
        <v>676</v>
      </c>
      <c r="E271" s="929" t="s">
        <v>1214</v>
      </c>
      <c r="F271" s="930">
        <v>12.76</v>
      </c>
      <c r="G271" s="441" t="s">
        <v>701</v>
      </c>
      <c r="H271" s="428">
        <v>1</v>
      </c>
      <c r="I271" s="530">
        <f t="shared" si="9"/>
        <v>12.76</v>
      </c>
      <c r="J271" s="289"/>
      <c r="K271" s="540"/>
      <c r="L271" s="530"/>
      <c r="M271" s="285"/>
    </row>
    <row r="272" spans="1:13" ht="14.25" hidden="1" customHeight="1" x14ac:dyDescent="0.25">
      <c r="A272" s="284"/>
      <c r="B272" s="529" t="s">
        <v>1280</v>
      </c>
      <c r="C272" s="523" t="s">
        <v>1281</v>
      </c>
      <c r="D272" s="929" t="s">
        <v>677</v>
      </c>
      <c r="E272" s="929" t="s">
        <v>686</v>
      </c>
      <c r="F272" s="930">
        <v>16.98</v>
      </c>
      <c r="G272" s="441" t="s">
        <v>701</v>
      </c>
      <c r="H272" s="428">
        <v>1</v>
      </c>
      <c r="I272" s="530">
        <f t="shared" si="9"/>
        <v>16.98</v>
      </c>
      <c r="J272" s="289"/>
      <c r="K272" s="540"/>
      <c r="L272" s="530"/>
      <c r="M272" s="285"/>
    </row>
    <row r="273" spans="1:13" ht="14.25" customHeight="1" x14ac:dyDescent="0.25">
      <c r="A273" s="284"/>
      <c r="B273" s="529" t="s">
        <v>1280</v>
      </c>
      <c r="C273" s="523" t="s">
        <v>1281</v>
      </c>
      <c r="D273" s="929" t="s">
        <v>678</v>
      </c>
      <c r="E273" s="929" t="s">
        <v>1214</v>
      </c>
      <c r="F273" s="930">
        <v>4.6500000000000004</v>
      </c>
      <c r="G273" s="441" t="s">
        <v>701</v>
      </c>
      <c r="H273" s="428">
        <v>1</v>
      </c>
      <c r="I273" s="530">
        <f t="shared" si="9"/>
        <v>4.6500000000000004</v>
      </c>
      <c r="J273" s="289"/>
      <c r="K273" s="540"/>
      <c r="L273" s="530"/>
      <c r="M273" s="285"/>
    </row>
    <row r="274" spans="1:13" ht="14.25" hidden="1" customHeight="1" x14ac:dyDescent="0.25">
      <c r="A274" s="284"/>
      <c r="B274" s="529" t="s">
        <v>1280</v>
      </c>
      <c r="C274" s="523" t="s">
        <v>1281</v>
      </c>
      <c r="D274" s="929" t="s">
        <v>679</v>
      </c>
      <c r="E274" s="929" t="s">
        <v>686</v>
      </c>
      <c r="F274" s="930">
        <v>16.829999999999998</v>
      </c>
      <c r="G274" s="441" t="s">
        <v>701</v>
      </c>
      <c r="H274" s="428">
        <v>1</v>
      </c>
      <c r="I274" s="530">
        <f t="shared" si="9"/>
        <v>16.829999999999998</v>
      </c>
      <c r="J274" s="289"/>
      <c r="K274" s="540"/>
      <c r="L274" s="530"/>
      <c r="M274" s="285"/>
    </row>
    <row r="275" spans="1:13" ht="14.25" customHeight="1" x14ac:dyDescent="0.25">
      <c r="A275" s="284"/>
      <c r="B275" s="529" t="s">
        <v>1280</v>
      </c>
      <c r="C275" s="523" t="s">
        <v>1281</v>
      </c>
      <c r="D275" s="929" t="s">
        <v>680</v>
      </c>
      <c r="E275" s="929" t="s">
        <v>1214</v>
      </c>
      <c r="F275" s="930">
        <v>4.6500000000000004</v>
      </c>
      <c r="G275" s="441" t="s">
        <v>701</v>
      </c>
      <c r="H275" s="428">
        <v>1</v>
      </c>
      <c r="I275" s="530">
        <f t="shared" si="9"/>
        <v>4.6500000000000004</v>
      </c>
      <c r="J275" s="289"/>
      <c r="K275" s="540"/>
      <c r="L275" s="530"/>
      <c r="M275" s="285"/>
    </row>
    <row r="276" spans="1:13" ht="14.25" hidden="1" customHeight="1" x14ac:dyDescent="0.25">
      <c r="A276" s="284"/>
      <c r="B276" s="529" t="s">
        <v>667</v>
      </c>
      <c r="C276" s="523" t="s">
        <v>1255</v>
      </c>
      <c r="D276" s="426" t="s">
        <v>614</v>
      </c>
      <c r="E276" s="426" t="s">
        <v>1214</v>
      </c>
      <c r="F276" s="440">
        <v>26.21</v>
      </c>
      <c r="G276" s="441" t="s">
        <v>701</v>
      </c>
      <c r="H276" s="428">
        <v>1</v>
      </c>
      <c r="I276" s="530">
        <f t="shared" si="8"/>
        <v>26.21</v>
      </c>
      <c r="J276" s="289"/>
      <c r="K276" s="540"/>
      <c r="L276" s="530"/>
      <c r="M276" s="285"/>
    </row>
    <row r="277" spans="1:13" ht="14.25" hidden="1" customHeight="1" x14ac:dyDescent="0.25">
      <c r="A277" s="284"/>
      <c r="B277" s="529" t="s">
        <v>667</v>
      </c>
      <c r="C277" s="523" t="s">
        <v>1255</v>
      </c>
      <c r="D277" s="426" t="s">
        <v>615</v>
      </c>
      <c r="E277" s="426" t="s">
        <v>1214</v>
      </c>
      <c r="F277" s="440">
        <v>26.77</v>
      </c>
      <c r="G277" s="441" t="s">
        <v>701</v>
      </c>
      <c r="H277" s="428">
        <v>1</v>
      </c>
      <c r="I277" s="530">
        <f t="shared" si="8"/>
        <v>26.77</v>
      </c>
      <c r="J277" s="289"/>
      <c r="K277" s="540"/>
      <c r="L277" s="530"/>
      <c r="M277" s="285"/>
    </row>
    <row r="278" spans="1:13" ht="14.25" hidden="1" customHeight="1" x14ac:dyDescent="0.25">
      <c r="A278" s="284"/>
      <c r="B278" s="529" t="s">
        <v>667</v>
      </c>
      <c r="C278" s="523" t="s">
        <v>1255</v>
      </c>
      <c r="D278" s="426" t="s">
        <v>616</v>
      </c>
      <c r="E278" s="426" t="s">
        <v>1214</v>
      </c>
      <c r="F278" s="440">
        <v>3.31</v>
      </c>
      <c r="G278" s="441" t="s">
        <v>701</v>
      </c>
      <c r="H278" s="428">
        <v>1</v>
      </c>
      <c r="I278" s="530">
        <f t="shared" si="8"/>
        <v>3.31</v>
      </c>
      <c r="J278" s="289"/>
      <c r="K278" s="540"/>
      <c r="L278" s="530"/>
      <c r="M278" s="285"/>
    </row>
    <row r="279" spans="1:13" ht="14.25" hidden="1" customHeight="1" x14ac:dyDescent="0.25">
      <c r="A279" s="284"/>
      <c r="B279" s="529" t="s">
        <v>667</v>
      </c>
      <c r="C279" s="523" t="s">
        <v>1255</v>
      </c>
      <c r="D279" s="426" t="s">
        <v>618</v>
      </c>
      <c r="E279" s="426" t="s">
        <v>693</v>
      </c>
      <c r="F279" s="440">
        <v>24.32</v>
      </c>
      <c r="G279" s="441"/>
      <c r="H279" s="428">
        <v>1</v>
      </c>
      <c r="I279" s="530">
        <f t="shared" ref="I279:I342" si="10">F279*H279</f>
        <v>24.32</v>
      </c>
      <c r="J279" s="289"/>
      <c r="K279" s="540"/>
      <c r="L279" s="530"/>
      <c r="M279" s="285"/>
    </row>
    <row r="280" spans="1:13" ht="14.25" hidden="1" customHeight="1" x14ac:dyDescent="0.25">
      <c r="A280" s="284"/>
      <c r="B280" s="529" t="s">
        <v>667</v>
      </c>
      <c r="C280" s="523" t="s">
        <v>1255</v>
      </c>
      <c r="D280" s="426" t="s">
        <v>689</v>
      </c>
      <c r="E280" s="426" t="s">
        <v>694</v>
      </c>
      <c r="F280" s="440">
        <v>22.76</v>
      </c>
      <c r="G280" s="441" t="s">
        <v>701</v>
      </c>
      <c r="H280" s="428">
        <v>1</v>
      </c>
      <c r="I280" s="530">
        <f t="shared" si="10"/>
        <v>22.76</v>
      </c>
      <c r="J280" s="289"/>
      <c r="K280" s="540"/>
      <c r="L280" s="530"/>
      <c r="M280" s="285"/>
    </row>
    <row r="281" spans="1:13" ht="14.25" hidden="1" customHeight="1" x14ac:dyDescent="0.25">
      <c r="A281" s="284"/>
      <c r="B281" s="529" t="s">
        <v>667</v>
      </c>
      <c r="C281" s="523" t="s">
        <v>1255</v>
      </c>
      <c r="D281" s="426" t="s">
        <v>619</v>
      </c>
      <c r="E281" s="426" t="s">
        <v>1214</v>
      </c>
      <c r="F281" s="440">
        <v>13.12</v>
      </c>
      <c r="G281" s="441" t="s">
        <v>701</v>
      </c>
      <c r="H281" s="428">
        <v>1</v>
      </c>
      <c r="I281" s="530">
        <f t="shared" si="10"/>
        <v>13.12</v>
      </c>
      <c r="J281" s="289"/>
      <c r="K281" s="540"/>
      <c r="L281" s="530"/>
      <c r="M281" s="285"/>
    </row>
    <row r="282" spans="1:13" ht="14.25" customHeight="1" x14ac:dyDescent="0.25">
      <c r="A282" s="284"/>
      <c r="B282" s="529" t="s">
        <v>667</v>
      </c>
      <c r="C282" s="523" t="s">
        <v>1255</v>
      </c>
      <c r="D282" s="426" t="s">
        <v>620</v>
      </c>
      <c r="E282" s="426" t="s">
        <v>1214</v>
      </c>
      <c r="F282" s="440">
        <v>6.95</v>
      </c>
      <c r="G282" s="441" t="s">
        <v>701</v>
      </c>
      <c r="H282" s="428">
        <v>1</v>
      </c>
      <c r="I282" s="530">
        <f t="shared" si="10"/>
        <v>6.95</v>
      </c>
      <c r="J282" s="289"/>
      <c r="K282" s="540"/>
      <c r="L282" s="530"/>
      <c r="M282" s="285"/>
    </row>
    <row r="283" spans="1:13" ht="14.25" customHeight="1" x14ac:dyDescent="0.25">
      <c r="A283" s="284"/>
      <c r="B283" s="529" t="s">
        <v>667</v>
      </c>
      <c r="C283" s="523" t="s">
        <v>1255</v>
      </c>
      <c r="D283" s="426" t="s">
        <v>621</v>
      </c>
      <c r="E283" s="426" t="s">
        <v>1214</v>
      </c>
      <c r="F283" s="440">
        <v>4.03</v>
      </c>
      <c r="G283" s="441" t="s">
        <v>701</v>
      </c>
      <c r="H283" s="428">
        <v>1</v>
      </c>
      <c r="I283" s="530">
        <f t="shared" si="10"/>
        <v>4.03</v>
      </c>
      <c r="J283" s="289"/>
      <c r="K283" s="540"/>
      <c r="L283" s="530"/>
      <c r="M283" s="285"/>
    </row>
    <row r="284" spans="1:13" ht="14.25" hidden="1" customHeight="1" x14ac:dyDescent="0.25">
      <c r="A284" s="284"/>
      <c r="B284" s="529" t="s">
        <v>667</v>
      </c>
      <c r="C284" s="523" t="s">
        <v>1255</v>
      </c>
      <c r="D284" s="426" t="s">
        <v>617</v>
      </c>
      <c r="E284" s="426" t="s">
        <v>686</v>
      </c>
      <c r="F284" s="440">
        <v>7.1</v>
      </c>
      <c r="G284" s="441" t="s">
        <v>701</v>
      </c>
      <c r="H284" s="428">
        <v>1</v>
      </c>
      <c r="I284" s="530">
        <f t="shared" si="10"/>
        <v>7.1</v>
      </c>
      <c r="J284" s="289"/>
      <c r="K284" s="540"/>
      <c r="L284" s="530"/>
      <c r="M284" s="285"/>
    </row>
    <row r="285" spans="1:13" ht="14.25" hidden="1" customHeight="1" x14ac:dyDescent="0.25">
      <c r="A285" s="284"/>
      <c r="B285" s="529" t="s">
        <v>667</v>
      </c>
      <c r="C285" s="523" t="s">
        <v>1255</v>
      </c>
      <c r="D285" s="426" t="s">
        <v>622</v>
      </c>
      <c r="E285" s="426" t="s">
        <v>686</v>
      </c>
      <c r="F285" s="440">
        <v>31.28</v>
      </c>
      <c r="G285" s="441" t="s">
        <v>701</v>
      </c>
      <c r="H285" s="428">
        <v>1</v>
      </c>
      <c r="I285" s="530">
        <f t="shared" si="10"/>
        <v>31.28</v>
      </c>
      <c r="J285" s="289"/>
      <c r="K285" s="540"/>
      <c r="L285" s="530"/>
      <c r="M285" s="285"/>
    </row>
    <row r="286" spans="1:13" ht="14.25" customHeight="1" x14ac:dyDescent="0.25">
      <c r="A286" s="284"/>
      <c r="B286" s="529" t="s">
        <v>667</v>
      </c>
      <c r="C286" s="523" t="s">
        <v>1255</v>
      </c>
      <c r="D286" s="426" t="s">
        <v>623</v>
      </c>
      <c r="E286" s="426" t="s">
        <v>1214</v>
      </c>
      <c r="F286" s="440">
        <v>7.06</v>
      </c>
      <c r="G286" s="441" t="s">
        <v>701</v>
      </c>
      <c r="H286" s="428">
        <v>1</v>
      </c>
      <c r="I286" s="530">
        <f t="shared" si="10"/>
        <v>7.06</v>
      </c>
      <c r="J286" s="289"/>
      <c r="K286" s="540"/>
      <c r="L286" s="530"/>
      <c r="M286" s="285"/>
    </row>
    <row r="287" spans="1:13" ht="14.25" hidden="1" customHeight="1" x14ac:dyDescent="0.25">
      <c r="A287" s="284"/>
      <c r="B287" s="529" t="s">
        <v>667</v>
      </c>
      <c r="C287" s="523" t="s">
        <v>1255</v>
      </c>
      <c r="D287" s="426" t="s">
        <v>624</v>
      </c>
      <c r="E287" s="426" t="s">
        <v>686</v>
      </c>
      <c r="F287" s="440">
        <v>17.98</v>
      </c>
      <c r="G287" s="441" t="s">
        <v>701</v>
      </c>
      <c r="H287" s="428">
        <v>1</v>
      </c>
      <c r="I287" s="530">
        <f t="shared" si="10"/>
        <v>17.98</v>
      </c>
      <c r="J287" s="289"/>
      <c r="K287" s="540"/>
      <c r="L287" s="530"/>
      <c r="M287" s="285"/>
    </row>
    <row r="288" spans="1:13" ht="14.25" customHeight="1" x14ac:dyDescent="0.25">
      <c r="A288" s="284"/>
      <c r="B288" s="529" t="s">
        <v>667</v>
      </c>
      <c r="C288" s="523" t="s">
        <v>1255</v>
      </c>
      <c r="D288" s="426" t="s">
        <v>625</v>
      </c>
      <c r="E288" s="426" t="s">
        <v>1214</v>
      </c>
      <c r="F288" s="440">
        <v>4.72</v>
      </c>
      <c r="G288" s="441" t="s">
        <v>701</v>
      </c>
      <c r="H288" s="428">
        <v>1</v>
      </c>
      <c r="I288" s="530">
        <f t="shared" si="10"/>
        <v>4.72</v>
      </c>
      <c r="J288" s="289"/>
      <c r="K288" s="540"/>
      <c r="L288" s="530"/>
      <c r="M288" s="285"/>
    </row>
    <row r="289" spans="1:13" ht="14.25" hidden="1" customHeight="1" x14ac:dyDescent="0.25">
      <c r="A289" s="284"/>
      <c r="B289" s="529" t="s">
        <v>667</v>
      </c>
      <c r="C289" s="523" t="s">
        <v>1255</v>
      </c>
      <c r="D289" s="426" t="s">
        <v>626</v>
      </c>
      <c r="E289" s="426" t="s">
        <v>686</v>
      </c>
      <c r="F289" s="440">
        <v>18.059999999999999</v>
      </c>
      <c r="G289" s="441" t="s">
        <v>701</v>
      </c>
      <c r="H289" s="428">
        <v>1</v>
      </c>
      <c r="I289" s="530">
        <f t="shared" si="10"/>
        <v>18.059999999999999</v>
      </c>
      <c r="J289" s="289"/>
      <c r="K289" s="540"/>
      <c r="L289" s="530"/>
      <c r="M289" s="285"/>
    </row>
    <row r="290" spans="1:13" ht="14.25" customHeight="1" x14ac:dyDescent="0.25">
      <c r="A290" s="284"/>
      <c r="B290" s="529" t="s">
        <v>667</v>
      </c>
      <c r="C290" s="523" t="s">
        <v>1255</v>
      </c>
      <c r="D290" s="426" t="s">
        <v>627</v>
      </c>
      <c r="E290" s="426" t="s">
        <v>1214</v>
      </c>
      <c r="F290" s="440">
        <v>4.72</v>
      </c>
      <c r="G290" s="441" t="s">
        <v>701</v>
      </c>
      <c r="H290" s="428">
        <v>1</v>
      </c>
      <c r="I290" s="530">
        <f t="shared" si="10"/>
        <v>4.72</v>
      </c>
      <c r="J290" s="289"/>
      <c r="K290" s="540"/>
      <c r="L290" s="530"/>
      <c r="M290" s="285"/>
    </row>
    <row r="291" spans="1:13" ht="14.25" hidden="1" customHeight="1" x14ac:dyDescent="0.25">
      <c r="A291" s="284"/>
      <c r="B291" s="529" t="s">
        <v>667</v>
      </c>
      <c r="C291" s="523" t="s">
        <v>1255</v>
      </c>
      <c r="D291" s="426" t="s">
        <v>683</v>
      </c>
      <c r="E291" s="426" t="s">
        <v>693</v>
      </c>
      <c r="F291" s="440">
        <v>82.5</v>
      </c>
      <c r="G291" s="441"/>
      <c r="H291" s="428">
        <v>1</v>
      </c>
      <c r="I291" s="530">
        <f t="shared" si="10"/>
        <v>82.5</v>
      </c>
      <c r="J291" s="289"/>
      <c r="K291" s="540"/>
      <c r="L291" s="530"/>
      <c r="M291" s="285"/>
    </row>
    <row r="292" spans="1:13" ht="14.25" hidden="1" customHeight="1" x14ac:dyDescent="0.25">
      <c r="A292" s="284"/>
      <c r="B292" s="529" t="s">
        <v>667</v>
      </c>
      <c r="C292" s="523" t="s">
        <v>1255</v>
      </c>
      <c r="D292" s="426" t="s">
        <v>684</v>
      </c>
      <c r="E292" s="426" t="s">
        <v>694</v>
      </c>
      <c r="F292" s="440">
        <v>29.88</v>
      </c>
      <c r="G292" s="441" t="s">
        <v>701</v>
      </c>
      <c r="H292" s="428">
        <v>1</v>
      </c>
      <c r="I292" s="530">
        <f t="shared" si="10"/>
        <v>29.88</v>
      </c>
      <c r="J292" s="289"/>
      <c r="K292" s="540"/>
      <c r="L292" s="530"/>
      <c r="M292" s="285"/>
    </row>
    <row r="293" spans="1:13" ht="14.25" hidden="1" customHeight="1" x14ac:dyDescent="0.25">
      <c r="A293" s="284"/>
      <c r="B293" s="529" t="s">
        <v>667</v>
      </c>
      <c r="C293" s="523" t="s">
        <v>1255</v>
      </c>
      <c r="D293" s="426" t="s">
        <v>685</v>
      </c>
      <c r="E293" s="426"/>
      <c r="F293" s="440">
        <v>56.97</v>
      </c>
      <c r="G293" s="441"/>
      <c r="H293" s="428">
        <v>1</v>
      </c>
      <c r="I293" s="530">
        <f t="shared" si="10"/>
        <v>56.97</v>
      </c>
      <c r="J293" s="289"/>
      <c r="K293" s="540"/>
      <c r="L293" s="530"/>
      <c r="M293" s="285"/>
    </row>
    <row r="294" spans="1:13" ht="14.25" hidden="1" customHeight="1" x14ac:dyDescent="0.25">
      <c r="A294" s="284"/>
      <c r="B294" s="529" t="s">
        <v>653</v>
      </c>
      <c r="C294" s="523" t="s">
        <v>635</v>
      </c>
      <c r="D294" s="426" t="s">
        <v>628</v>
      </c>
      <c r="E294" s="426" t="s">
        <v>197</v>
      </c>
      <c r="F294" s="440">
        <f>18.79+1.5*0.18*20</f>
        <v>24.189999999999998</v>
      </c>
      <c r="G294" s="441" t="s">
        <v>701</v>
      </c>
      <c r="H294" s="428">
        <v>1</v>
      </c>
      <c r="I294" s="530">
        <f t="shared" si="10"/>
        <v>24.189999999999998</v>
      </c>
      <c r="J294" s="289"/>
      <c r="K294" s="540"/>
      <c r="L294" s="530"/>
      <c r="M294" s="285"/>
    </row>
    <row r="295" spans="1:13" ht="14.25" hidden="1" customHeight="1" x14ac:dyDescent="0.25">
      <c r="A295" s="284"/>
      <c r="B295" s="529" t="s">
        <v>653</v>
      </c>
      <c r="C295" s="523" t="s">
        <v>635</v>
      </c>
      <c r="D295" s="426" t="s">
        <v>642</v>
      </c>
      <c r="E295" s="426" t="s">
        <v>1214</v>
      </c>
      <c r="F295" s="440">
        <v>123.68</v>
      </c>
      <c r="G295" s="441" t="s">
        <v>701</v>
      </c>
      <c r="H295" s="428">
        <v>1</v>
      </c>
      <c r="I295" s="530">
        <f t="shared" si="10"/>
        <v>123.68</v>
      </c>
      <c r="J295" s="289"/>
      <c r="K295" s="540"/>
      <c r="L295" s="530"/>
      <c r="M295" s="285"/>
    </row>
    <row r="296" spans="1:13" ht="14.25" hidden="1" customHeight="1" x14ac:dyDescent="0.25">
      <c r="A296" s="284"/>
      <c r="B296" s="529" t="s">
        <v>667</v>
      </c>
      <c r="C296" s="523" t="s">
        <v>1256</v>
      </c>
      <c r="D296" s="426" t="s">
        <v>614</v>
      </c>
      <c r="E296" s="426" t="s">
        <v>1214</v>
      </c>
      <c r="F296" s="440">
        <v>28.46</v>
      </c>
      <c r="G296" s="441" t="s">
        <v>701</v>
      </c>
      <c r="H296" s="428">
        <v>1</v>
      </c>
      <c r="I296" s="530">
        <f t="shared" si="10"/>
        <v>28.46</v>
      </c>
      <c r="J296" s="289"/>
      <c r="K296" s="540"/>
      <c r="L296" s="530"/>
      <c r="M296" s="285"/>
    </row>
    <row r="297" spans="1:13" ht="14.25" hidden="1" customHeight="1" x14ac:dyDescent="0.25">
      <c r="A297" s="284"/>
      <c r="B297" s="529" t="s">
        <v>667</v>
      </c>
      <c r="C297" s="523" t="s">
        <v>1256</v>
      </c>
      <c r="D297" s="426" t="s">
        <v>615</v>
      </c>
      <c r="E297" s="426" t="s">
        <v>1214</v>
      </c>
      <c r="F297" s="440">
        <v>38.81</v>
      </c>
      <c r="G297" s="441" t="s">
        <v>701</v>
      </c>
      <c r="H297" s="428">
        <v>1</v>
      </c>
      <c r="I297" s="530">
        <f t="shared" si="10"/>
        <v>38.81</v>
      </c>
      <c r="J297" s="289"/>
      <c r="K297" s="540"/>
      <c r="L297" s="530"/>
      <c r="M297" s="285"/>
    </row>
    <row r="298" spans="1:13" ht="14.25" hidden="1" customHeight="1" x14ac:dyDescent="0.25">
      <c r="A298" s="284"/>
      <c r="B298" s="529" t="s">
        <v>667</v>
      </c>
      <c r="C298" s="523" t="s">
        <v>1256</v>
      </c>
      <c r="D298" s="426" t="s">
        <v>616</v>
      </c>
      <c r="E298" s="426" t="s">
        <v>1214</v>
      </c>
      <c r="F298" s="440">
        <v>3.29</v>
      </c>
      <c r="G298" s="441" t="s">
        <v>701</v>
      </c>
      <c r="H298" s="428">
        <v>1</v>
      </c>
      <c r="I298" s="530">
        <f t="shared" si="10"/>
        <v>3.29</v>
      </c>
      <c r="J298" s="289"/>
      <c r="K298" s="540"/>
      <c r="L298" s="530"/>
      <c r="M298" s="285"/>
    </row>
    <row r="299" spans="1:13" ht="14.25" hidden="1" customHeight="1" x14ac:dyDescent="0.25">
      <c r="A299" s="284"/>
      <c r="B299" s="529" t="s">
        <v>667</v>
      </c>
      <c r="C299" s="523" t="s">
        <v>1256</v>
      </c>
      <c r="D299" s="426" t="s">
        <v>618</v>
      </c>
      <c r="E299" s="426" t="s">
        <v>693</v>
      </c>
      <c r="F299" s="440">
        <v>27.9</v>
      </c>
      <c r="G299" s="441"/>
      <c r="H299" s="428">
        <v>1</v>
      </c>
      <c r="I299" s="530">
        <f t="shared" si="10"/>
        <v>27.9</v>
      </c>
      <c r="J299" s="289"/>
      <c r="K299" s="540"/>
      <c r="L299" s="530"/>
      <c r="M299" s="285"/>
    </row>
    <row r="300" spans="1:13" ht="14.25" hidden="1" customHeight="1" x14ac:dyDescent="0.25">
      <c r="A300" s="284"/>
      <c r="B300" s="529" t="s">
        <v>667</v>
      </c>
      <c r="C300" s="523" t="s">
        <v>1256</v>
      </c>
      <c r="D300" s="426" t="s">
        <v>689</v>
      </c>
      <c r="E300" s="426" t="s">
        <v>694</v>
      </c>
      <c r="F300" s="440">
        <v>21.55</v>
      </c>
      <c r="G300" s="441" t="s">
        <v>701</v>
      </c>
      <c r="H300" s="428">
        <v>1</v>
      </c>
      <c r="I300" s="530">
        <f t="shared" si="10"/>
        <v>21.55</v>
      </c>
      <c r="J300" s="289"/>
      <c r="K300" s="540"/>
      <c r="L300" s="530"/>
      <c r="M300" s="285"/>
    </row>
    <row r="301" spans="1:13" ht="14.25" hidden="1" customHeight="1" x14ac:dyDescent="0.25">
      <c r="A301" s="284"/>
      <c r="B301" s="529" t="s">
        <v>667</v>
      </c>
      <c r="C301" s="523" t="s">
        <v>1256</v>
      </c>
      <c r="D301" s="426" t="s">
        <v>619</v>
      </c>
      <c r="E301" s="426" t="s">
        <v>1214</v>
      </c>
      <c r="F301" s="440">
        <v>16.829999999999998</v>
      </c>
      <c r="G301" s="441" t="s">
        <v>701</v>
      </c>
      <c r="H301" s="428">
        <v>1</v>
      </c>
      <c r="I301" s="530">
        <f t="shared" si="10"/>
        <v>16.829999999999998</v>
      </c>
      <c r="J301" s="289"/>
      <c r="K301" s="540"/>
      <c r="L301" s="530"/>
      <c r="M301" s="285"/>
    </row>
    <row r="302" spans="1:13" ht="14.25" customHeight="1" x14ac:dyDescent="0.25">
      <c r="A302" s="284"/>
      <c r="B302" s="529" t="s">
        <v>667</v>
      </c>
      <c r="C302" s="523" t="s">
        <v>1256</v>
      </c>
      <c r="D302" s="426" t="s">
        <v>620</v>
      </c>
      <c r="E302" s="426" t="s">
        <v>1214</v>
      </c>
      <c r="F302" s="440">
        <v>9.11</v>
      </c>
      <c r="G302" s="441" t="s">
        <v>701</v>
      </c>
      <c r="H302" s="428">
        <v>1</v>
      </c>
      <c r="I302" s="530">
        <f t="shared" si="10"/>
        <v>9.11</v>
      </c>
      <c r="J302" s="289"/>
      <c r="K302" s="540"/>
      <c r="L302" s="530"/>
      <c r="M302" s="285"/>
    </row>
    <row r="303" spans="1:13" ht="14.25" hidden="1" customHeight="1" x14ac:dyDescent="0.25">
      <c r="A303" s="284"/>
      <c r="B303" s="529" t="s">
        <v>667</v>
      </c>
      <c r="C303" s="523" t="s">
        <v>1256</v>
      </c>
      <c r="D303" s="426" t="s">
        <v>640</v>
      </c>
      <c r="E303" s="426" t="s">
        <v>1214</v>
      </c>
      <c r="F303" s="440">
        <v>6.42</v>
      </c>
      <c r="G303" s="441" t="s">
        <v>701</v>
      </c>
      <c r="H303" s="428">
        <v>1</v>
      </c>
      <c r="I303" s="530">
        <f t="shared" si="10"/>
        <v>6.42</v>
      </c>
      <c r="J303" s="289"/>
      <c r="K303" s="540"/>
      <c r="L303" s="530"/>
      <c r="M303" s="285"/>
    </row>
    <row r="304" spans="1:13" ht="14.25" customHeight="1" x14ac:dyDescent="0.25">
      <c r="A304" s="284"/>
      <c r="B304" s="529" t="s">
        <v>667</v>
      </c>
      <c r="C304" s="523" t="s">
        <v>1256</v>
      </c>
      <c r="D304" s="426" t="s">
        <v>621</v>
      </c>
      <c r="E304" s="426" t="s">
        <v>1214</v>
      </c>
      <c r="F304" s="440">
        <v>3.82</v>
      </c>
      <c r="G304" s="441" t="s">
        <v>701</v>
      </c>
      <c r="H304" s="428">
        <v>1</v>
      </c>
      <c r="I304" s="530">
        <f t="shared" si="10"/>
        <v>3.82</v>
      </c>
      <c r="J304" s="289"/>
      <c r="K304" s="540"/>
      <c r="L304" s="530"/>
      <c r="M304" s="285"/>
    </row>
    <row r="305" spans="1:13" ht="14.25" hidden="1" customHeight="1" x14ac:dyDescent="0.25">
      <c r="A305" s="284"/>
      <c r="B305" s="529" t="s">
        <v>667</v>
      </c>
      <c r="C305" s="523" t="s">
        <v>1256</v>
      </c>
      <c r="D305" s="426" t="s">
        <v>617</v>
      </c>
      <c r="E305" s="426" t="s">
        <v>686</v>
      </c>
      <c r="F305" s="440">
        <v>14.38</v>
      </c>
      <c r="G305" s="441" t="s">
        <v>701</v>
      </c>
      <c r="H305" s="428">
        <v>1</v>
      </c>
      <c r="I305" s="530">
        <f t="shared" si="10"/>
        <v>14.38</v>
      </c>
      <c r="J305" s="289"/>
      <c r="K305" s="540"/>
      <c r="L305" s="530"/>
      <c r="M305" s="285"/>
    </row>
    <row r="306" spans="1:13" ht="14.25" hidden="1" customHeight="1" x14ac:dyDescent="0.25">
      <c r="A306" s="284"/>
      <c r="B306" s="529" t="s">
        <v>667</v>
      </c>
      <c r="C306" s="523" t="s">
        <v>1256</v>
      </c>
      <c r="D306" s="426" t="s">
        <v>622</v>
      </c>
      <c r="E306" s="426" t="s">
        <v>686</v>
      </c>
      <c r="F306" s="440">
        <v>31.18</v>
      </c>
      <c r="G306" s="441" t="s">
        <v>701</v>
      </c>
      <c r="H306" s="428">
        <v>1</v>
      </c>
      <c r="I306" s="530">
        <f t="shared" si="10"/>
        <v>31.18</v>
      </c>
      <c r="J306" s="289"/>
      <c r="K306" s="540"/>
      <c r="L306" s="530"/>
      <c r="M306" s="285"/>
    </row>
    <row r="307" spans="1:13" ht="14.25" customHeight="1" x14ac:dyDescent="0.25">
      <c r="A307" s="284"/>
      <c r="B307" s="529" t="s">
        <v>667</v>
      </c>
      <c r="C307" s="523" t="s">
        <v>1256</v>
      </c>
      <c r="D307" s="426" t="s">
        <v>623</v>
      </c>
      <c r="E307" s="426" t="s">
        <v>1214</v>
      </c>
      <c r="F307" s="440">
        <v>7.34</v>
      </c>
      <c r="G307" s="441" t="s">
        <v>701</v>
      </c>
      <c r="H307" s="428">
        <v>1</v>
      </c>
      <c r="I307" s="530">
        <f t="shared" si="10"/>
        <v>7.34</v>
      </c>
      <c r="J307" s="289"/>
      <c r="K307" s="540"/>
      <c r="L307" s="530"/>
      <c r="M307" s="285"/>
    </row>
    <row r="308" spans="1:13" ht="14.25" hidden="1" customHeight="1" x14ac:dyDescent="0.25">
      <c r="A308" s="284"/>
      <c r="B308" s="529" t="s">
        <v>667</v>
      </c>
      <c r="C308" s="523" t="s">
        <v>1256</v>
      </c>
      <c r="D308" s="426" t="s">
        <v>630</v>
      </c>
      <c r="E308" s="426" t="s">
        <v>686</v>
      </c>
      <c r="F308" s="440">
        <v>18.100000000000001</v>
      </c>
      <c r="G308" s="441" t="s">
        <v>701</v>
      </c>
      <c r="H308" s="428">
        <v>1</v>
      </c>
      <c r="I308" s="530">
        <f t="shared" si="10"/>
        <v>18.100000000000001</v>
      </c>
      <c r="J308" s="289"/>
      <c r="K308" s="540"/>
      <c r="L308" s="530"/>
      <c r="M308" s="285"/>
    </row>
    <row r="309" spans="1:13" ht="14.25" customHeight="1" x14ac:dyDescent="0.25">
      <c r="A309" s="284"/>
      <c r="B309" s="529" t="s">
        <v>667</v>
      </c>
      <c r="C309" s="523" t="s">
        <v>1256</v>
      </c>
      <c r="D309" s="426" t="s">
        <v>631</v>
      </c>
      <c r="E309" s="426" t="s">
        <v>1214</v>
      </c>
      <c r="F309" s="440">
        <v>4.62</v>
      </c>
      <c r="G309" s="441" t="s">
        <v>701</v>
      </c>
      <c r="H309" s="428">
        <v>1</v>
      </c>
      <c r="I309" s="530">
        <f t="shared" si="10"/>
        <v>4.62</v>
      </c>
      <c r="J309" s="289"/>
      <c r="K309" s="540"/>
      <c r="L309" s="530"/>
      <c r="M309" s="285"/>
    </row>
    <row r="310" spans="1:13" ht="14.25" hidden="1" customHeight="1" x14ac:dyDescent="0.25">
      <c r="A310" s="284"/>
      <c r="B310" s="529" t="s">
        <v>667</v>
      </c>
      <c r="C310" s="523" t="s">
        <v>1256</v>
      </c>
      <c r="D310" s="426" t="s">
        <v>624</v>
      </c>
      <c r="E310" s="426" t="s">
        <v>686</v>
      </c>
      <c r="F310" s="440">
        <v>18.079999999999998</v>
      </c>
      <c r="G310" s="441" t="s">
        <v>701</v>
      </c>
      <c r="H310" s="428">
        <v>1</v>
      </c>
      <c r="I310" s="530">
        <f t="shared" si="10"/>
        <v>18.079999999999998</v>
      </c>
      <c r="J310" s="289"/>
      <c r="K310" s="540"/>
      <c r="L310" s="530"/>
      <c r="M310" s="285"/>
    </row>
    <row r="311" spans="1:13" ht="14.25" customHeight="1" x14ac:dyDescent="0.25">
      <c r="A311" s="284"/>
      <c r="B311" s="529" t="s">
        <v>667</v>
      </c>
      <c r="C311" s="523" t="s">
        <v>1256</v>
      </c>
      <c r="D311" s="426" t="s">
        <v>625</v>
      </c>
      <c r="E311" s="426" t="s">
        <v>1214</v>
      </c>
      <c r="F311" s="440">
        <v>4.6399999999999997</v>
      </c>
      <c r="G311" s="441" t="s">
        <v>701</v>
      </c>
      <c r="H311" s="428">
        <v>1</v>
      </c>
      <c r="I311" s="530">
        <f t="shared" si="10"/>
        <v>4.6399999999999997</v>
      </c>
      <c r="J311" s="289"/>
      <c r="K311" s="540"/>
      <c r="L311" s="530"/>
      <c r="M311" s="285"/>
    </row>
    <row r="312" spans="1:13" ht="14.25" hidden="1" customHeight="1" x14ac:dyDescent="0.25">
      <c r="A312" s="284"/>
      <c r="B312" s="529" t="s">
        <v>667</v>
      </c>
      <c r="C312" s="523" t="s">
        <v>1256</v>
      </c>
      <c r="D312" s="426" t="s">
        <v>626</v>
      </c>
      <c r="E312" s="426" t="s">
        <v>686</v>
      </c>
      <c r="F312" s="440">
        <v>18.079999999999998</v>
      </c>
      <c r="G312" s="441" t="s">
        <v>701</v>
      </c>
      <c r="H312" s="428">
        <v>1</v>
      </c>
      <c r="I312" s="530">
        <f t="shared" si="10"/>
        <v>18.079999999999998</v>
      </c>
      <c r="J312" s="289"/>
      <c r="K312" s="540"/>
      <c r="L312" s="530"/>
      <c r="M312" s="285"/>
    </row>
    <row r="313" spans="1:13" ht="14.25" customHeight="1" x14ac:dyDescent="0.25">
      <c r="A313" s="284"/>
      <c r="B313" s="529" t="s">
        <v>667</v>
      </c>
      <c r="C313" s="523" t="s">
        <v>1256</v>
      </c>
      <c r="D313" s="426" t="s">
        <v>627</v>
      </c>
      <c r="E313" s="426" t="s">
        <v>1214</v>
      </c>
      <c r="F313" s="440">
        <v>4.6399999999999997</v>
      </c>
      <c r="G313" s="441" t="s">
        <v>701</v>
      </c>
      <c r="H313" s="428">
        <v>1</v>
      </c>
      <c r="I313" s="530">
        <f t="shared" si="10"/>
        <v>4.6399999999999997</v>
      </c>
      <c r="J313" s="289"/>
      <c r="K313" s="540"/>
      <c r="L313" s="530"/>
      <c r="M313" s="285"/>
    </row>
    <row r="314" spans="1:13" ht="14.25" hidden="1" customHeight="1" x14ac:dyDescent="0.25">
      <c r="A314" s="284"/>
      <c r="B314" s="529" t="s">
        <v>667</v>
      </c>
      <c r="C314" s="523" t="s">
        <v>1256</v>
      </c>
      <c r="D314" s="426" t="s">
        <v>683</v>
      </c>
      <c r="E314" s="426" t="s">
        <v>693</v>
      </c>
      <c r="F314" s="440">
        <v>76.209999999999994</v>
      </c>
      <c r="G314" s="441"/>
      <c r="H314" s="428">
        <v>1</v>
      </c>
      <c r="I314" s="530">
        <f t="shared" si="10"/>
        <v>76.209999999999994</v>
      </c>
      <c r="J314" s="289"/>
      <c r="K314" s="540"/>
      <c r="L314" s="530"/>
      <c r="M314" s="285"/>
    </row>
    <row r="315" spans="1:13" ht="14.25" hidden="1" customHeight="1" x14ac:dyDescent="0.25">
      <c r="A315" s="284"/>
      <c r="B315" s="529" t="s">
        <v>667</v>
      </c>
      <c r="C315" s="523" t="s">
        <v>1256</v>
      </c>
      <c r="D315" s="426" t="s">
        <v>684</v>
      </c>
      <c r="E315" s="426" t="s">
        <v>694</v>
      </c>
      <c r="F315" s="440">
        <v>29.88</v>
      </c>
      <c r="G315" s="441" t="s">
        <v>701</v>
      </c>
      <c r="H315" s="428">
        <v>1</v>
      </c>
      <c r="I315" s="530">
        <f t="shared" si="10"/>
        <v>29.88</v>
      </c>
      <c r="J315" s="289"/>
      <c r="K315" s="540"/>
      <c r="L315" s="530"/>
      <c r="M315" s="285"/>
    </row>
    <row r="316" spans="1:13" ht="14.25" hidden="1" customHeight="1" x14ac:dyDescent="0.25">
      <c r="A316" s="284"/>
      <c r="B316" s="529" t="s">
        <v>667</v>
      </c>
      <c r="C316" s="523" t="s">
        <v>1256</v>
      </c>
      <c r="D316" s="426" t="s">
        <v>685</v>
      </c>
      <c r="E316" s="426"/>
      <c r="F316" s="440">
        <v>116.01</v>
      </c>
      <c r="G316" s="441"/>
      <c r="H316" s="428">
        <v>1</v>
      </c>
      <c r="I316" s="530">
        <f t="shared" si="10"/>
        <v>116.01</v>
      </c>
      <c r="J316" s="289"/>
      <c r="K316" s="540"/>
      <c r="L316" s="530"/>
      <c r="M316" s="285"/>
    </row>
    <row r="317" spans="1:13" ht="14.25" hidden="1" customHeight="1" x14ac:dyDescent="0.25">
      <c r="A317" s="284"/>
      <c r="B317" s="529" t="s">
        <v>667</v>
      </c>
      <c r="C317" s="523" t="s">
        <v>1257</v>
      </c>
      <c r="D317" s="426" t="s">
        <v>614</v>
      </c>
      <c r="E317" s="426" t="s">
        <v>1214</v>
      </c>
      <c r="F317" s="440">
        <v>26.18</v>
      </c>
      <c r="G317" s="441" t="s">
        <v>701</v>
      </c>
      <c r="H317" s="428">
        <v>1</v>
      </c>
      <c r="I317" s="530">
        <f t="shared" si="10"/>
        <v>26.18</v>
      </c>
      <c r="J317" s="289"/>
      <c r="K317" s="540"/>
      <c r="L317" s="530"/>
      <c r="M317" s="285"/>
    </row>
    <row r="318" spans="1:13" ht="14.25" hidden="1" customHeight="1" x14ac:dyDescent="0.25">
      <c r="A318" s="284"/>
      <c r="B318" s="529" t="s">
        <v>667</v>
      </c>
      <c r="C318" s="523" t="s">
        <v>1257</v>
      </c>
      <c r="D318" s="426" t="s">
        <v>615</v>
      </c>
      <c r="E318" s="426" t="s">
        <v>1214</v>
      </c>
      <c r="F318" s="440">
        <v>26.8</v>
      </c>
      <c r="G318" s="441" t="s">
        <v>701</v>
      </c>
      <c r="H318" s="428">
        <v>1</v>
      </c>
      <c r="I318" s="530">
        <f t="shared" si="10"/>
        <v>26.8</v>
      </c>
      <c r="J318" s="289"/>
      <c r="K318" s="540"/>
      <c r="L318" s="530"/>
      <c r="M318" s="285"/>
    </row>
    <row r="319" spans="1:13" ht="14.25" hidden="1" customHeight="1" x14ac:dyDescent="0.25">
      <c r="A319" s="284"/>
      <c r="B319" s="529" t="s">
        <v>667</v>
      </c>
      <c r="C319" s="523" t="s">
        <v>1257</v>
      </c>
      <c r="D319" s="426" t="s">
        <v>616</v>
      </c>
      <c r="E319" s="426" t="s">
        <v>1214</v>
      </c>
      <c r="F319" s="440">
        <v>3.31</v>
      </c>
      <c r="G319" s="441" t="s">
        <v>701</v>
      </c>
      <c r="H319" s="428">
        <v>1</v>
      </c>
      <c r="I319" s="530">
        <f t="shared" si="10"/>
        <v>3.31</v>
      </c>
      <c r="J319" s="289"/>
      <c r="K319" s="540"/>
      <c r="L319" s="530"/>
      <c r="M319" s="285"/>
    </row>
    <row r="320" spans="1:13" ht="14.25" hidden="1" customHeight="1" x14ac:dyDescent="0.25">
      <c r="A320" s="284"/>
      <c r="B320" s="529" t="s">
        <v>667</v>
      </c>
      <c r="C320" s="523" t="s">
        <v>1257</v>
      </c>
      <c r="D320" s="426" t="s">
        <v>618</v>
      </c>
      <c r="E320" s="426" t="s">
        <v>693</v>
      </c>
      <c r="F320" s="440">
        <v>27.46</v>
      </c>
      <c r="G320" s="441"/>
      <c r="H320" s="428">
        <v>1</v>
      </c>
      <c r="I320" s="530">
        <f t="shared" si="10"/>
        <v>27.46</v>
      </c>
      <c r="J320" s="289"/>
      <c r="K320" s="540"/>
      <c r="L320" s="530"/>
      <c r="M320" s="285"/>
    </row>
    <row r="321" spans="1:13" ht="14.25" hidden="1" customHeight="1" x14ac:dyDescent="0.25">
      <c r="A321" s="284"/>
      <c r="B321" s="529" t="s">
        <v>667</v>
      </c>
      <c r="C321" s="523" t="s">
        <v>1257</v>
      </c>
      <c r="D321" s="426" t="s">
        <v>689</v>
      </c>
      <c r="E321" s="426" t="s">
        <v>694</v>
      </c>
      <c r="F321" s="440">
        <v>22.78</v>
      </c>
      <c r="G321" s="441" t="s">
        <v>701</v>
      </c>
      <c r="H321" s="428">
        <v>1</v>
      </c>
      <c r="I321" s="530">
        <f t="shared" si="10"/>
        <v>22.78</v>
      </c>
      <c r="J321" s="289"/>
      <c r="K321" s="540"/>
      <c r="L321" s="530"/>
      <c r="M321" s="285"/>
    </row>
    <row r="322" spans="1:13" ht="14.25" hidden="1" customHeight="1" x14ac:dyDescent="0.25">
      <c r="A322" s="284"/>
      <c r="B322" s="529" t="s">
        <v>667</v>
      </c>
      <c r="C322" s="523" t="s">
        <v>1257</v>
      </c>
      <c r="D322" s="426" t="s">
        <v>619</v>
      </c>
      <c r="E322" s="426" t="s">
        <v>1214</v>
      </c>
      <c r="F322" s="440">
        <v>13.12</v>
      </c>
      <c r="G322" s="441" t="s">
        <v>701</v>
      </c>
      <c r="H322" s="428">
        <v>1</v>
      </c>
      <c r="I322" s="530">
        <f t="shared" si="10"/>
        <v>13.12</v>
      </c>
      <c r="J322" s="289"/>
      <c r="K322" s="540"/>
      <c r="L322" s="530"/>
      <c r="M322" s="285"/>
    </row>
    <row r="323" spans="1:13" ht="14.25" customHeight="1" x14ac:dyDescent="0.25">
      <c r="A323" s="284"/>
      <c r="B323" s="529" t="s">
        <v>667</v>
      </c>
      <c r="C323" s="523" t="s">
        <v>1257</v>
      </c>
      <c r="D323" s="426" t="s">
        <v>620</v>
      </c>
      <c r="E323" s="426" t="s">
        <v>1214</v>
      </c>
      <c r="F323" s="440">
        <v>6.95</v>
      </c>
      <c r="G323" s="441" t="s">
        <v>701</v>
      </c>
      <c r="H323" s="428">
        <v>1</v>
      </c>
      <c r="I323" s="530">
        <f t="shared" si="10"/>
        <v>6.95</v>
      </c>
      <c r="J323" s="289"/>
      <c r="K323" s="540"/>
      <c r="L323" s="530"/>
      <c r="M323" s="285"/>
    </row>
    <row r="324" spans="1:13" ht="14.25" customHeight="1" x14ac:dyDescent="0.25">
      <c r="A324" s="284"/>
      <c r="B324" s="529" t="s">
        <v>667</v>
      </c>
      <c r="C324" s="523" t="s">
        <v>1257</v>
      </c>
      <c r="D324" s="426" t="s">
        <v>621</v>
      </c>
      <c r="E324" s="426" t="s">
        <v>1214</v>
      </c>
      <c r="F324" s="440">
        <v>4.03</v>
      </c>
      <c r="G324" s="441" t="s">
        <v>701</v>
      </c>
      <c r="H324" s="428">
        <v>1</v>
      </c>
      <c r="I324" s="530">
        <f t="shared" si="10"/>
        <v>4.03</v>
      </c>
      <c r="J324" s="289"/>
      <c r="K324" s="540"/>
      <c r="L324" s="530"/>
      <c r="M324" s="285"/>
    </row>
    <row r="325" spans="1:13" ht="14.25" hidden="1" customHeight="1" x14ac:dyDescent="0.25">
      <c r="A325" s="284"/>
      <c r="B325" s="529" t="s">
        <v>667</v>
      </c>
      <c r="C325" s="523" t="s">
        <v>1257</v>
      </c>
      <c r="D325" s="426" t="s">
        <v>617</v>
      </c>
      <c r="E325" s="426" t="s">
        <v>686</v>
      </c>
      <c r="F325" s="440">
        <v>7.1</v>
      </c>
      <c r="G325" s="441" t="s">
        <v>701</v>
      </c>
      <c r="H325" s="428">
        <v>1</v>
      </c>
      <c r="I325" s="530">
        <f t="shared" si="10"/>
        <v>7.1</v>
      </c>
      <c r="J325" s="289"/>
      <c r="K325" s="540"/>
      <c r="L325" s="530"/>
      <c r="M325" s="285"/>
    </row>
    <row r="326" spans="1:13" ht="14.25" hidden="1" customHeight="1" x14ac:dyDescent="0.25">
      <c r="A326" s="284"/>
      <c r="B326" s="529" t="s">
        <v>667</v>
      </c>
      <c r="C326" s="523" t="s">
        <v>1257</v>
      </c>
      <c r="D326" s="426" t="s">
        <v>622</v>
      </c>
      <c r="E326" s="426" t="s">
        <v>686</v>
      </c>
      <c r="F326" s="440">
        <v>31.28</v>
      </c>
      <c r="G326" s="441" t="s">
        <v>701</v>
      </c>
      <c r="H326" s="428">
        <v>1</v>
      </c>
      <c r="I326" s="530">
        <f t="shared" si="10"/>
        <v>31.28</v>
      </c>
      <c r="J326" s="289"/>
      <c r="K326" s="540"/>
      <c r="L326" s="530"/>
      <c r="M326" s="285"/>
    </row>
    <row r="327" spans="1:13" ht="14.25" customHeight="1" x14ac:dyDescent="0.25">
      <c r="A327" s="284"/>
      <c r="B327" s="529" t="s">
        <v>667</v>
      </c>
      <c r="C327" s="523" t="s">
        <v>1257</v>
      </c>
      <c r="D327" s="426" t="s">
        <v>623</v>
      </c>
      <c r="E327" s="426" t="s">
        <v>1214</v>
      </c>
      <c r="F327" s="440">
        <v>7.06</v>
      </c>
      <c r="G327" s="441" t="s">
        <v>701</v>
      </c>
      <c r="H327" s="428">
        <v>1</v>
      </c>
      <c r="I327" s="530">
        <f t="shared" si="10"/>
        <v>7.06</v>
      </c>
      <c r="J327" s="289"/>
      <c r="K327" s="540"/>
      <c r="L327" s="530"/>
      <c r="M327" s="285"/>
    </row>
    <row r="328" spans="1:13" ht="14.25" hidden="1" customHeight="1" x14ac:dyDescent="0.25">
      <c r="A328" s="284"/>
      <c r="B328" s="529" t="s">
        <v>667</v>
      </c>
      <c r="C328" s="523" t="s">
        <v>1257</v>
      </c>
      <c r="D328" s="426" t="s">
        <v>624</v>
      </c>
      <c r="E328" s="426" t="s">
        <v>686</v>
      </c>
      <c r="F328" s="440">
        <v>17.98</v>
      </c>
      <c r="G328" s="441" t="s">
        <v>701</v>
      </c>
      <c r="H328" s="428">
        <v>1</v>
      </c>
      <c r="I328" s="530">
        <f t="shared" si="10"/>
        <v>17.98</v>
      </c>
      <c r="J328" s="289"/>
      <c r="K328" s="540"/>
      <c r="L328" s="530"/>
      <c r="M328" s="285"/>
    </row>
    <row r="329" spans="1:13" ht="14.25" customHeight="1" x14ac:dyDescent="0.25">
      <c r="A329" s="284"/>
      <c r="B329" s="529" t="s">
        <v>667</v>
      </c>
      <c r="C329" s="523" t="s">
        <v>1257</v>
      </c>
      <c r="D329" s="426" t="s">
        <v>625</v>
      </c>
      <c r="E329" s="426" t="s">
        <v>1214</v>
      </c>
      <c r="F329" s="440">
        <v>4.72</v>
      </c>
      <c r="G329" s="441" t="s">
        <v>701</v>
      </c>
      <c r="H329" s="428">
        <v>1</v>
      </c>
      <c r="I329" s="530">
        <f t="shared" si="10"/>
        <v>4.72</v>
      </c>
      <c r="J329" s="289"/>
      <c r="K329" s="540"/>
      <c r="L329" s="530"/>
      <c r="M329" s="285"/>
    </row>
    <row r="330" spans="1:13" ht="14.25" hidden="1" customHeight="1" x14ac:dyDescent="0.25">
      <c r="A330" s="284"/>
      <c r="B330" s="529" t="s">
        <v>667</v>
      </c>
      <c r="C330" s="523" t="s">
        <v>1257</v>
      </c>
      <c r="D330" s="426" t="s">
        <v>626</v>
      </c>
      <c r="E330" s="426" t="s">
        <v>686</v>
      </c>
      <c r="F330" s="440">
        <v>18.059999999999999</v>
      </c>
      <c r="G330" s="441" t="s">
        <v>701</v>
      </c>
      <c r="H330" s="428">
        <v>1</v>
      </c>
      <c r="I330" s="530">
        <f t="shared" si="10"/>
        <v>18.059999999999999</v>
      </c>
      <c r="J330" s="289"/>
      <c r="K330" s="540"/>
      <c r="L330" s="530"/>
      <c r="M330" s="285"/>
    </row>
    <row r="331" spans="1:13" ht="14.25" customHeight="1" x14ac:dyDescent="0.25">
      <c r="A331" s="284"/>
      <c r="B331" s="529" t="s">
        <v>667</v>
      </c>
      <c r="C331" s="523" t="s">
        <v>1257</v>
      </c>
      <c r="D331" s="426" t="s">
        <v>627</v>
      </c>
      <c r="E331" s="426" t="s">
        <v>1214</v>
      </c>
      <c r="F331" s="440">
        <v>4.72</v>
      </c>
      <c r="G331" s="441" t="s">
        <v>701</v>
      </c>
      <c r="H331" s="428">
        <v>1</v>
      </c>
      <c r="I331" s="530">
        <f t="shared" si="10"/>
        <v>4.72</v>
      </c>
      <c r="J331" s="289"/>
      <c r="K331" s="540"/>
      <c r="L331" s="530"/>
      <c r="M331" s="285"/>
    </row>
    <row r="332" spans="1:13" ht="14.25" hidden="1" customHeight="1" x14ac:dyDescent="0.25">
      <c r="A332" s="284"/>
      <c r="B332" s="529" t="s">
        <v>667</v>
      </c>
      <c r="C332" s="523" t="s">
        <v>1257</v>
      </c>
      <c r="D332" s="426" t="s">
        <v>683</v>
      </c>
      <c r="E332" s="426" t="s">
        <v>693</v>
      </c>
      <c r="F332" s="440">
        <v>82.5</v>
      </c>
      <c r="G332" s="441"/>
      <c r="H332" s="428">
        <v>1</v>
      </c>
      <c r="I332" s="530">
        <f t="shared" si="10"/>
        <v>82.5</v>
      </c>
      <c r="J332" s="289"/>
      <c r="K332" s="540"/>
      <c r="L332" s="530"/>
      <c r="M332" s="285"/>
    </row>
    <row r="333" spans="1:13" ht="14.25" hidden="1" customHeight="1" x14ac:dyDescent="0.25">
      <c r="A333" s="284"/>
      <c r="B333" s="529" t="s">
        <v>667</v>
      </c>
      <c r="C333" s="523" t="s">
        <v>1257</v>
      </c>
      <c r="D333" s="426" t="s">
        <v>684</v>
      </c>
      <c r="E333" s="426" t="s">
        <v>694</v>
      </c>
      <c r="F333" s="440">
        <v>29.88</v>
      </c>
      <c r="G333" s="441" t="s">
        <v>701</v>
      </c>
      <c r="H333" s="428">
        <v>1</v>
      </c>
      <c r="I333" s="530">
        <f t="shared" si="10"/>
        <v>29.88</v>
      </c>
      <c r="J333" s="289"/>
      <c r="K333" s="540"/>
      <c r="L333" s="530"/>
      <c r="M333" s="285"/>
    </row>
    <row r="334" spans="1:13" ht="14.25" hidden="1" customHeight="1" x14ac:dyDescent="0.25">
      <c r="A334" s="284"/>
      <c r="B334" s="529" t="s">
        <v>667</v>
      </c>
      <c r="C334" s="523" t="s">
        <v>1257</v>
      </c>
      <c r="D334" s="426" t="s">
        <v>685</v>
      </c>
      <c r="E334" s="426"/>
      <c r="F334" s="440">
        <v>189.27</v>
      </c>
      <c r="G334" s="441"/>
      <c r="H334" s="428">
        <v>1</v>
      </c>
      <c r="I334" s="530">
        <f t="shared" si="10"/>
        <v>189.27</v>
      </c>
      <c r="J334" s="289"/>
      <c r="K334" s="540"/>
      <c r="L334" s="530"/>
      <c r="M334" s="285"/>
    </row>
    <row r="335" spans="1:13" ht="14.25" hidden="1" customHeight="1" x14ac:dyDescent="0.25">
      <c r="A335" s="284"/>
      <c r="B335" s="529" t="s">
        <v>667</v>
      </c>
      <c r="C335" s="523" t="s">
        <v>1258</v>
      </c>
      <c r="D335" s="426" t="s">
        <v>614</v>
      </c>
      <c r="E335" s="426" t="s">
        <v>1214</v>
      </c>
      <c r="F335" s="440">
        <v>28.36</v>
      </c>
      <c r="G335" s="441" t="s">
        <v>701</v>
      </c>
      <c r="H335" s="428">
        <v>1</v>
      </c>
      <c r="I335" s="530">
        <f t="shared" si="10"/>
        <v>28.36</v>
      </c>
      <c r="J335" s="289"/>
      <c r="K335" s="540"/>
      <c r="L335" s="530"/>
      <c r="M335" s="285"/>
    </row>
    <row r="336" spans="1:13" ht="14.25" hidden="1" customHeight="1" x14ac:dyDescent="0.25">
      <c r="A336" s="284"/>
      <c r="B336" s="529" t="s">
        <v>667</v>
      </c>
      <c r="C336" s="523" t="s">
        <v>1258</v>
      </c>
      <c r="D336" s="426" t="s">
        <v>615</v>
      </c>
      <c r="E336" s="426" t="s">
        <v>1214</v>
      </c>
      <c r="F336" s="440">
        <v>33.159999999999997</v>
      </c>
      <c r="G336" s="441" t="s">
        <v>701</v>
      </c>
      <c r="H336" s="428">
        <v>1</v>
      </c>
      <c r="I336" s="530">
        <f t="shared" si="10"/>
        <v>33.159999999999997</v>
      </c>
      <c r="J336" s="289"/>
      <c r="K336" s="540"/>
      <c r="L336" s="530"/>
      <c r="M336" s="285"/>
    </row>
    <row r="337" spans="1:13" ht="14.25" hidden="1" customHeight="1" x14ac:dyDescent="0.25">
      <c r="A337" s="284"/>
      <c r="B337" s="529" t="s">
        <v>667</v>
      </c>
      <c r="C337" s="523" t="s">
        <v>1258</v>
      </c>
      <c r="D337" s="426" t="s">
        <v>616</v>
      </c>
      <c r="E337" s="426" t="s">
        <v>1214</v>
      </c>
      <c r="F337" s="440">
        <v>3.14</v>
      </c>
      <c r="G337" s="441" t="s">
        <v>701</v>
      </c>
      <c r="H337" s="428">
        <v>1</v>
      </c>
      <c r="I337" s="530">
        <f t="shared" si="10"/>
        <v>3.14</v>
      </c>
      <c r="J337" s="289"/>
      <c r="K337" s="540"/>
      <c r="L337" s="530"/>
      <c r="M337" s="285"/>
    </row>
    <row r="338" spans="1:13" ht="14.25" hidden="1" customHeight="1" x14ac:dyDescent="0.25">
      <c r="A338" s="284"/>
      <c r="B338" s="529" t="s">
        <v>667</v>
      </c>
      <c r="C338" s="523" t="s">
        <v>1258</v>
      </c>
      <c r="D338" s="426" t="s">
        <v>618</v>
      </c>
      <c r="E338" s="426" t="s">
        <v>693</v>
      </c>
      <c r="F338" s="440">
        <v>28.87</v>
      </c>
      <c r="G338" s="441"/>
      <c r="H338" s="428">
        <v>1</v>
      </c>
      <c r="I338" s="530">
        <f t="shared" si="10"/>
        <v>28.87</v>
      </c>
      <c r="J338" s="289"/>
      <c r="K338" s="540"/>
      <c r="L338" s="530"/>
      <c r="M338" s="285"/>
    </row>
    <row r="339" spans="1:13" ht="14.25" hidden="1" customHeight="1" x14ac:dyDescent="0.25">
      <c r="A339" s="284"/>
      <c r="B339" s="529" t="s">
        <v>667</v>
      </c>
      <c r="C339" s="523" t="s">
        <v>1258</v>
      </c>
      <c r="D339" s="426" t="s">
        <v>689</v>
      </c>
      <c r="E339" s="426" t="s">
        <v>694</v>
      </c>
      <c r="F339" s="440">
        <v>21.54</v>
      </c>
      <c r="G339" s="441" t="s">
        <v>701</v>
      </c>
      <c r="H339" s="428">
        <v>1</v>
      </c>
      <c r="I339" s="530">
        <f t="shared" si="10"/>
        <v>21.54</v>
      </c>
      <c r="J339" s="289"/>
      <c r="K339" s="540"/>
      <c r="L339" s="530"/>
      <c r="M339" s="285"/>
    </row>
    <row r="340" spans="1:13" ht="14.25" hidden="1" customHeight="1" x14ac:dyDescent="0.25">
      <c r="A340" s="284"/>
      <c r="B340" s="529" t="s">
        <v>667</v>
      </c>
      <c r="C340" s="523" t="s">
        <v>1258</v>
      </c>
      <c r="D340" s="426" t="s">
        <v>619</v>
      </c>
      <c r="E340" s="426" t="s">
        <v>1214</v>
      </c>
      <c r="F340" s="440">
        <v>15.67</v>
      </c>
      <c r="G340" s="441" t="s">
        <v>701</v>
      </c>
      <c r="H340" s="428">
        <v>1</v>
      </c>
      <c r="I340" s="530">
        <f t="shared" si="10"/>
        <v>15.67</v>
      </c>
      <c r="J340" s="289"/>
      <c r="K340" s="540"/>
      <c r="L340" s="530"/>
      <c r="M340" s="285"/>
    </row>
    <row r="341" spans="1:13" ht="14.25" customHeight="1" x14ac:dyDescent="0.25">
      <c r="A341" s="284"/>
      <c r="B341" s="529" t="s">
        <v>667</v>
      </c>
      <c r="C341" s="523" t="s">
        <v>1258</v>
      </c>
      <c r="D341" s="426" t="s">
        <v>620</v>
      </c>
      <c r="E341" s="426" t="s">
        <v>1214</v>
      </c>
      <c r="F341" s="440">
        <v>9.2100000000000009</v>
      </c>
      <c r="G341" s="441" t="s">
        <v>701</v>
      </c>
      <c r="H341" s="428">
        <v>1</v>
      </c>
      <c r="I341" s="530">
        <f t="shared" si="10"/>
        <v>9.2100000000000009</v>
      </c>
      <c r="J341" s="289"/>
      <c r="K341" s="540"/>
      <c r="L341" s="530"/>
      <c r="M341" s="285"/>
    </row>
    <row r="342" spans="1:13" ht="14.25" hidden="1" customHeight="1" x14ac:dyDescent="0.25">
      <c r="A342" s="284"/>
      <c r="B342" s="529" t="s">
        <v>667</v>
      </c>
      <c r="C342" s="523" t="s">
        <v>1258</v>
      </c>
      <c r="D342" s="426" t="s">
        <v>640</v>
      </c>
      <c r="E342" s="426" t="s">
        <v>1214</v>
      </c>
      <c r="F342" s="440">
        <v>6.6</v>
      </c>
      <c r="G342" s="441" t="s">
        <v>701</v>
      </c>
      <c r="H342" s="428">
        <v>1</v>
      </c>
      <c r="I342" s="530">
        <f t="shared" si="10"/>
        <v>6.6</v>
      </c>
      <c r="J342" s="289"/>
      <c r="K342" s="540"/>
      <c r="L342" s="530"/>
      <c r="M342" s="285"/>
    </row>
    <row r="343" spans="1:13" ht="14.25" customHeight="1" x14ac:dyDescent="0.25">
      <c r="A343" s="284"/>
      <c r="B343" s="529" t="s">
        <v>667</v>
      </c>
      <c r="C343" s="523" t="s">
        <v>1258</v>
      </c>
      <c r="D343" s="426" t="s">
        <v>621</v>
      </c>
      <c r="E343" s="426" t="s">
        <v>1214</v>
      </c>
      <c r="F343" s="440">
        <v>3.79</v>
      </c>
      <c r="G343" s="441" t="s">
        <v>701</v>
      </c>
      <c r="H343" s="428">
        <v>1</v>
      </c>
      <c r="I343" s="530">
        <f t="shared" ref="I343:I407" si="11">F343*H343</f>
        <v>3.79</v>
      </c>
      <c r="J343" s="289"/>
      <c r="K343" s="540"/>
      <c r="L343" s="530"/>
      <c r="M343" s="285"/>
    </row>
    <row r="344" spans="1:13" ht="14.25" hidden="1" customHeight="1" x14ac:dyDescent="0.25">
      <c r="A344" s="284"/>
      <c r="B344" s="529" t="s">
        <v>667</v>
      </c>
      <c r="C344" s="523" t="s">
        <v>1258</v>
      </c>
      <c r="D344" s="426" t="s">
        <v>617</v>
      </c>
      <c r="E344" s="426" t="s">
        <v>686</v>
      </c>
      <c r="F344" s="440">
        <v>13.87</v>
      </c>
      <c r="G344" s="441" t="s">
        <v>701</v>
      </c>
      <c r="H344" s="428">
        <v>1</v>
      </c>
      <c r="I344" s="530">
        <f t="shared" si="11"/>
        <v>13.87</v>
      </c>
      <c r="J344" s="289"/>
      <c r="K344" s="540"/>
      <c r="L344" s="530"/>
      <c r="M344" s="285"/>
    </row>
    <row r="345" spans="1:13" ht="14.25" hidden="1" customHeight="1" x14ac:dyDescent="0.25">
      <c r="A345" s="284"/>
      <c r="B345" s="529" t="s">
        <v>667</v>
      </c>
      <c r="C345" s="523" t="s">
        <v>1258</v>
      </c>
      <c r="D345" s="426" t="s">
        <v>622</v>
      </c>
      <c r="E345" s="426" t="s">
        <v>686</v>
      </c>
      <c r="F345" s="440">
        <v>31.22</v>
      </c>
      <c r="G345" s="441" t="s">
        <v>701</v>
      </c>
      <c r="H345" s="428">
        <v>1</v>
      </c>
      <c r="I345" s="530">
        <f t="shared" si="11"/>
        <v>31.22</v>
      </c>
      <c r="J345" s="289"/>
      <c r="K345" s="540"/>
      <c r="L345" s="530"/>
      <c r="M345" s="285"/>
    </row>
    <row r="346" spans="1:13" ht="14.25" customHeight="1" x14ac:dyDescent="0.25">
      <c r="A346" s="284"/>
      <c r="B346" s="529" t="s">
        <v>667</v>
      </c>
      <c r="C346" s="523" t="s">
        <v>1258</v>
      </c>
      <c r="D346" s="426" t="s">
        <v>623</v>
      </c>
      <c r="E346" s="426" t="s">
        <v>1214</v>
      </c>
      <c r="F346" s="440">
        <v>7.49</v>
      </c>
      <c r="G346" s="441" t="s">
        <v>701</v>
      </c>
      <c r="H346" s="428">
        <v>1</v>
      </c>
      <c r="I346" s="530">
        <f t="shared" si="11"/>
        <v>7.49</v>
      </c>
      <c r="J346" s="289"/>
      <c r="K346" s="540"/>
      <c r="L346" s="530"/>
      <c r="M346" s="285"/>
    </row>
    <row r="347" spans="1:13" ht="14.25" hidden="1" customHeight="1" x14ac:dyDescent="0.25">
      <c r="A347" s="284"/>
      <c r="B347" s="529" t="s">
        <v>667</v>
      </c>
      <c r="C347" s="523" t="s">
        <v>1258</v>
      </c>
      <c r="D347" s="426" t="s">
        <v>630</v>
      </c>
      <c r="E347" s="426" t="s">
        <v>686</v>
      </c>
      <c r="F347" s="440">
        <v>18.100000000000001</v>
      </c>
      <c r="G347" s="441" t="s">
        <v>701</v>
      </c>
      <c r="H347" s="428">
        <v>1</v>
      </c>
      <c r="I347" s="530">
        <f t="shared" si="11"/>
        <v>18.100000000000001</v>
      </c>
      <c r="J347" s="289"/>
      <c r="K347" s="540"/>
      <c r="L347" s="530"/>
      <c r="M347" s="285"/>
    </row>
    <row r="348" spans="1:13" ht="14.25" customHeight="1" x14ac:dyDescent="0.25">
      <c r="A348" s="284"/>
      <c r="B348" s="529" t="s">
        <v>667</v>
      </c>
      <c r="C348" s="523" t="s">
        <v>1258</v>
      </c>
      <c r="D348" s="426" t="s">
        <v>631</v>
      </c>
      <c r="E348" s="426" t="s">
        <v>1214</v>
      </c>
      <c r="F348" s="440">
        <v>4.62</v>
      </c>
      <c r="G348" s="441" t="s">
        <v>701</v>
      </c>
      <c r="H348" s="428">
        <v>1</v>
      </c>
      <c r="I348" s="530">
        <f t="shared" si="11"/>
        <v>4.62</v>
      </c>
      <c r="J348" s="289"/>
      <c r="K348" s="540"/>
      <c r="L348" s="530"/>
      <c r="M348" s="285"/>
    </row>
    <row r="349" spans="1:13" ht="14.25" hidden="1" customHeight="1" x14ac:dyDescent="0.25">
      <c r="A349" s="284"/>
      <c r="B349" s="529" t="s">
        <v>667</v>
      </c>
      <c r="C349" s="523" t="s">
        <v>1258</v>
      </c>
      <c r="D349" s="426" t="s">
        <v>624</v>
      </c>
      <c r="E349" s="426" t="s">
        <v>686</v>
      </c>
      <c r="F349" s="440">
        <v>18.079999999999998</v>
      </c>
      <c r="G349" s="441" t="s">
        <v>701</v>
      </c>
      <c r="H349" s="428">
        <v>1</v>
      </c>
      <c r="I349" s="530">
        <f t="shared" si="11"/>
        <v>18.079999999999998</v>
      </c>
      <c r="J349" s="289"/>
      <c r="K349" s="540"/>
      <c r="L349" s="530"/>
      <c r="M349" s="285"/>
    </row>
    <row r="350" spans="1:13" ht="14.25" customHeight="1" x14ac:dyDescent="0.25">
      <c r="A350" s="284"/>
      <c r="B350" s="529" t="s">
        <v>667</v>
      </c>
      <c r="C350" s="523" t="s">
        <v>1258</v>
      </c>
      <c r="D350" s="426" t="s">
        <v>625</v>
      </c>
      <c r="E350" s="426" t="s">
        <v>1214</v>
      </c>
      <c r="F350" s="440">
        <v>4.6399999999999997</v>
      </c>
      <c r="G350" s="441" t="s">
        <v>701</v>
      </c>
      <c r="H350" s="428">
        <v>1</v>
      </c>
      <c r="I350" s="530">
        <f t="shared" si="11"/>
        <v>4.6399999999999997</v>
      </c>
      <c r="J350" s="289"/>
      <c r="K350" s="540"/>
      <c r="L350" s="530"/>
      <c r="M350" s="285"/>
    </row>
    <row r="351" spans="1:13" ht="14.25" hidden="1" customHeight="1" x14ac:dyDescent="0.25">
      <c r="A351" s="284"/>
      <c r="B351" s="529" t="s">
        <v>667</v>
      </c>
      <c r="C351" s="523" t="s">
        <v>1258</v>
      </c>
      <c r="D351" s="426" t="s">
        <v>626</v>
      </c>
      <c r="E351" s="426" t="s">
        <v>686</v>
      </c>
      <c r="F351" s="440">
        <v>18.079999999999998</v>
      </c>
      <c r="G351" s="441" t="s">
        <v>701</v>
      </c>
      <c r="H351" s="428">
        <v>1</v>
      </c>
      <c r="I351" s="530">
        <f t="shared" si="11"/>
        <v>18.079999999999998</v>
      </c>
      <c r="J351" s="289"/>
      <c r="K351" s="540"/>
      <c r="L351" s="530"/>
      <c r="M351" s="285"/>
    </row>
    <row r="352" spans="1:13" ht="14.25" customHeight="1" x14ac:dyDescent="0.25">
      <c r="A352" s="284"/>
      <c r="B352" s="529" t="s">
        <v>667</v>
      </c>
      <c r="C352" s="523" t="s">
        <v>1258</v>
      </c>
      <c r="D352" s="426" t="s">
        <v>627</v>
      </c>
      <c r="E352" s="426" t="s">
        <v>1214</v>
      </c>
      <c r="F352" s="440">
        <v>4.6399999999999997</v>
      </c>
      <c r="G352" s="441" t="s">
        <v>701</v>
      </c>
      <c r="H352" s="428">
        <v>1</v>
      </c>
      <c r="I352" s="530">
        <f t="shared" si="11"/>
        <v>4.6399999999999997</v>
      </c>
      <c r="J352" s="289"/>
      <c r="K352" s="540"/>
      <c r="L352" s="530"/>
      <c r="M352" s="285"/>
    </row>
    <row r="353" spans="1:13" ht="14.25" hidden="1" customHeight="1" x14ac:dyDescent="0.25">
      <c r="A353" s="284"/>
      <c r="B353" s="529" t="s">
        <v>667</v>
      </c>
      <c r="C353" s="523" t="s">
        <v>1258</v>
      </c>
      <c r="D353" s="426" t="s">
        <v>683</v>
      </c>
      <c r="E353" s="426" t="s">
        <v>693</v>
      </c>
      <c r="F353" s="440">
        <v>82.5</v>
      </c>
      <c r="G353" s="441"/>
      <c r="H353" s="428">
        <v>1</v>
      </c>
      <c r="I353" s="530">
        <f t="shared" si="11"/>
        <v>82.5</v>
      </c>
      <c r="J353" s="289"/>
      <c r="K353" s="540"/>
      <c r="L353" s="530"/>
      <c r="M353" s="285"/>
    </row>
    <row r="354" spans="1:13" ht="14.25" hidden="1" customHeight="1" x14ac:dyDescent="0.25">
      <c r="A354" s="284"/>
      <c r="B354" s="529" t="s">
        <v>667</v>
      </c>
      <c r="C354" s="523" t="s">
        <v>1258</v>
      </c>
      <c r="D354" s="426" t="s">
        <v>684</v>
      </c>
      <c r="E354" s="426" t="s">
        <v>694</v>
      </c>
      <c r="F354" s="440">
        <v>29.88</v>
      </c>
      <c r="G354" s="441" t="s">
        <v>701</v>
      </c>
      <c r="H354" s="428">
        <v>1</v>
      </c>
      <c r="I354" s="530">
        <f t="shared" si="11"/>
        <v>29.88</v>
      </c>
      <c r="J354" s="289"/>
      <c r="K354" s="540"/>
      <c r="L354" s="530"/>
      <c r="M354" s="285"/>
    </row>
    <row r="355" spans="1:13" ht="14.25" hidden="1" customHeight="1" x14ac:dyDescent="0.25">
      <c r="A355" s="284"/>
      <c r="B355" s="529" t="s">
        <v>667</v>
      </c>
      <c r="C355" s="523" t="s">
        <v>1258</v>
      </c>
      <c r="D355" s="426" t="s">
        <v>685</v>
      </c>
      <c r="E355" s="426"/>
      <c r="F355" s="440">
        <v>189.27</v>
      </c>
      <c r="G355" s="441"/>
      <c r="H355" s="428">
        <v>1</v>
      </c>
      <c r="I355" s="530">
        <f t="shared" si="11"/>
        <v>189.27</v>
      </c>
      <c r="J355" s="289"/>
      <c r="K355" s="540"/>
      <c r="L355" s="530"/>
      <c r="M355" s="285"/>
    </row>
    <row r="356" spans="1:13" ht="14.25" hidden="1" customHeight="1" x14ac:dyDescent="0.25">
      <c r="A356" s="284"/>
      <c r="B356" s="529" t="s">
        <v>667</v>
      </c>
      <c r="C356" s="523" t="s">
        <v>1259</v>
      </c>
      <c r="D356" s="426" t="s">
        <v>614</v>
      </c>
      <c r="E356" s="426" t="s">
        <v>1214</v>
      </c>
      <c r="F356" s="440">
        <v>25.22</v>
      </c>
      <c r="G356" s="441" t="s">
        <v>701</v>
      </c>
      <c r="H356" s="428">
        <v>1</v>
      </c>
      <c r="I356" s="530">
        <f t="shared" si="11"/>
        <v>25.22</v>
      </c>
      <c r="J356" s="289"/>
      <c r="K356" s="540"/>
      <c r="L356" s="530"/>
      <c r="M356" s="285"/>
    </row>
    <row r="357" spans="1:13" ht="14.25" hidden="1" customHeight="1" x14ac:dyDescent="0.25">
      <c r="A357" s="284"/>
      <c r="B357" s="529" t="s">
        <v>667</v>
      </c>
      <c r="C357" s="523" t="s">
        <v>1259</v>
      </c>
      <c r="D357" s="426" t="s">
        <v>615</v>
      </c>
      <c r="E357" s="426" t="s">
        <v>1214</v>
      </c>
      <c r="F357" s="440">
        <v>26.33</v>
      </c>
      <c r="G357" s="441" t="s">
        <v>701</v>
      </c>
      <c r="H357" s="428">
        <v>1</v>
      </c>
      <c r="I357" s="530">
        <f t="shared" si="11"/>
        <v>26.33</v>
      </c>
      <c r="J357" s="289"/>
      <c r="K357" s="540"/>
      <c r="L357" s="530"/>
      <c r="M357" s="285"/>
    </row>
    <row r="358" spans="1:13" ht="14.25" hidden="1" customHeight="1" x14ac:dyDescent="0.25">
      <c r="A358" s="284"/>
      <c r="B358" s="529" t="s">
        <v>667</v>
      </c>
      <c r="C358" s="523" t="s">
        <v>1259</v>
      </c>
      <c r="D358" s="426" t="s">
        <v>616</v>
      </c>
      <c r="E358" s="426" t="s">
        <v>1214</v>
      </c>
      <c r="F358" s="440">
        <v>2.78</v>
      </c>
      <c r="G358" s="441" t="s">
        <v>701</v>
      </c>
      <c r="H358" s="428">
        <v>1</v>
      </c>
      <c r="I358" s="530">
        <f t="shared" si="11"/>
        <v>2.78</v>
      </c>
      <c r="J358" s="289"/>
      <c r="K358" s="540"/>
      <c r="L358" s="530"/>
      <c r="M358" s="285"/>
    </row>
    <row r="359" spans="1:13" ht="14.25" hidden="1" customHeight="1" x14ac:dyDescent="0.25">
      <c r="A359" s="284"/>
      <c r="B359" s="529" t="s">
        <v>667</v>
      </c>
      <c r="C359" s="523" t="s">
        <v>1259</v>
      </c>
      <c r="D359" s="426" t="s">
        <v>618</v>
      </c>
      <c r="E359" s="426" t="s">
        <v>693</v>
      </c>
      <c r="F359" s="440">
        <v>24.32</v>
      </c>
      <c r="G359" s="441"/>
      <c r="H359" s="428">
        <v>1</v>
      </c>
      <c r="I359" s="530">
        <f t="shared" si="11"/>
        <v>24.32</v>
      </c>
      <c r="J359" s="289"/>
      <c r="K359" s="540"/>
      <c r="L359" s="530"/>
      <c r="M359" s="285"/>
    </row>
    <row r="360" spans="1:13" ht="14.25" hidden="1" customHeight="1" x14ac:dyDescent="0.25">
      <c r="A360" s="284"/>
      <c r="B360" s="529" t="s">
        <v>667</v>
      </c>
      <c r="C360" s="523" t="s">
        <v>1259</v>
      </c>
      <c r="D360" s="426" t="s">
        <v>689</v>
      </c>
      <c r="E360" s="426" t="s">
        <v>694</v>
      </c>
      <c r="F360" s="440">
        <v>22.77</v>
      </c>
      <c r="G360" s="441" t="s">
        <v>701</v>
      </c>
      <c r="H360" s="428">
        <v>1</v>
      </c>
      <c r="I360" s="530">
        <f t="shared" si="11"/>
        <v>22.77</v>
      </c>
      <c r="J360" s="289"/>
      <c r="K360" s="540"/>
      <c r="L360" s="530"/>
      <c r="M360" s="285"/>
    </row>
    <row r="361" spans="1:13" ht="14.25" hidden="1" customHeight="1" x14ac:dyDescent="0.25">
      <c r="A361" s="284"/>
      <c r="B361" s="529" t="s">
        <v>667</v>
      </c>
      <c r="C361" s="523" t="s">
        <v>1259</v>
      </c>
      <c r="D361" s="426" t="s">
        <v>619</v>
      </c>
      <c r="E361" s="426" t="s">
        <v>1214</v>
      </c>
      <c r="F361" s="440">
        <v>9.34</v>
      </c>
      <c r="G361" s="441" t="s">
        <v>701</v>
      </c>
      <c r="H361" s="428">
        <v>1</v>
      </c>
      <c r="I361" s="530">
        <f t="shared" si="11"/>
        <v>9.34</v>
      </c>
      <c r="J361" s="289"/>
      <c r="K361" s="540"/>
      <c r="L361" s="530"/>
      <c r="M361" s="285"/>
    </row>
    <row r="362" spans="1:13" ht="14.25" customHeight="1" x14ac:dyDescent="0.25">
      <c r="A362" s="284"/>
      <c r="B362" s="529" t="s">
        <v>667</v>
      </c>
      <c r="C362" s="523" t="s">
        <v>1259</v>
      </c>
      <c r="D362" s="426" t="s">
        <v>620</v>
      </c>
      <c r="E362" s="426" t="s">
        <v>1214</v>
      </c>
      <c r="F362" s="440">
        <v>4.87</v>
      </c>
      <c r="G362" s="441" t="s">
        <v>701</v>
      </c>
      <c r="H362" s="428">
        <v>1</v>
      </c>
      <c r="I362" s="530">
        <f t="shared" si="11"/>
        <v>4.87</v>
      </c>
      <c r="J362" s="289"/>
      <c r="K362" s="540"/>
      <c r="L362" s="530"/>
      <c r="M362" s="285"/>
    </row>
    <row r="363" spans="1:13" ht="14.25" customHeight="1" x14ac:dyDescent="0.25">
      <c r="A363" s="284"/>
      <c r="B363" s="529" t="s">
        <v>667</v>
      </c>
      <c r="C363" s="523" t="s">
        <v>1259</v>
      </c>
      <c r="D363" s="426" t="s">
        <v>621</v>
      </c>
      <c r="E363" s="426" t="s">
        <v>1214</v>
      </c>
      <c r="F363" s="440">
        <v>3.54</v>
      </c>
      <c r="G363" s="441" t="s">
        <v>701</v>
      </c>
      <c r="H363" s="428">
        <v>1</v>
      </c>
      <c r="I363" s="530">
        <f t="shared" si="11"/>
        <v>3.54</v>
      </c>
      <c r="J363" s="289"/>
      <c r="K363" s="540"/>
      <c r="L363" s="530"/>
      <c r="M363" s="285"/>
    </row>
    <row r="364" spans="1:13" ht="14.25" hidden="1" customHeight="1" x14ac:dyDescent="0.25">
      <c r="A364" s="284"/>
      <c r="B364" s="529" t="s">
        <v>667</v>
      </c>
      <c r="C364" s="523" t="s">
        <v>1259</v>
      </c>
      <c r="D364" s="426" t="s">
        <v>617</v>
      </c>
      <c r="E364" s="426" t="s">
        <v>686</v>
      </c>
      <c r="F364" s="440">
        <v>7.6</v>
      </c>
      <c r="G364" s="441" t="s">
        <v>701</v>
      </c>
      <c r="H364" s="428">
        <v>1</v>
      </c>
      <c r="I364" s="530">
        <f t="shared" si="11"/>
        <v>7.6</v>
      </c>
      <c r="J364" s="289"/>
      <c r="K364" s="540"/>
      <c r="L364" s="530"/>
      <c r="M364" s="285"/>
    </row>
    <row r="365" spans="1:13" ht="14.25" hidden="1" customHeight="1" x14ac:dyDescent="0.25">
      <c r="A365" s="284"/>
      <c r="B365" s="529" t="s">
        <v>667</v>
      </c>
      <c r="C365" s="523" t="s">
        <v>1259</v>
      </c>
      <c r="D365" s="426" t="s">
        <v>622</v>
      </c>
      <c r="E365" s="426" t="s">
        <v>686</v>
      </c>
      <c r="F365" s="440">
        <v>32.78</v>
      </c>
      <c r="G365" s="441" t="s">
        <v>701</v>
      </c>
      <c r="H365" s="428">
        <v>1</v>
      </c>
      <c r="I365" s="530">
        <f t="shared" si="11"/>
        <v>32.78</v>
      </c>
      <c r="J365" s="289"/>
      <c r="K365" s="540"/>
      <c r="L365" s="530"/>
      <c r="M365" s="285"/>
    </row>
    <row r="366" spans="1:13" ht="14.25" customHeight="1" x14ac:dyDescent="0.25">
      <c r="A366" s="284"/>
      <c r="B366" s="529" t="s">
        <v>667</v>
      </c>
      <c r="C366" s="523" t="s">
        <v>1259</v>
      </c>
      <c r="D366" s="426" t="s">
        <v>623</v>
      </c>
      <c r="E366" s="426" t="s">
        <v>1214</v>
      </c>
      <c r="F366" s="440">
        <v>7.64</v>
      </c>
      <c r="G366" s="441" t="s">
        <v>701</v>
      </c>
      <c r="H366" s="428">
        <v>1</v>
      </c>
      <c r="I366" s="530">
        <f t="shared" si="11"/>
        <v>7.64</v>
      </c>
      <c r="J366" s="289"/>
      <c r="K366" s="540"/>
      <c r="L366" s="530"/>
      <c r="M366" s="285"/>
    </row>
    <row r="367" spans="1:13" ht="14.25" hidden="1" customHeight="1" x14ac:dyDescent="0.25">
      <c r="A367" s="284"/>
      <c r="B367" s="529" t="s">
        <v>667</v>
      </c>
      <c r="C367" s="523" t="s">
        <v>1259</v>
      </c>
      <c r="D367" s="426" t="s">
        <v>624</v>
      </c>
      <c r="E367" s="426" t="s">
        <v>686</v>
      </c>
      <c r="F367" s="440">
        <v>18.329999999999998</v>
      </c>
      <c r="G367" s="441" t="s">
        <v>701</v>
      </c>
      <c r="H367" s="428">
        <v>1</v>
      </c>
      <c r="I367" s="530">
        <f t="shared" si="11"/>
        <v>18.329999999999998</v>
      </c>
      <c r="J367" s="289"/>
      <c r="K367" s="540"/>
      <c r="L367" s="530"/>
      <c r="M367" s="285"/>
    </row>
    <row r="368" spans="1:13" ht="14.25" customHeight="1" x14ac:dyDescent="0.25">
      <c r="A368" s="284"/>
      <c r="B368" s="529" t="s">
        <v>667</v>
      </c>
      <c r="C368" s="523" t="s">
        <v>1259</v>
      </c>
      <c r="D368" s="426" t="s">
        <v>625</v>
      </c>
      <c r="E368" s="426" t="s">
        <v>1214</v>
      </c>
      <c r="F368" s="440">
        <v>4.72</v>
      </c>
      <c r="G368" s="441" t="s">
        <v>701</v>
      </c>
      <c r="H368" s="428">
        <v>1</v>
      </c>
      <c r="I368" s="530">
        <f t="shared" si="11"/>
        <v>4.72</v>
      </c>
      <c r="J368" s="289"/>
      <c r="K368" s="540"/>
      <c r="L368" s="530"/>
      <c r="M368" s="285"/>
    </row>
    <row r="369" spans="1:13" ht="14.25" hidden="1" customHeight="1" x14ac:dyDescent="0.25">
      <c r="A369" s="284"/>
      <c r="B369" s="529" t="s">
        <v>667</v>
      </c>
      <c r="C369" s="523" t="s">
        <v>1259</v>
      </c>
      <c r="D369" s="426" t="s">
        <v>626</v>
      </c>
      <c r="E369" s="426" t="s">
        <v>686</v>
      </c>
      <c r="F369" s="440">
        <v>18.329999999999998</v>
      </c>
      <c r="G369" s="441" t="s">
        <v>701</v>
      </c>
      <c r="H369" s="428">
        <v>1</v>
      </c>
      <c r="I369" s="530">
        <f t="shared" si="11"/>
        <v>18.329999999999998</v>
      </c>
      <c r="J369" s="289"/>
      <c r="K369" s="540"/>
      <c r="L369" s="530"/>
      <c r="M369" s="285"/>
    </row>
    <row r="370" spans="1:13" ht="14.25" customHeight="1" x14ac:dyDescent="0.25">
      <c r="A370" s="284"/>
      <c r="B370" s="529" t="s">
        <v>667</v>
      </c>
      <c r="C370" s="523" t="s">
        <v>1259</v>
      </c>
      <c r="D370" s="426" t="s">
        <v>627</v>
      </c>
      <c r="E370" s="426" t="s">
        <v>1214</v>
      </c>
      <c r="F370" s="440">
        <v>4.71</v>
      </c>
      <c r="G370" s="441" t="s">
        <v>701</v>
      </c>
      <c r="H370" s="428">
        <v>1</v>
      </c>
      <c r="I370" s="530">
        <f t="shared" si="11"/>
        <v>4.71</v>
      </c>
      <c r="J370" s="289"/>
      <c r="K370" s="540"/>
      <c r="L370" s="530"/>
      <c r="M370" s="285"/>
    </row>
    <row r="371" spans="1:13" ht="14.25" hidden="1" customHeight="1" x14ac:dyDescent="0.25">
      <c r="A371" s="284"/>
      <c r="B371" s="529" t="s">
        <v>667</v>
      </c>
      <c r="C371" s="523" t="s">
        <v>1259</v>
      </c>
      <c r="D371" s="426" t="s">
        <v>683</v>
      </c>
      <c r="E371" s="426" t="s">
        <v>693</v>
      </c>
      <c r="F371" s="440">
        <v>71.5</v>
      </c>
      <c r="G371" s="441"/>
      <c r="H371" s="428">
        <v>1</v>
      </c>
      <c r="I371" s="530">
        <f t="shared" si="11"/>
        <v>71.5</v>
      </c>
      <c r="J371" s="289"/>
      <c r="K371" s="540"/>
      <c r="L371" s="530"/>
      <c r="M371" s="285"/>
    </row>
    <row r="372" spans="1:13" ht="14.25" hidden="1" customHeight="1" x14ac:dyDescent="0.25">
      <c r="A372" s="284"/>
      <c r="B372" s="529" t="s">
        <v>667</v>
      </c>
      <c r="C372" s="523" t="s">
        <v>1259</v>
      </c>
      <c r="D372" s="426" t="s">
        <v>684</v>
      </c>
      <c r="E372" s="426" t="s">
        <v>694</v>
      </c>
      <c r="F372" s="440">
        <v>29.88</v>
      </c>
      <c r="G372" s="441" t="s">
        <v>701</v>
      </c>
      <c r="H372" s="428">
        <v>1</v>
      </c>
      <c r="I372" s="530">
        <f t="shared" si="11"/>
        <v>29.88</v>
      </c>
      <c r="J372" s="289"/>
      <c r="K372" s="540"/>
      <c r="L372" s="530"/>
      <c r="M372" s="285"/>
    </row>
    <row r="373" spans="1:13" ht="14.25" hidden="1" customHeight="1" x14ac:dyDescent="0.25">
      <c r="A373" s="284"/>
      <c r="B373" s="529" t="s">
        <v>667</v>
      </c>
      <c r="C373" s="523" t="s">
        <v>1259</v>
      </c>
      <c r="D373" s="426" t="s">
        <v>685</v>
      </c>
      <c r="E373" s="426"/>
      <c r="F373" s="440">
        <v>70.05</v>
      </c>
      <c r="G373" s="441"/>
      <c r="H373" s="428">
        <v>1</v>
      </c>
      <c r="I373" s="530">
        <f t="shared" si="11"/>
        <v>70.05</v>
      </c>
      <c r="J373" s="289"/>
      <c r="K373" s="540"/>
      <c r="L373" s="530"/>
      <c r="M373" s="285"/>
    </row>
    <row r="374" spans="1:13" ht="14.25" hidden="1" customHeight="1" x14ac:dyDescent="0.25">
      <c r="A374" s="284"/>
      <c r="B374" s="529" t="s">
        <v>653</v>
      </c>
      <c r="C374" s="523" t="s">
        <v>635</v>
      </c>
      <c r="D374" s="426" t="s">
        <v>637</v>
      </c>
      <c r="E374" s="426" t="s">
        <v>197</v>
      </c>
      <c r="F374" s="440">
        <f>15.93+1.5*0.18*20</f>
        <v>21.33</v>
      </c>
      <c r="G374" s="441" t="s">
        <v>701</v>
      </c>
      <c r="H374" s="428">
        <v>1</v>
      </c>
      <c r="I374" s="530">
        <f t="shared" si="11"/>
        <v>21.33</v>
      </c>
      <c r="J374" s="289"/>
      <c r="K374" s="540"/>
      <c r="L374" s="530"/>
      <c r="M374" s="285"/>
    </row>
    <row r="375" spans="1:13" ht="14.25" hidden="1" customHeight="1" x14ac:dyDescent="0.25">
      <c r="A375" s="284"/>
      <c r="B375" s="529" t="s">
        <v>653</v>
      </c>
      <c r="C375" s="523" t="s">
        <v>635</v>
      </c>
      <c r="D375" s="426" t="s">
        <v>654</v>
      </c>
      <c r="E375" s="426" t="s">
        <v>188</v>
      </c>
      <c r="F375" s="440">
        <v>48.92</v>
      </c>
      <c r="G375" s="441" t="s">
        <v>701</v>
      </c>
      <c r="H375" s="428">
        <v>1</v>
      </c>
      <c r="I375" s="530">
        <f t="shared" si="11"/>
        <v>48.92</v>
      </c>
      <c r="J375" s="289"/>
      <c r="K375" s="540"/>
      <c r="L375" s="530"/>
      <c r="M375" s="285"/>
    </row>
    <row r="376" spans="1:13" ht="14.25" hidden="1" customHeight="1" x14ac:dyDescent="0.25">
      <c r="A376" s="284"/>
      <c r="B376" s="529" t="s">
        <v>653</v>
      </c>
      <c r="C376" s="523" t="s">
        <v>635</v>
      </c>
      <c r="D376" s="426" t="s">
        <v>650</v>
      </c>
      <c r="E376" s="426" t="s">
        <v>188</v>
      </c>
      <c r="F376" s="440">
        <v>9.42</v>
      </c>
      <c r="G376" s="441" t="s">
        <v>701</v>
      </c>
      <c r="H376" s="428">
        <v>1</v>
      </c>
      <c r="I376" s="530">
        <f>F376*H376</f>
        <v>9.42</v>
      </c>
      <c r="J376" s="289"/>
      <c r="K376" s="540"/>
      <c r="L376" s="530"/>
      <c r="M376" s="285"/>
    </row>
    <row r="377" spans="1:13" ht="14.25" hidden="1" customHeight="1" x14ac:dyDescent="0.25">
      <c r="A377" s="284"/>
      <c r="B377" s="529" t="s">
        <v>653</v>
      </c>
      <c r="C377" s="523" t="s">
        <v>635</v>
      </c>
      <c r="D377" s="426" t="s">
        <v>642</v>
      </c>
      <c r="E377" s="426" t="s">
        <v>1214</v>
      </c>
      <c r="F377" s="440">
        <v>120.72</v>
      </c>
      <c r="G377" s="441" t="s">
        <v>701</v>
      </c>
      <c r="H377" s="428">
        <v>1</v>
      </c>
      <c r="I377" s="530">
        <f t="shared" si="11"/>
        <v>120.72</v>
      </c>
      <c r="J377" s="289"/>
      <c r="K377" s="540"/>
      <c r="L377" s="530"/>
      <c r="M377" s="285"/>
    </row>
    <row r="378" spans="1:13" ht="14.25" hidden="1" customHeight="1" x14ac:dyDescent="0.25">
      <c r="A378" s="284"/>
      <c r="B378" s="529" t="s">
        <v>653</v>
      </c>
      <c r="C378" s="523" t="s">
        <v>1260</v>
      </c>
      <c r="D378" s="426" t="s">
        <v>614</v>
      </c>
      <c r="E378" s="426" t="s">
        <v>1214</v>
      </c>
      <c r="F378" s="440">
        <v>26.48</v>
      </c>
      <c r="G378" s="441" t="s">
        <v>701</v>
      </c>
      <c r="H378" s="428">
        <v>1</v>
      </c>
      <c r="I378" s="530">
        <f t="shared" si="11"/>
        <v>26.48</v>
      </c>
      <c r="J378" s="289"/>
      <c r="K378" s="540"/>
      <c r="L378" s="530"/>
      <c r="M378" s="285"/>
    </row>
    <row r="379" spans="1:13" ht="14.25" hidden="1" customHeight="1" x14ac:dyDescent="0.25">
      <c r="A379" s="284"/>
      <c r="B379" s="529" t="s">
        <v>653</v>
      </c>
      <c r="C379" s="523" t="s">
        <v>1260</v>
      </c>
      <c r="D379" s="426" t="s">
        <v>615</v>
      </c>
      <c r="E379" s="426" t="s">
        <v>1214</v>
      </c>
      <c r="F379" s="440">
        <v>42.01</v>
      </c>
      <c r="G379" s="441" t="s">
        <v>701</v>
      </c>
      <c r="H379" s="428">
        <v>1</v>
      </c>
      <c r="I379" s="530">
        <f t="shared" si="11"/>
        <v>42.01</v>
      </c>
      <c r="J379" s="289"/>
      <c r="K379" s="540"/>
      <c r="L379" s="530"/>
      <c r="M379" s="285"/>
    </row>
    <row r="380" spans="1:13" ht="14.25" hidden="1" customHeight="1" x14ac:dyDescent="0.25">
      <c r="A380" s="284"/>
      <c r="B380" s="529" t="s">
        <v>653</v>
      </c>
      <c r="C380" s="523" t="s">
        <v>1260</v>
      </c>
      <c r="D380" s="426" t="s">
        <v>616</v>
      </c>
      <c r="E380" s="426" t="s">
        <v>1214</v>
      </c>
      <c r="F380" s="440">
        <v>3.69</v>
      </c>
      <c r="G380" s="441" t="s">
        <v>701</v>
      </c>
      <c r="H380" s="428">
        <v>1</v>
      </c>
      <c r="I380" s="530">
        <f t="shared" si="11"/>
        <v>3.69</v>
      </c>
      <c r="J380" s="289"/>
      <c r="K380" s="540"/>
      <c r="L380" s="530"/>
      <c r="M380" s="285"/>
    </row>
    <row r="381" spans="1:13" ht="14.25" hidden="1" customHeight="1" x14ac:dyDescent="0.25">
      <c r="A381" s="284"/>
      <c r="B381" s="529" t="s">
        <v>653</v>
      </c>
      <c r="C381" s="523" t="s">
        <v>1260</v>
      </c>
      <c r="D381" s="426" t="s">
        <v>618</v>
      </c>
      <c r="E381" s="426" t="s">
        <v>693</v>
      </c>
      <c r="F381" s="440">
        <v>29.59</v>
      </c>
      <c r="G381" s="441"/>
      <c r="H381" s="428">
        <v>1</v>
      </c>
      <c r="I381" s="530">
        <f t="shared" si="11"/>
        <v>29.59</v>
      </c>
      <c r="J381" s="289"/>
      <c r="K381" s="540"/>
      <c r="L381" s="530"/>
      <c r="M381" s="285"/>
    </row>
    <row r="382" spans="1:13" ht="14.25" hidden="1" customHeight="1" x14ac:dyDescent="0.25">
      <c r="A382" s="284"/>
      <c r="B382" s="529" t="s">
        <v>653</v>
      </c>
      <c r="C382" s="523" t="s">
        <v>1260</v>
      </c>
      <c r="D382" s="426" t="s">
        <v>689</v>
      </c>
      <c r="E382" s="426" t="s">
        <v>694</v>
      </c>
      <c r="F382" s="440">
        <v>21.51</v>
      </c>
      <c r="G382" s="441" t="s">
        <v>701</v>
      </c>
      <c r="H382" s="428">
        <v>1</v>
      </c>
      <c r="I382" s="530">
        <f t="shared" si="11"/>
        <v>21.51</v>
      </c>
      <c r="J382" s="289"/>
      <c r="K382" s="540"/>
      <c r="L382" s="530"/>
      <c r="M382" s="285"/>
    </row>
    <row r="383" spans="1:13" ht="14.25" hidden="1" customHeight="1" x14ac:dyDescent="0.25">
      <c r="A383" s="284"/>
      <c r="B383" s="529" t="s">
        <v>653</v>
      </c>
      <c r="C383" s="523" t="s">
        <v>1260</v>
      </c>
      <c r="D383" s="426" t="s">
        <v>619</v>
      </c>
      <c r="E383" s="426" t="s">
        <v>1214</v>
      </c>
      <c r="F383" s="440">
        <v>15.97</v>
      </c>
      <c r="G383" s="441" t="s">
        <v>701</v>
      </c>
      <c r="H383" s="428">
        <v>1</v>
      </c>
      <c r="I383" s="530">
        <f t="shared" si="11"/>
        <v>15.97</v>
      </c>
      <c r="J383" s="289"/>
      <c r="K383" s="540"/>
      <c r="L383" s="530"/>
      <c r="M383" s="285"/>
    </row>
    <row r="384" spans="1:13" ht="14.25" customHeight="1" x14ac:dyDescent="0.25">
      <c r="A384" s="284"/>
      <c r="B384" s="529" t="s">
        <v>653</v>
      </c>
      <c r="C384" s="523" t="s">
        <v>1260</v>
      </c>
      <c r="D384" s="426" t="s">
        <v>620</v>
      </c>
      <c r="E384" s="426" t="s">
        <v>1214</v>
      </c>
      <c r="F384" s="440">
        <v>9.49</v>
      </c>
      <c r="G384" s="441" t="s">
        <v>701</v>
      </c>
      <c r="H384" s="428">
        <v>1</v>
      </c>
      <c r="I384" s="530">
        <f t="shared" si="11"/>
        <v>9.49</v>
      </c>
      <c r="J384" s="289"/>
      <c r="K384" s="540"/>
      <c r="L384" s="530"/>
      <c r="M384" s="285"/>
    </row>
    <row r="385" spans="1:13" ht="14.25" hidden="1" customHeight="1" x14ac:dyDescent="0.25">
      <c r="A385" s="284"/>
      <c r="B385" s="529" t="s">
        <v>653</v>
      </c>
      <c r="C385" s="523" t="s">
        <v>1260</v>
      </c>
      <c r="D385" s="426" t="s">
        <v>640</v>
      </c>
      <c r="E385" s="426" t="s">
        <v>1214</v>
      </c>
      <c r="F385" s="440">
        <v>6.96</v>
      </c>
      <c r="G385" s="441" t="s">
        <v>701</v>
      </c>
      <c r="H385" s="428">
        <v>1</v>
      </c>
      <c r="I385" s="530">
        <f t="shared" si="11"/>
        <v>6.96</v>
      </c>
      <c r="J385" s="289"/>
      <c r="K385" s="540"/>
      <c r="L385" s="530"/>
      <c r="M385" s="285"/>
    </row>
    <row r="386" spans="1:13" ht="14.25" customHeight="1" x14ac:dyDescent="0.25">
      <c r="A386" s="284"/>
      <c r="B386" s="529" t="s">
        <v>653</v>
      </c>
      <c r="C386" s="523" t="s">
        <v>1260</v>
      </c>
      <c r="D386" s="426" t="s">
        <v>621</v>
      </c>
      <c r="E386" s="426" t="s">
        <v>1214</v>
      </c>
      <c r="F386" s="440">
        <v>4.09</v>
      </c>
      <c r="G386" s="441" t="s">
        <v>701</v>
      </c>
      <c r="H386" s="428">
        <v>1</v>
      </c>
      <c r="I386" s="530">
        <f t="shared" si="11"/>
        <v>4.09</v>
      </c>
      <c r="J386" s="289"/>
      <c r="K386" s="540"/>
      <c r="L386" s="530"/>
      <c r="M386" s="285"/>
    </row>
    <row r="387" spans="1:13" ht="14.25" hidden="1" customHeight="1" x14ac:dyDescent="0.25">
      <c r="A387" s="284"/>
      <c r="B387" s="529" t="s">
        <v>653</v>
      </c>
      <c r="C387" s="523" t="s">
        <v>1260</v>
      </c>
      <c r="D387" s="426" t="s">
        <v>617</v>
      </c>
      <c r="E387" s="426" t="s">
        <v>686</v>
      </c>
      <c r="F387" s="440">
        <v>14.71</v>
      </c>
      <c r="G387" s="441" t="s">
        <v>701</v>
      </c>
      <c r="H387" s="428">
        <v>1</v>
      </c>
      <c r="I387" s="530">
        <f t="shared" si="11"/>
        <v>14.71</v>
      </c>
      <c r="J387" s="289"/>
      <c r="K387" s="540"/>
      <c r="L387" s="530"/>
      <c r="M387" s="285"/>
    </row>
    <row r="388" spans="1:13" ht="14.25" hidden="1" customHeight="1" x14ac:dyDescent="0.25">
      <c r="A388" s="284"/>
      <c r="B388" s="529" t="s">
        <v>653</v>
      </c>
      <c r="C388" s="523" t="s">
        <v>1260</v>
      </c>
      <c r="D388" s="426" t="s">
        <v>622</v>
      </c>
      <c r="E388" s="426" t="s">
        <v>686</v>
      </c>
      <c r="F388" s="440">
        <v>28.46</v>
      </c>
      <c r="G388" s="441" t="s">
        <v>701</v>
      </c>
      <c r="H388" s="428">
        <v>1</v>
      </c>
      <c r="I388" s="530">
        <f t="shared" si="11"/>
        <v>28.46</v>
      </c>
      <c r="J388" s="289"/>
      <c r="K388" s="540"/>
      <c r="L388" s="530"/>
      <c r="M388" s="285"/>
    </row>
    <row r="389" spans="1:13" ht="14.25" customHeight="1" x14ac:dyDescent="0.25">
      <c r="A389" s="284"/>
      <c r="B389" s="529" t="s">
        <v>653</v>
      </c>
      <c r="C389" s="523" t="s">
        <v>1260</v>
      </c>
      <c r="D389" s="426" t="s">
        <v>623</v>
      </c>
      <c r="E389" s="426" t="s">
        <v>1214</v>
      </c>
      <c r="F389" s="440">
        <v>6.9</v>
      </c>
      <c r="G389" s="441" t="s">
        <v>701</v>
      </c>
      <c r="H389" s="428">
        <v>1</v>
      </c>
      <c r="I389" s="530">
        <f t="shared" si="11"/>
        <v>6.9</v>
      </c>
      <c r="J389" s="289"/>
      <c r="K389" s="540"/>
      <c r="L389" s="530"/>
      <c r="M389" s="285"/>
    </row>
    <row r="390" spans="1:13" ht="14.25" hidden="1" customHeight="1" x14ac:dyDescent="0.25">
      <c r="A390" s="284"/>
      <c r="B390" s="529" t="s">
        <v>653</v>
      </c>
      <c r="C390" s="523" t="s">
        <v>1260</v>
      </c>
      <c r="D390" s="426" t="s">
        <v>630</v>
      </c>
      <c r="E390" s="426" t="s">
        <v>686</v>
      </c>
      <c r="F390" s="440">
        <v>18.87</v>
      </c>
      <c r="G390" s="441" t="s">
        <v>701</v>
      </c>
      <c r="H390" s="428">
        <v>1</v>
      </c>
      <c r="I390" s="530">
        <f t="shared" si="11"/>
        <v>18.87</v>
      </c>
      <c r="J390" s="289"/>
      <c r="K390" s="540"/>
      <c r="L390" s="530"/>
      <c r="M390" s="285"/>
    </row>
    <row r="391" spans="1:13" ht="14.25" customHeight="1" x14ac:dyDescent="0.25">
      <c r="A391" s="284"/>
      <c r="B391" s="529" t="s">
        <v>653</v>
      </c>
      <c r="C391" s="523" t="s">
        <v>1260</v>
      </c>
      <c r="D391" s="426" t="s">
        <v>631</v>
      </c>
      <c r="E391" s="426" t="s">
        <v>1214</v>
      </c>
      <c r="F391" s="440">
        <v>4.8499999999999996</v>
      </c>
      <c r="G391" s="441" t="s">
        <v>701</v>
      </c>
      <c r="H391" s="428">
        <v>1</v>
      </c>
      <c r="I391" s="530">
        <f t="shared" si="11"/>
        <v>4.8499999999999996</v>
      </c>
      <c r="J391" s="289"/>
      <c r="K391" s="540"/>
      <c r="L391" s="530"/>
      <c r="M391" s="285"/>
    </row>
    <row r="392" spans="1:13" ht="14.25" hidden="1" customHeight="1" x14ac:dyDescent="0.25">
      <c r="A392" s="284"/>
      <c r="B392" s="529" t="s">
        <v>653</v>
      </c>
      <c r="C392" s="523" t="s">
        <v>1260</v>
      </c>
      <c r="D392" s="426" t="s">
        <v>624</v>
      </c>
      <c r="E392" s="426" t="s">
        <v>686</v>
      </c>
      <c r="F392" s="440">
        <v>18.850000000000001</v>
      </c>
      <c r="G392" s="441" t="s">
        <v>701</v>
      </c>
      <c r="H392" s="428">
        <v>1</v>
      </c>
      <c r="I392" s="530">
        <f t="shared" si="11"/>
        <v>18.850000000000001</v>
      </c>
      <c r="J392" s="289"/>
      <c r="K392" s="540"/>
      <c r="L392" s="530"/>
      <c r="M392" s="285"/>
    </row>
    <row r="393" spans="1:13" ht="14.25" customHeight="1" x14ac:dyDescent="0.25">
      <c r="A393" s="284"/>
      <c r="B393" s="529" t="s">
        <v>653</v>
      </c>
      <c r="C393" s="523" t="s">
        <v>1260</v>
      </c>
      <c r="D393" s="426" t="s">
        <v>625</v>
      </c>
      <c r="E393" s="426" t="s">
        <v>1214</v>
      </c>
      <c r="F393" s="440">
        <v>4.8499999999999996</v>
      </c>
      <c r="G393" s="441" t="s">
        <v>701</v>
      </c>
      <c r="H393" s="428">
        <v>1</v>
      </c>
      <c r="I393" s="530">
        <f t="shared" si="11"/>
        <v>4.8499999999999996</v>
      </c>
      <c r="J393" s="289"/>
      <c r="K393" s="540"/>
      <c r="L393" s="530"/>
      <c r="M393" s="285"/>
    </row>
    <row r="394" spans="1:13" ht="14.25" hidden="1" customHeight="1" x14ac:dyDescent="0.25">
      <c r="A394" s="284"/>
      <c r="B394" s="529" t="s">
        <v>653</v>
      </c>
      <c r="C394" s="523" t="s">
        <v>1260</v>
      </c>
      <c r="D394" s="426" t="s">
        <v>626</v>
      </c>
      <c r="E394" s="426" t="s">
        <v>686</v>
      </c>
      <c r="F394" s="440">
        <v>18.850000000000001</v>
      </c>
      <c r="G394" s="441" t="s">
        <v>701</v>
      </c>
      <c r="H394" s="428">
        <v>1</v>
      </c>
      <c r="I394" s="530">
        <f t="shared" si="11"/>
        <v>18.850000000000001</v>
      </c>
      <c r="J394" s="289"/>
      <c r="K394" s="540"/>
      <c r="L394" s="530"/>
      <c r="M394" s="285"/>
    </row>
    <row r="395" spans="1:13" ht="14.25" customHeight="1" x14ac:dyDescent="0.25">
      <c r="A395" s="284"/>
      <c r="B395" s="529" t="s">
        <v>653</v>
      </c>
      <c r="C395" s="523" t="s">
        <v>1260</v>
      </c>
      <c r="D395" s="426" t="s">
        <v>627</v>
      </c>
      <c r="E395" s="426" t="s">
        <v>1214</v>
      </c>
      <c r="F395" s="440">
        <v>4.8499999999999996</v>
      </c>
      <c r="G395" s="441" t="s">
        <v>701</v>
      </c>
      <c r="H395" s="428">
        <v>1</v>
      </c>
      <c r="I395" s="530">
        <f t="shared" si="11"/>
        <v>4.8499999999999996</v>
      </c>
      <c r="J395" s="289"/>
      <c r="K395" s="540"/>
      <c r="L395" s="530"/>
      <c r="M395" s="285"/>
    </row>
    <row r="396" spans="1:13" ht="14.25" hidden="1" customHeight="1" x14ac:dyDescent="0.25">
      <c r="A396" s="284"/>
      <c r="B396" s="529" t="s">
        <v>653</v>
      </c>
      <c r="C396" s="523" t="s">
        <v>1261</v>
      </c>
      <c r="D396" s="426" t="s">
        <v>614</v>
      </c>
      <c r="E396" s="426" t="s">
        <v>1214</v>
      </c>
      <c r="F396" s="440">
        <v>24.98</v>
      </c>
      <c r="G396" s="441" t="s">
        <v>701</v>
      </c>
      <c r="H396" s="428">
        <v>1</v>
      </c>
      <c r="I396" s="530">
        <f t="shared" si="11"/>
        <v>24.98</v>
      </c>
      <c r="J396" s="289"/>
      <c r="K396" s="540"/>
      <c r="L396" s="530"/>
      <c r="M396" s="285"/>
    </row>
    <row r="397" spans="1:13" ht="14.25" hidden="1" customHeight="1" x14ac:dyDescent="0.25">
      <c r="A397" s="284"/>
      <c r="B397" s="529" t="s">
        <v>653</v>
      </c>
      <c r="C397" s="523" t="s">
        <v>1261</v>
      </c>
      <c r="D397" s="426" t="s">
        <v>615</v>
      </c>
      <c r="E397" s="426" t="s">
        <v>1214</v>
      </c>
      <c r="F397" s="440">
        <v>29.61</v>
      </c>
      <c r="G397" s="441" t="s">
        <v>701</v>
      </c>
      <c r="H397" s="428">
        <v>1</v>
      </c>
      <c r="I397" s="530">
        <f t="shared" si="11"/>
        <v>29.61</v>
      </c>
      <c r="J397" s="289"/>
      <c r="K397" s="540"/>
      <c r="L397" s="530"/>
      <c r="M397" s="285"/>
    </row>
    <row r="398" spans="1:13" ht="14.25" hidden="1" customHeight="1" x14ac:dyDescent="0.25">
      <c r="A398" s="284"/>
      <c r="B398" s="529" t="s">
        <v>653</v>
      </c>
      <c r="C398" s="523" t="s">
        <v>1261</v>
      </c>
      <c r="D398" s="426" t="s">
        <v>616</v>
      </c>
      <c r="E398" s="426" t="s">
        <v>1214</v>
      </c>
      <c r="F398" s="440">
        <v>3.6</v>
      </c>
      <c r="G398" s="441" t="s">
        <v>701</v>
      </c>
      <c r="H398" s="428">
        <v>1</v>
      </c>
      <c r="I398" s="530">
        <f t="shared" si="11"/>
        <v>3.6</v>
      </c>
      <c r="J398" s="289"/>
      <c r="K398" s="540"/>
      <c r="L398" s="530"/>
      <c r="M398" s="285"/>
    </row>
    <row r="399" spans="1:13" ht="14.25" hidden="1" customHeight="1" x14ac:dyDescent="0.25">
      <c r="A399" s="284"/>
      <c r="B399" s="529" t="s">
        <v>653</v>
      </c>
      <c r="C399" s="523" t="s">
        <v>1261</v>
      </c>
      <c r="D399" s="426" t="s">
        <v>618</v>
      </c>
      <c r="E399" s="426" t="s">
        <v>693</v>
      </c>
      <c r="F399" s="440">
        <v>30.57</v>
      </c>
      <c r="G399" s="441"/>
      <c r="H399" s="428">
        <v>1</v>
      </c>
      <c r="I399" s="530">
        <f t="shared" si="11"/>
        <v>30.57</v>
      </c>
      <c r="J399" s="289"/>
      <c r="K399" s="540"/>
      <c r="L399" s="530"/>
      <c r="M399" s="285"/>
    </row>
    <row r="400" spans="1:13" ht="14.25" hidden="1" customHeight="1" x14ac:dyDescent="0.25">
      <c r="A400" s="284"/>
      <c r="B400" s="529" t="s">
        <v>653</v>
      </c>
      <c r="C400" s="523" t="s">
        <v>1261</v>
      </c>
      <c r="D400" s="426" t="s">
        <v>689</v>
      </c>
      <c r="E400" s="426" t="s">
        <v>694</v>
      </c>
      <c r="F400" s="440">
        <v>22.85</v>
      </c>
      <c r="G400" s="441" t="s">
        <v>701</v>
      </c>
      <c r="H400" s="428">
        <v>1</v>
      </c>
      <c r="I400" s="530">
        <f t="shared" si="11"/>
        <v>22.85</v>
      </c>
      <c r="J400" s="289"/>
      <c r="K400" s="540"/>
      <c r="L400" s="530"/>
      <c r="M400" s="285"/>
    </row>
    <row r="401" spans="1:13" ht="14.25" hidden="1" customHeight="1" x14ac:dyDescent="0.25">
      <c r="A401" s="284"/>
      <c r="B401" s="529" t="s">
        <v>653</v>
      </c>
      <c r="C401" s="523" t="s">
        <v>1261</v>
      </c>
      <c r="D401" s="426" t="s">
        <v>619</v>
      </c>
      <c r="E401" s="426" t="s">
        <v>1214</v>
      </c>
      <c r="F401" s="440">
        <v>13.32</v>
      </c>
      <c r="G401" s="441" t="s">
        <v>701</v>
      </c>
      <c r="H401" s="428">
        <v>1</v>
      </c>
      <c r="I401" s="530">
        <f t="shared" si="11"/>
        <v>13.32</v>
      </c>
      <c r="J401" s="289"/>
      <c r="K401" s="540"/>
      <c r="L401" s="530"/>
      <c r="M401" s="285"/>
    </row>
    <row r="402" spans="1:13" ht="14.25" customHeight="1" x14ac:dyDescent="0.25">
      <c r="A402" s="284"/>
      <c r="B402" s="529" t="s">
        <v>653</v>
      </c>
      <c r="C402" s="523" t="s">
        <v>1261</v>
      </c>
      <c r="D402" s="426" t="s">
        <v>620</v>
      </c>
      <c r="E402" s="426" t="s">
        <v>1214</v>
      </c>
      <c r="F402" s="440">
        <v>6.91</v>
      </c>
      <c r="G402" s="441" t="s">
        <v>701</v>
      </c>
      <c r="H402" s="428">
        <v>1</v>
      </c>
      <c r="I402" s="530">
        <f t="shared" si="11"/>
        <v>6.91</v>
      </c>
      <c r="J402" s="289"/>
      <c r="K402" s="540"/>
      <c r="L402" s="530"/>
      <c r="M402" s="285"/>
    </row>
    <row r="403" spans="1:13" ht="14.25" customHeight="1" x14ac:dyDescent="0.25">
      <c r="A403" s="284"/>
      <c r="B403" s="529" t="s">
        <v>653</v>
      </c>
      <c r="C403" s="523" t="s">
        <v>1261</v>
      </c>
      <c r="D403" s="426" t="s">
        <v>621</v>
      </c>
      <c r="E403" s="426" t="s">
        <v>1214</v>
      </c>
      <c r="F403" s="440">
        <v>3.88</v>
      </c>
      <c r="G403" s="441" t="s">
        <v>701</v>
      </c>
      <c r="H403" s="428">
        <v>1</v>
      </c>
      <c r="I403" s="530">
        <f t="shared" si="11"/>
        <v>3.88</v>
      </c>
      <c r="J403" s="289"/>
      <c r="K403" s="540"/>
      <c r="L403" s="530"/>
      <c r="M403" s="285"/>
    </row>
    <row r="404" spans="1:13" ht="14.25" hidden="1" customHeight="1" x14ac:dyDescent="0.25">
      <c r="A404" s="284"/>
      <c r="B404" s="529" t="s">
        <v>653</v>
      </c>
      <c r="C404" s="523" t="s">
        <v>1261</v>
      </c>
      <c r="D404" s="426" t="s">
        <v>617</v>
      </c>
      <c r="E404" s="426" t="s">
        <v>686</v>
      </c>
      <c r="F404" s="440">
        <v>10.32</v>
      </c>
      <c r="G404" s="441" t="s">
        <v>701</v>
      </c>
      <c r="H404" s="428">
        <v>1</v>
      </c>
      <c r="I404" s="530">
        <f t="shared" si="11"/>
        <v>10.32</v>
      </c>
      <c r="J404" s="289"/>
      <c r="K404" s="540"/>
      <c r="L404" s="530"/>
      <c r="M404" s="285"/>
    </row>
    <row r="405" spans="1:13" ht="14.25" hidden="1" customHeight="1" x14ac:dyDescent="0.25">
      <c r="A405" s="284"/>
      <c r="B405" s="529" t="s">
        <v>653</v>
      </c>
      <c r="C405" s="523" t="s">
        <v>1261</v>
      </c>
      <c r="D405" s="426" t="s">
        <v>622</v>
      </c>
      <c r="E405" s="426" t="s">
        <v>686</v>
      </c>
      <c r="F405" s="440">
        <v>27.52</v>
      </c>
      <c r="G405" s="441" t="s">
        <v>701</v>
      </c>
      <c r="H405" s="428">
        <v>1</v>
      </c>
      <c r="I405" s="530">
        <f t="shared" si="11"/>
        <v>27.52</v>
      </c>
      <c r="J405" s="289"/>
      <c r="K405" s="540"/>
      <c r="L405" s="530"/>
      <c r="M405" s="285"/>
    </row>
    <row r="406" spans="1:13" ht="14.25" customHeight="1" x14ac:dyDescent="0.25">
      <c r="A406" s="284"/>
      <c r="B406" s="529" t="s">
        <v>653</v>
      </c>
      <c r="C406" s="523" t="s">
        <v>1261</v>
      </c>
      <c r="D406" s="426" t="s">
        <v>623</v>
      </c>
      <c r="E406" s="426" t="s">
        <v>1214</v>
      </c>
      <c r="F406" s="440">
        <v>7.74</v>
      </c>
      <c r="G406" s="441" t="s">
        <v>701</v>
      </c>
      <c r="H406" s="428">
        <v>1</v>
      </c>
      <c r="I406" s="530">
        <f t="shared" si="11"/>
        <v>7.74</v>
      </c>
      <c r="J406" s="289"/>
      <c r="K406" s="540"/>
      <c r="L406" s="530"/>
      <c r="M406" s="285"/>
    </row>
    <row r="407" spans="1:13" ht="14.25" hidden="1" customHeight="1" x14ac:dyDescent="0.25">
      <c r="A407" s="284"/>
      <c r="B407" s="529" t="s">
        <v>653</v>
      </c>
      <c r="C407" s="523" t="s">
        <v>1261</v>
      </c>
      <c r="D407" s="426" t="s">
        <v>624</v>
      </c>
      <c r="E407" s="426" t="s">
        <v>686</v>
      </c>
      <c r="F407" s="440">
        <v>18.84</v>
      </c>
      <c r="G407" s="441" t="s">
        <v>701</v>
      </c>
      <c r="H407" s="428">
        <v>1</v>
      </c>
      <c r="I407" s="530">
        <f t="shared" si="11"/>
        <v>18.84</v>
      </c>
      <c r="J407" s="289"/>
      <c r="K407" s="540"/>
      <c r="L407" s="530"/>
      <c r="M407" s="285"/>
    </row>
    <row r="408" spans="1:13" ht="14.25" customHeight="1" x14ac:dyDescent="0.25">
      <c r="A408" s="284"/>
      <c r="B408" s="529" t="s">
        <v>653</v>
      </c>
      <c r="C408" s="523" t="s">
        <v>1261</v>
      </c>
      <c r="D408" s="426" t="s">
        <v>625</v>
      </c>
      <c r="E408" s="426" t="s">
        <v>1214</v>
      </c>
      <c r="F408" s="440">
        <v>4.8499999999999996</v>
      </c>
      <c r="G408" s="441" t="s">
        <v>701</v>
      </c>
      <c r="H408" s="428">
        <v>1</v>
      </c>
      <c r="I408" s="530">
        <f t="shared" ref="I408:I462" si="12">F408*H408</f>
        <v>4.8499999999999996</v>
      </c>
      <c r="J408" s="289"/>
      <c r="K408" s="540"/>
      <c r="L408" s="530"/>
      <c r="M408" s="285"/>
    </row>
    <row r="409" spans="1:13" ht="14.25" hidden="1" customHeight="1" x14ac:dyDescent="0.25">
      <c r="A409" s="284"/>
      <c r="B409" s="529" t="s">
        <v>653</v>
      </c>
      <c r="C409" s="523" t="s">
        <v>1261</v>
      </c>
      <c r="D409" s="426" t="s">
        <v>626</v>
      </c>
      <c r="E409" s="426" t="s">
        <v>686</v>
      </c>
      <c r="F409" s="440">
        <v>18.84</v>
      </c>
      <c r="G409" s="441" t="s">
        <v>701</v>
      </c>
      <c r="H409" s="428">
        <v>1</v>
      </c>
      <c r="I409" s="530">
        <f t="shared" si="12"/>
        <v>18.84</v>
      </c>
      <c r="J409" s="289"/>
      <c r="K409" s="540"/>
      <c r="L409" s="530"/>
      <c r="M409" s="285"/>
    </row>
    <row r="410" spans="1:13" ht="14.25" customHeight="1" x14ac:dyDescent="0.25">
      <c r="A410" s="284"/>
      <c r="B410" s="529" t="s">
        <v>653</v>
      </c>
      <c r="C410" s="523" t="s">
        <v>1261</v>
      </c>
      <c r="D410" s="426" t="s">
        <v>627</v>
      </c>
      <c r="E410" s="426" t="s">
        <v>1214</v>
      </c>
      <c r="F410" s="440">
        <v>4.8499999999999996</v>
      </c>
      <c r="G410" s="441" t="s">
        <v>701</v>
      </c>
      <c r="H410" s="428">
        <v>1</v>
      </c>
      <c r="I410" s="530">
        <f t="shared" si="12"/>
        <v>4.8499999999999996</v>
      </c>
      <c r="J410" s="289"/>
      <c r="K410" s="540"/>
      <c r="L410" s="530"/>
      <c r="M410" s="285"/>
    </row>
    <row r="411" spans="1:13" ht="14.25" hidden="1" customHeight="1" x14ac:dyDescent="0.25">
      <c r="A411" s="284"/>
      <c r="B411" s="529" t="s">
        <v>667</v>
      </c>
      <c r="C411" s="523" t="s">
        <v>1262</v>
      </c>
      <c r="D411" s="426" t="s">
        <v>614</v>
      </c>
      <c r="E411" s="426" t="s">
        <v>1214</v>
      </c>
      <c r="F411" s="440">
        <v>21.42</v>
      </c>
      <c r="G411" s="441" t="s">
        <v>701</v>
      </c>
      <c r="H411" s="428">
        <v>1</v>
      </c>
      <c r="I411" s="530">
        <f t="shared" si="12"/>
        <v>21.42</v>
      </c>
      <c r="J411" s="289"/>
      <c r="K411" s="540"/>
      <c r="L411" s="530"/>
      <c r="M411" s="285"/>
    </row>
    <row r="412" spans="1:13" ht="14.25" hidden="1" customHeight="1" x14ac:dyDescent="0.25">
      <c r="A412" s="284"/>
      <c r="B412" s="529" t="s">
        <v>667</v>
      </c>
      <c r="C412" s="523" t="s">
        <v>1262</v>
      </c>
      <c r="D412" s="426" t="s">
        <v>615</v>
      </c>
      <c r="E412" s="426" t="s">
        <v>1214</v>
      </c>
      <c r="F412" s="440">
        <v>34.979999999999997</v>
      </c>
      <c r="G412" s="441" t="s">
        <v>701</v>
      </c>
      <c r="H412" s="428">
        <v>1</v>
      </c>
      <c r="I412" s="530">
        <f t="shared" si="12"/>
        <v>34.979999999999997</v>
      </c>
      <c r="J412" s="289"/>
      <c r="K412" s="540"/>
      <c r="L412" s="530"/>
      <c r="M412" s="285"/>
    </row>
    <row r="413" spans="1:13" ht="14.25" hidden="1" customHeight="1" x14ac:dyDescent="0.25">
      <c r="A413" s="284"/>
      <c r="B413" s="529" t="s">
        <v>667</v>
      </c>
      <c r="C413" s="523" t="s">
        <v>1262</v>
      </c>
      <c r="D413" s="426" t="s">
        <v>616</v>
      </c>
      <c r="E413" s="426" t="s">
        <v>1214</v>
      </c>
      <c r="F413" s="440">
        <v>2.71</v>
      </c>
      <c r="G413" s="441" t="s">
        <v>701</v>
      </c>
      <c r="H413" s="428">
        <v>1</v>
      </c>
      <c r="I413" s="530">
        <f t="shared" si="12"/>
        <v>2.71</v>
      </c>
      <c r="J413" s="289"/>
      <c r="K413" s="540"/>
      <c r="L413" s="530"/>
      <c r="M413" s="285"/>
    </row>
    <row r="414" spans="1:13" ht="14.25" hidden="1" customHeight="1" x14ac:dyDescent="0.25">
      <c r="A414" s="284"/>
      <c r="B414" s="529" t="s">
        <v>667</v>
      </c>
      <c r="C414" s="523" t="s">
        <v>1262</v>
      </c>
      <c r="D414" s="426" t="s">
        <v>618</v>
      </c>
      <c r="E414" s="426" t="s">
        <v>693</v>
      </c>
      <c r="F414" s="440">
        <v>21.56</v>
      </c>
      <c r="G414" s="441"/>
      <c r="H414" s="428">
        <v>1</v>
      </c>
      <c r="I414" s="530">
        <f t="shared" si="12"/>
        <v>21.56</v>
      </c>
      <c r="J414" s="289"/>
      <c r="K414" s="540"/>
      <c r="L414" s="530"/>
      <c r="M414" s="285"/>
    </row>
    <row r="415" spans="1:13" ht="14.25" hidden="1" customHeight="1" x14ac:dyDescent="0.25">
      <c r="A415" s="284"/>
      <c r="B415" s="529" t="s">
        <v>667</v>
      </c>
      <c r="C415" s="523" t="s">
        <v>1262</v>
      </c>
      <c r="D415" s="426" t="s">
        <v>689</v>
      </c>
      <c r="E415" s="426" t="s">
        <v>694</v>
      </c>
      <c r="F415" s="440">
        <v>19.23</v>
      </c>
      <c r="G415" s="441" t="s">
        <v>701</v>
      </c>
      <c r="H415" s="428">
        <v>1</v>
      </c>
      <c r="I415" s="530">
        <f t="shared" si="12"/>
        <v>19.23</v>
      </c>
      <c r="J415" s="289"/>
      <c r="K415" s="540"/>
      <c r="L415" s="530"/>
      <c r="M415" s="285"/>
    </row>
    <row r="416" spans="1:13" ht="14.25" hidden="1" customHeight="1" x14ac:dyDescent="0.25">
      <c r="A416" s="284"/>
      <c r="B416" s="529" t="s">
        <v>667</v>
      </c>
      <c r="C416" s="523" t="s">
        <v>1262</v>
      </c>
      <c r="D416" s="426" t="s">
        <v>619</v>
      </c>
      <c r="E416" s="426" t="s">
        <v>1214</v>
      </c>
      <c r="F416" s="440">
        <v>12.29</v>
      </c>
      <c r="G416" s="441" t="s">
        <v>701</v>
      </c>
      <c r="H416" s="428">
        <v>1</v>
      </c>
      <c r="I416" s="530">
        <f t="shared" si="12"/>
        <v>12.29</v>
      </c>
      <c r="J416" s="289"/>
      <c r="K416" s="540"/>
      <c r="L416" s="530"/>
      <c r="M416" s="285"/>
    </row>
    <row r="417" spans="1:13" ht="14.25" customHeight="1" x14ac:dyDescent="0.25">
      <c r="A417" s="284"/>
      <c r="B417" s="529" t="s">
        <v>667</v>
      </c>
      <c r="C417" s="523" t="s">
        <v>1262</v>
      </c>
      <c r="D417" s="426" t="s">
        <v>620</v>
      </c>
      <c r="E417" s="426" t="s">
        <v>1214</v>
      </c>
      <c r="F417" s="440">
        <v>11.77</v>
      </c>
      <c r="G417" s="441" t="s">
        <v>701</v>
      </c>
      <c r="H417" s="428">
        <v>1</v>
      </c>
      <c r="I417" s="530">
        <f t="shared" si="12"/>
        <v>11.77</v>
      </c>
      <c r="J417" s="289"/>
      <c r="K417" s="540"/>
      <c r="L417" s="530"/>
      <c r="M417" s="285"/>
    </row>
    <row r="418" spans="1:13" ht="14.25" hidden="1" customHeight="1" x14ac:dyDescent="0.25">
      <c r="A418" s="284"/>
      <c r="B418" s="529" t="s">
        <v>667</v>
      </c>
      <c r="C418" s="523" t="s">
        <v>1262</v>
      </c>
      <c r="D418" s="426" t="s">
        <v>639</v>
      </c>
      <c r="E418" s="426" t="s">
        <v>1214</v>
      </c>
      <c r="F418" s="440">
        <v>2.5499999999999998</v>
      </c>
      <c r="G418" s="441" t="s">
        <v>701</v>
      </c>
      <c r="H418" s="428">
        <v>1</v>
      </c>
      <c r="I418" s="530">
        <f t="shared" si="12"/>
        <v>2.5499999999999998</v>
      </c>
      <c r="J418" s="289"/>
      <c r="K418" s="540"/>
      <c r="L418" s="530"/>
      <c r="M418" s="285"/>
    </row>
    <row r="419" spans="1:13" ht="14.25" hidden="1" customHeight="1" x14ac:dyDescent="0.25">
      <c r="A419" s="284"/>
      <c r="B419" s="529" t="s">
        <v>667</v>
      </c>
      <c r="C419" s="523" t="s">
        <v>1262</v>
      </c>
      <c r="D419" s="426" t="s">
        <v>626</v>
      </c>
      <c r="E419" s="426" t="s">
        <v>686</v>
      </c>
      <c r="F419" s="440">
        <v>14.07</v>
      </c>
      <c r="G419" s="441" t="s">
        <v>701</v>
      </c>
      <c r="H419" s="428">
        <v>1</v>
      </c>
      <c r="I419" s="530">
        <f t="shared" si="12"/>
        <v>14.07</v>
      </c>
      <c r="J419" s="289"/>
      <c r="K419" s="540"/>
      <c r="L419" s="530"/>
      <c r="M419" s="285"/>
    </row>
    <row r="420" spans="1:13" ht="14.25" customHeight="1" x14ac:dyDescent="0.25">
      <c r="A420" s="284"/>
      <c r="B420" s="529" t="s">
        <v>667</v>
      </c>
      <c r="C420" s="523" t="s">
        <v>1262</v>
      </c>
      <c r="D420" s="426" t="s">
        <v>627</v>
      </c>
      <c r="E420" s="426" t="s">
        <v>1214</v>
      </c>
      <c r="F420" s="440">
        <v>3.68</v>
      </c>
      <c r="G420" s="441" t="s">
        <v>701</v>
      </c>
      <c r="H420" s="428">
        <v>1</v>
      </c>
      <c r="I420" s="530">
        <f t="shared" si="12"/>
        <v>3.68</v>
      </c>
      <c r="J420" s="289"/>
      <c r="K420" s="540"/>
      <c r="L420" s="530"/>
      <c r="M420" s="285"/>
    </row>
    <row r="421" spans="1:13" ht="14.25" hidden="1" customHeight="1" x14ac:dyDescent="0.25">
      <c r="A421" s="284"/>
      <c r="B421" s="529" t="s">
        <v>667</v>
      </c>
      <c r="C421" s="523" t="s">
        <v>1262</v>
      </c>
      <c r="D421" s="929" t="s">
        <v>675</v>
      </c>
      <c r="E421" s="426" t="s">
        <v>686</v>
      </c>
      <c r="F421" s="440">
        <v>32.06</v>
      </c>
      <c r="G421" s="441" t="s">
        <v>701</v>
      </c>
      <c r="H421" s="428">
        <v>1</v>
      </c>
      <c r="I421" s="530">
        <f t="shared" si="12"/>
        <v>32.06</v>
      </c>
      <c r="J421" s="289"/>
      <c r="K421" s="540"/>
      <c r="L421" s="530"/>
      <c r="M421" s="285"/>
    </row>
    <row r="422" spans="1:13" ht="14.25" customHeight="1" x14ac:dyDescent="0.25">
      <c r="A422" s="284"/>
      <c r="B422" s="529" t="s">
        <v>667</v>
      </c>
      <c r="C422" s="523" t="s">
        <v>1262</v>
      </c>
      <c r="D422" s="929" t="s">
        <v>676</v>
      </c>
      <c r="E422" s="426" t="s">
        <v>1214</v>
      </c>
      <c r="F422" s="440">
        <v>12.38</v>
      </c>
      <c r="G422" s="441" t="s">
        <v>701</v>
      </c>
      <c r="H422" s="428">
        <v>1</v>
      </c>
      <c r="I422" s="530">
        <f t="shared" si="12"/>
        <v>12.38</v>
      </c>
      <c r="J422" s="289"/>
      <c r="K422" s="540"/>
      <c r="L422" s="530"/>
      <c r="M422" s="285"/>
    </row>
    <row r="423" spans="1:13" ht="14.25" hidden="1" customHeight="1" x14ac:dyDescent="0.25">
      <c r="A423" s="284"/>
      <c r="B423" s="529" t="s">
        <v>667</v>
      </c>
      <c r="C423" s="523" t="s">
        <v>1262</v>
      </c>
      <c r="D423" s="929" t="s">
        <v>677</v>
      </c>
      <c r="E423" s="426" t="s">
        <v>686</v>
      </c>
      <c r="F423" s="440">
        <v>16.850000000000001</v>
      </c>
      <c r="G423" s="441" t="s">
        <v>701</v>
      </c>
      <c r="H423" s="428">
        <v>1</v>
      </c>
      <c r="I423" s="530">
        <f t="shared" si="12"/>
        <v>16.850000000000001</v>
      </c>
      <c r="J423" s="289"/>
      <c r="K423" s="540"/>
      <c r="L423" s="530"/>
      <c r="M423" s="285"/>
    </row>
    <row r="424" spans="1:13" ht="14.25" customHeight="1" x14ac:dyDescent="0.25">
      <c r="A424" s="284"/>
      <c r="B424" s="529" t="s">
        <v>667</v>
      </c>
      <c r="C424" s="523" t="s">
        <v>1262</v>
      </c>
      <c r="D424" s="929" t="s">
        <v>678</v>
      </c>
      <c r="E424" s="426" t="s">
        <v>1214</v>
      </c>
      <c r="F424" s="440">
        <v>4.67</v>
      </c>
      <c r="G424" s="441" t="s">
        <v>701</v>
      </c>
      <c r="H424" s="428">
        <v>1</v>
      </c>
      <c r="I424" s="530">
        <f t="shared" si="12"/>
        <v>4.67</v>
      </c>
      <c r="J424" s="289"/>
      <c r="K424" s="540"/>
      <c r="L424" s="530"/>
      <c r="M424" s="285"/>
    </row>
    <row r="425" spans="1:13" ht="14.25" hidden="1" customHeight="1" x14ac:dyDescent="0.25">
      <c r="A425" s="284"/>
      <c r="B425" s="529" t="s">
        <v>667</v>
      </c>
      <c r="C425" s="523" t="s">
        <v>1262</v>
      </c>
      <c r="D425" s="929" t="s">
        <v>679</v>
      </c>
      <c r="E425" s="426" t="s">
        <v>686</v>
      </c>
      <c r="F425" s="440">
        <v>16.850000000000001</v>
      </c>
      <c r="G425" s="441" t="s">
        <v>701</v>
      </c>
      <c r="H425" s="428">
        <v>1</v>
      </c>
      <c r="I425" s="530">
        <f t="shared" si="12"/>
        <v>16.850000000000001</v>
      </c>
      <c r="J425" s="289"/>
      <c r="K425" s="540"/>
      <c r="L425" s="530"/>
      <c r="M425" s="285"/>
    </row>
    <row r="426" spans="1:13" ht="14.25" customHeight="1" x14ac:dyDescent="0.25">
      <c r="A426" s="284"/>
      <c r="B426" s="529" t="s">
        <v>667</v>
      </c>
      <c r="C426" s="523" t="s">
        <v>1262</v>
      </c>
      <c r="D426" s="929" t="s">
        <v>680</v>
      </c>
      <c r="E426" s="426" t="s">
        <v>1214</v>
      </c>
      <c r="F426" s="440">
        <v>4.67</v>
      </c>
      <c r="G426" s="441" t="s">
        <v>701</v>
      </c>
      <c r="H426" s="428">
        <v>1</v>
      </c>
      <c r="I426" s="530">
        <f t="shared" si="12"/>
        <v>4.67</v>
      </c>
      <c r="J426" s="289"/>
      <c r="K426" s="540"/>
      <c r="L426" s="530"/>
      <c r="M426" s="285"/>
    </row>
    <row r="427" spans="1:13" ht="14.25" hidden="1" customHeight="1" x14ac:dyDescent="0.25">
      <c r="A427" s="284"/>
      <c r="B427" s="529" t="s">
        <v>667</v>
      </c>
      <c r="C427" s="523" t="s">
        <v>1262</v>
      </c>
      <c r="D427" s="929" t="s">
        <v>681</v>
      </c>
      <c r="E427" s="426" t="s">
        <v>686</v>
      </c>
      <c r="F427" s="440">
        <v>14.16</v>
      </c>
      <c r="G427" s="441" t="s">
        <v>701</v>
      </c>
      <c r="H427" s="428">
        <v>1</v>
      </c>
      <c r="I427" s="530">
        <f t="shared" si="12"/>
        <v>14.16</v>
      </c>
      <c r="J427" s="289"/>
      <c r="K427" s="540"/>
      <c r="L427" s="530"/>
      <c r="M427" s="285"/>
    </row>
    <row r="428" spans="1:13" ht="14.25" customHeight="1" x14ac:dyDescent="0.25">
      <c r="A428" s="284"/>
      <c r="B428" s="529" t="s">
        <v>667</v>
      </c>
      <c r="C428" s="523" t="s">
        <v>1262</v>
      </c>
      <c r="D428" s="426" t="s">
        <v>682</v>
      </c>
      <c r="E428" s="426" t="s">
        <v>1214</v>
      </c>
      <c r="F428" s="440">
        <v>4.3</v>
      </c>
      <c r="G428" s="441" t="s">
        <v>701</v>
      </c>
      <c r="H428" s="428">
        <v>1</v>
      </c>
      <c r="I428" s="530">
        <f t="shared" si="12"/>
        <v>4.3</v>
      </c>
      <c r="J428" s="289"/>
      <c r="K428" s="540"/>
      <c r="L428" s="530"/>
      <c r="M428" s="285"/>
    </row>
    <row r="429" spans="1:13" ht="14.25" hidden="1" customHeight="1" x14ac:dyDescent="0.25">
      <c r="A429" s="284"/>
      <c r="B429" s="529" t="s">
        <v>667</v>
      </c>
      <c r="C429" s="523" t="s">
        <v>1262</v>
      </c>
      <c r="D429" s="426" t="s">
        <v>683</v>
      </c>
      <c r="E429" s="426" t="s">
        <v>693</v>
      </c>
      <c r="F429" s="440">
        <v>62.92</v>
      </c>
      <c r="G429" s="441"/>
      <c r="H429" s="428">
        <v>1</v>
      </c>
      <c r="I429" s="530">
        <f t="shared" si="12"/>
        <v>62.92</v>
      </c>
      <c r="J429" s="289"/>
      <c r="K429" s="540"/>
      <c r="L429" s="530"/>
      <c r="M429" s="285"/>
    </row>
    <row r="430" spans="1:13" ht="14.25" hidden="1" customHeight="1" x14ac:dyDescent="0.25">
      <c r="A430" s="284"/>
      <c r="B430" s="529" t="s">
        <v>667</v>
      </c>
      <c r="C430" s="523" t="s">
        <v>1262</v>
      </c>
      <c r="D430" s="426" t="s">
        <v>684</v>
      </c>
      <c r="E430" s="426" t="s">
        <v>694</v>
      </c>
      <c r="F430" s="440">
        <v>29.8</v>
      </c>
      <c r="G430" s="441" t="s">
        <v>701</v>
      </c>
      <c r="H430" s="428">
        <v>1</v>
      </c>
      <c r="I430" s="530">
        <f t="shared" si="12"/>
        <v>29.8</v>
      </c>
      <c r="J430" s="289"/>
      <c r="K430" s="540"/>
      <c r="L430" s="530"/>
      <c r="M430" s="285"/>
    </row>
    <row r="431" spans="1:13" ht="14.25" hidden="1" customHeight="1" x14ac:dyDescent="0.25">
      <c r="A431" s="284"/>
      <c r="B431" s="529" t="s">
        <v>667</v>
      </c>
      <c r="C431" s="523" t="s">
        <v>1262</v>
      </c>
      <c r="D431" s="426" t="s">
        <v>685</v>
      </c>
      <c r="E431" s="426"/>
      <c r="F431" s="440">
        <v>15.35</v>
      </c>
      <c r="G431" s="441"/>
      <c r="H431" s="428">
        <v>1</v>
      </c>
      <c r="I431" s="530">
        <f t="shared" si="12"/>
        <v>15.35</v>
      </c>
      <c r="J431" s="289"/>
      <c r="K431" s="540"/>
      <c r="L431" s="530"/>
      <c r="M431" s="285"/>
    </row>
    <row r="432" spans="1:13" ht="14.25" hidden="1" customHeight="1" x14ac:dyDescent="0.25">
      <c r="A432" s="284"/>
      <c r="B432" s="529" t="s">
        <v>671</v>
      </c>
      <c r="C432" s="523" t="s">
        <v>635</v>
      </c>
      <c r="D432" s="426" t="s">
        <v>628</v>
      </c>
      <c r="E432" s="426" t="s">
        <v>197</v>
      </c>
      <c r="F432" s="440">
        <f>18.79+1.5*0.18*20</f>
        <v>24.189999999999998</v>
      </c>
      <c r="G432" s="441" t="s">
        <v>701</v>
      </c>
      <c r="H432" s="428">
        <v>1</v>
      </c>
      <c r="I432" s="530">
        <f t="shared" si="12"/>
        <v>24.189999999999998</v>
      </c>
      <c r="J432" s="289"/>
      <c r="K432" s="540"/>
      <c r="L432" s="530"/>
      <c r="M432" s="285"/>
    </row>
    <row r="433" spans="1:13" ht="14.25" hidden="1" customHeight="1" x14ac:dyDescent="0.25">
      <c r="A433" s="284"/>
      <c r="B433" s="529" t="s">
        <v>672</v>
      </c>
      <c r="C433" s="523" t="s">
        <v>1263</v>
      </c>
      <c r="D433" s="426" t="s">
        <v>614</v>
      </c>
      <c r="E433" s="426" t="s">
        <v>1214</v>
      </c>
      <c r="F433" s="440">
        <v>28.7</v>
      </c>
      <c r="G433" s="441" t="s">
        <v>701</v>
      </c>
      <c r="H433" s="428">
        <v>1</v>
      </c>
      <c r="I433" s="530">
        <f t="shared" si="12"/>
        <v>28.7</v>
      </c>
      <c r="J433" s="289"/>
      <c r="K433" s="540"/>
      <c r="L433" s="530"/>
      <c r="M433" s="285"/>
    </row>
    <row r="434" spans="1:13" ht="14.25" hidden="1" customHeight="1" x14ac:dyDescent="0.25">
      <c r="A434" s="284"/>
      <c r="B434" s="529" t="s">
        <v>672</v>
      </c>
      <c r="C434" s="523" t="s">
        <v>1263</v>
      </c>
      <c r="D434" s="426" t="s">
        <v>615</v>
      </c>
      <c r="E434" s="426" t="s">
        <v>1214</v>
      </c>
      <c r="F434" s="440">
        <v>38.950000000000003</v>
      </c>
      <c r="G434" s="441" t="s">
        <v>701</v>
      </c>
      <c r="H434" s="428">
        <v>1</v>
      </c>
      <c r="I434" s="530">
        <f t="shared" si="12"/>
        <v>38.950000000000003</v>
      </c>
      <c r="J434" s="289"/>
      <c r="K434" s="540"/>
      <c r="L434" s="530"/>
      <c r="M434" s="285"/>
    </row>
    <row r="435" spans="1:13" ht="14.25" hidden="1" customHeight="1" x14ac:dyDescent="0.25">
      <c r="A435" s="284"/>
      <c r="B435" s="529" t="s">
        <v>672</v>
      </c>
      <c r="C435" s="523" t="s">
        <v>1263</v>
      </c>
      <c r="D435" s="426" t="s">
        <v>616</v>
      </c>
      <c r="E435" s="426" t="s">
        <v>1214</v>
      </c>
      <c r="F435" s="440">
        <v>3.39</v>
      </c>
      <c r="G435" s="441" t="s">
        <v>701</v>
      </c>
      <c r="H435" s="428">
        <v>1</v>
      </c>
      <c r="I435" s="530">
        <f t="shared" si="12"/>
        <v>3.39</v>
      </c>
      <c r="J435" s="289"/>
      <c r="K435" s="540"/>
      <c r="L435" s="530"/>
      <c r="M435" s="285"/>
    </row>
    <row r="436" spans="1:13" ht="14.25" hidden="1" customHeight="1" x14ac:dyDescent="0.25">
      <c r="A436" s="284"/>
      <c r="B436" s="529" t="s">
        <v>672</v>
      </c>
      <c r="C436" s="523" t="s">
        <v>1263</v>
      </c>
      <c r="D436" s="426" t="s">
        <v>618</v>
      </c>
      <c r="E436" s="426" t="s">
        <v>693</v>
      </c>
      <c r="F436" s="440">
        <v>29.37</v>
      </c>
      <c r="G436" s="441"/>
      <c r="H436" s="428">
        <v>1</v>
      </c>
      <c r="I436" s="530">
        <f t="shared" si="12"/>
        <v>29.37</v>
      </c>
      <c r="J436" s="289"/>
      <c r="K436" s="540"/>
      <c r="L436" s="530"/>
      <c r="M436" s="285"/>
    </row>
    <row r="437" spans="1:13" ht="14.25" hidden="1" customHeight="1" x14ac:dyDescent="0.25">
      <c r="A437" s="284"/>
      <c r="B437" s="529" t="s">
        <v>672</v>
      </c>
      <c r="C437" s="523" t="s">
        <v>1263</v>
      </c>
      <c r="D437" s="426" t="s">
        <v>689</v>
      </c>
      <c r="E437" s="426" t="s">
        <v>694</v>
      </c>
      <c r="F437" s="440">
        <v>21.51</v>
      </c>
      <c r="G437" s="441" t="s">
        <v>701</v>
      </c>
      <c r="H437" s="428">
        <v>1</v>
      </c>
      <c r="I437" s="530">
        <f t="shared" si="12"/>
        <v>21.51</v>
      </c>
      <c r="J437" s="289"/>
      <c r="K437" s="540"/>
      <c r="L437" s="530"/>
      <c r="M437" s="285"/>
    </row>
    <row r="438" spans="1:13" ht="14.25" hidden="1" customHeight="1" x14ac:dyDescent="0.25">
      <c r="A438" s="284"/>
      <c r="B438" s="529" t="s">
        <v>672</v>
      </c>
      <c r="C438" s="523" t="s">
        <v>1263</v>
      </c>
      <c r="D438" s="426" t="s">
        <v>619</v>
      </c>
      <c r="E438" s="426" t="s">
        <v>1214</v>
      </c>
      <c r="F438" s="440">
        <v>16.829999999999998</v>
      </c>
      <c r="G438" s="441" t="s">
        <v>701</v>
      </c>
      <c r="H438" s="428">
        <v>1</v>
      </c>
      <c r="I438" s="530">
        <f t="shared" si="12"/>
        <v>16.829999999999998</v>
      </c>
      <c r="J438" s="289"/>
      <c r="K438" s="540"/>
      <c r="L438" s="530"/>
      <c r="M438" s="285"/>
    </row>
    <row r="439" spans="1:13" ht="14.25" customHeight="1" x14ac:dyDescent="0.25">
      <c r="A439" s="284"/>
      <c r="B439" s="529" t="s">
        <v>672</v>
      </c>
      <c r="C439" s="523" t="s">
        <v>1263</v>
      </c>
      <c r="D439" s="426" t="s">
        <v>620</v>
      </c>
      <c r="E439" s="426" t="s">
        <v>1214</v>
      </c>
      <c r="F439" s="440">
        <v>9.11</v>
      </c>
      <c r="G439" s="441" t="s">
        <v>701</v>
      </c>
      <c r="H439" s="428">
        <v>1</v>
      </c>
      <c r="I439" s="530">
        <f t="shared" si="12"/>
        <v>9.11</v>
      </c>
      <c r="J439" s="289"/>
      <c r="K439" s="540"/>
      <c r="L439" s="530"/>
      <c r="M439" s="285"/>
    </row>
    <row r="440" spans="1:13" ht="14.25" hidden="1" customHeight="1" x14ac:dyDescent="0.25">
      <c r="A440" s="284"/>
      <c r="B440" s="529" t="s">
        <v>672</v>
      </c>
      <c r="C440" s="523" t="s">
        <v>1263</v>
      </c>
      <c r="D440" s="426" t="s">
        <v>640</v>
      </c>
      <c r="E440" s="426" t="s">
        <v>1214</v>
      </c>
      <c r="F440" s="440">
        <v>6.42</v>
      </c>
      <c r="G440" s="441" t="s">
        <v>701</v>
      </c>
      <c r="H440" s="428">
        <v>1</v>
      </c>
      <c r="I440" s="530">
        <f t="shared" si="12"/>
        <v>6.42</v>
      </c>
      <c r="J440" s="289"/>
      <c r="K440" s="540"/>
      <c r="L440" s="530"/>
      <c r="M440" s="285"/>
    </row>
    <row r="441" spans="1:13" ht="14.25" customHeight="1" x14ac:dyDescent="0.25">
      <c r="A441" s="284"/>
      <c r="B441" s="529" t="s">
        <v>672</v>
      </c>
      <c r="C441" s="523" t="s">
        <v>1263</v>
      </c>
      <c r="D441" s="426" t="s">
        <v>621</v>
      </c>
      <c r="E441" s="426" t="s">
        <v>1214</v>
      </c>
      <c r="F441" s="440">
        <v>3.82</v>
      </c>
      <c r="G441" s="441" t="s">
        <v>701</v>
      </c>
      <c r="H441" s="428">
        <v>1</v>
      </c>
      <c r="I441" s="530">
        <f t="shared" si="12"/>
        <v>3.82</v>
      </c>
      <c r="J441" s="289"/>
      <c r="K441" s="540"/>
      <c r="L441" s="530"/>
      <c r="M441" s="285"/>
    </row>
    <row r="442" spans="1:13" ht="14.25" hidden="1" customHeight="1" x14ac:dyDescent="0.25">
      <c r="A442" s="284"/>
      <c r="B442" s="529" t="s">
        <v>672</v>
      </c>
      <c r="C442" s="523" t="s">
        <v>1263</v>
      </c>
      <c r="D442" s="426" t="s">
        <v>617</v>
      </c>
      <c r="E442" s="426" t="s">
        <v>686</v>
      </c>
      <c r="F442" s="440">
        <v>14.38</v>
      </c>
      <c r="G442" s="441" t="s">
        <v>701</v>
      </c>
      <c r="H442" s="428">
        <v>1</v>
      </c>
      <c r="I442" s="530">
        <f t="shared" si="12"/>
        <v>14.38</v>
      </c>
      <c r="J442" s="289"/>
      <c r="K442" s="540"/>
      <c r="L442" s="530"/>
      <c r="M442" s="285"/>
    </row>
    <row r="443" spans="1:13" ht="14.25" hidden="1" customHeight="1" x14ac:dyDescent="0.25">
      <c r="A443" s="284"/>
      <c r="B443" s="529" t="s">
        <v>672</v>
      </c>
      <c r="C443" s="523" t="s">
        <v>1263</v>
      </c>
      <c r="D443" s="426" t="s">
        <v>622</v>
      </c>
      <c r="E443" s="426" t="s">
        <v>686</v>
      </c>
      <c r="F443" s="440">
        <v>31.25</v>
      </c>
      <c r="G443" s="441" t="s">
        <v>701</v>
      </c>
      <c r="H443" s="428">
        <v>1</v>
      </c>
      <c r="I443" s="530">
        <f t="shared" si="12"/>
        <v>31.25</v>
      </c>
      <c r="J443" s="289"/>
      <c r="K443" s="540"/>
      <c r="L443" s="530"/>
      <c r="M443" s="285"/>
    </row>
    <row r="444" spans="1:13" ht="14.25" customHeight="1" x14ac:dyDescent="0.25">
      <c r="A444" s="284"/>
      <c r="B444" s="529" t="s">
        <v>672</v>
      </c>
      <c r="C444" s="523" t="s">
        <v>1263</v>
      </c>
      <c r="D444" s="426" t="s">
        <v>623</v>
      </c>
      <c r="E444" s="426" t="s">
        <v>1214</v>
      </c>
      <c r="F444" s="440">
        <v>7.38</v>
      </c>
      <c r="G444" s="441" t="s">
        <v>701</v>
      </c>
      <c r="H444" s="428">
        <v>1</v>
      </c>
      <c r="I444" s="530">
        <f t="shared" si="12"/>
        <v>7.38</v>
      </c>
      <c r="J444" s="289"/>
      <c r="K444" s="540"/>
      <c r="L444" s="530"/>
      <c r="M444" s="285"/>
    </row>
    <row r="445" spans="1:13" ht="14.25" hidden="1" customHeight="1" x14ac:dyDescent="0.25">
      <c r="A445" s="284"/>
      <c r="B445" s="529" t="s">
        <v>672</v>
      </c>
      <c r="C445" s="523" t="s">
        <v>1263</v>
      </c>
      <c r="D445" s="426" t="s">
        <v>630</v>
      </c>
      <c r="E445" s="426" t="s">
        <v>686</v>
      </c>
      <c r="F445" s="440">
        <v>18.100000000000001</v>
      </c>
      <c r="G445" s="441" t="s">
        <v>701</v>
      </c>
      <c r="H445" s="428">
        <v>1</v>
      </c>
      <c r="I445" s="530">
        <f t="shared" si="12"/>
        <v>18.100000000000001</v>
      </c>
      <c r="J445" s="289"/>
      <c r="K445" s="540"/>
      <c r="L445" s="530"/>
      <c r="M445" s="285"/>
    </row>
    <row r="446" spans="1:13" ht="14.25" customHeight="1" x14ac:dyDescent="0.25">
      <c r="A446" s="284"/>
      <c r="B446" s="529" t="s">
        <v>672</v>
      </c>
      <c r="C446" s="523" t="s">
        <v>1263</v>
      </c>
      <c r="D446" s="426" t="s">
        <v>631</v>
      </c>
      <c r="E446" s="426" t="s">
        <v>1214</v>
      </c>
      <c r="F446" s="440">
        <v>4.62</v>
      </c>
      <c r="G446" s="441" t="s">
        <v>701</v>
      </c>
      <c r="H446" s="428">
        <v>1</v>
      </c>
      <c r="I446" s="530">
        <f t="shared" si="12"/>
        <v>4.62</v>
      </c>
      <c r="J446" s="289"/>
      <c r="K446" s="540"/>
      <c r="L446" s="530"/>
      <c r="M446" s="285"/>
    </row>
    <row r="447" spans="1:13" ht="14.25" hidden="1" customHeight="1" x14ac:dyDescent="0.25">
      <c r="A447" s="284"/>
      <c r="B447" s="529" t="s">
        <v>672</v>
      </c>
      <c r="C447" s="523" t="s">
        <v>1263</v>
      </c>
      <c r="D447" s="426" t="s">
        <v>624</v>
      </c>
      <c r="E447" s="426" t="s">
        <v>686</v>
      </c>
      <c r="F447" s="440">
        <v>18.079999999999998</v>
      </c>
      <c r="G447" s="441" t="s">
        <v>701</v>
      </c>
      <c r="H447" s="428">
        <v>1</v>
      </c>
      <c r="I447" s="530">
        <f t="shared" si="12"/>
        <v>18.079999999999998</v>
      </c>
      <c r="J447" s="289"/>
      <c r="K447" s="540"/>
      <c r="L447" s="530"/>
      <c r="M447" s="285"/>
    </row>
    <row r="448" spans="1:13" ht="14.25" customHeight="1" x14ac:dyDescent="0.25">
      <c r="A448" s="284"/>
      <c r="B448" s="529" t="s">
        <v>672</v>
      </c>
      <c r="C448" s="523" t="s">
        <v>1263</v>
      </c>
      <c r="D448" s="426" t="s">
        <v>625</v>
      </c>
      <c r="E448" s="426" t="s">
        <v>1214</v>
      </c>
      <c r="F448" s="440">
        <v>4.6399999999999997</v>
      </c>
      <c r="G448" s="441" t="s">
        <v>701</v>
      </c>
      <c r="H448" s="428">
        <v>1</v>
      </c>
      <c r="I448" s="530">
        <f t="shared" si="12"/>
        <v>4.6399999999999997</v>
      </c>
      <c r="J448" s="289"/>
      <c r="K448" s="540"/>
      <c r="L448" s="530"/>
      <c r="M448" s="285"/>
    </row>
    <row r="449" spans="1:13" ht="14.25" hidden="1" customHeight="1" x14ac:dyDescent="0.25">
      <c r="A449" s="284"/>
      <c r="B449" s="529" t="s">
        <v>672</v>
      </c>
      <c r="C449" s="523" t="s">
        <v>1263</v>
      </c>
      <c r="D449" s="426" t="s">
        <v>626</v>
      </c>
      <c r="E449" s="426" t="s">
        <v>686</v>
      </c>
      <c r="F449" s="440">
        <v>18.079999999999998</v>
      </c>
      <c r="G449" s="441" t="s">
        <v>701</v>
      </c>
      <c r="H449" s="428">
        <v>1</v>
      </c>
      <c r="I449" s="530">
        <f t="shared" si="12"/>
        <v>18.079999999999998</v>
      </c>
      <c r="J449" s="289"/>
      <c r="K449" s="540"/>
      <c r="L449" s="530"/>
      <c r="M449" s="285"/>
    </row>
    <row r="450" spans="1:13" ht="14.25" customHeight="1" x14ac:dyDescent="0.25">
      <c r="A450" s="284"/>
      <c r="B450" s="529" t="s">
        <v>672</v>
      </c>
      <c r="C450" s="523" t="s">
        <v>1263</v>
      </c>
      <c r="D450" s="426" t="s">
        <v>627</v>
      </c>
      <c r="E450" s="426" t="s">
        <v>1214</v>
      </c>
      <c r="F450" s="440">
        <v>4.6399999999999997</v>
      </c>
      <c r="G450" s="441" t="s">
        <v>701</v>
      </c>
      <c r="H450" s="428">
        <v>1</v>
      </c>
      <c r="I450" s="530">
        <f t="shared" si="12"/>
        <v>4.6399999999999997</v>
      </c>
      <c r="J450" s="289"/>
      <c r="K450" s="540"/>
      <c r="L450" s="530"/>
      <c r="M450" s="285"/>
    </row>
    <row r="451" spans="1:13" ht="14.25" hidden="1" customHeight="1" x14ac:dyDescent="0.25">
      <c r="A451" s="284"/>
      <c r="B451" s="529" t="s">
        <v>672</v>
      </c>
      <c r="C451" s="523" t="s">
        <v>1263</v>
      </c>
      <c r="D451" s="426" t="s">
        <v>683</v>
      </c>
      <c r="E451" s="426" t="s">
        <v>693</v>
      </c>
      <c r="F451" s="440">
        <v>89.77</v>
      </c>
      <c r="G451" s="441"/>
      <c r="H451" s="428">
        <v>1</v>
      </c>
      <c r="I451" s="530">
        <f t="shared" si="12"/>
        <v>89.77</v>
      </c>
      <c r="J451" s="289"/>
      <c r="K451" s="540"/>
      <c r="L451" s="530"/>
      <c r="M451" s="285"/>
    </row>
    <row r="452" spans="1:13" ht="14.25" hidden="1" customHeight="1" x14ac:dyDescent="0.25">
      <c r="A452" s="284"/>
      <c r="B452" s="529" t="s">
        <v>672</v>
      </c>
      <c r="C452" s="523" t="s">
        <v>1263</v>
      </c>
      <c r="D452" s="426" t="s">
        <v>684</v>
      </c>
      <c r="E452" s="426" t="s">
        <v>694</v>
      </c>
      <c r="F452" s="440">
        <v>29.88</v>
      </c>
      <c r="G452" s="441" t="s">
        <v>701</v>
      </c>
      <c r="H452" s="428">
        <v>1</v>
      </c>
      <c r="I452" s="530">
        <f t="shared" si="12"/>
        <v>29.88</v>
      </c>
      <c r="J452" s="289"/>
      <c r="K452" s="540"/>
      <c r="L452" s="530"/>
      <c r="M452" s="285"/>
    </row>
    <row r="453" spans="1:13" ht="14.25" hidden="1" customHeight="1" x14ac:dyDescent="0.25">
      <c r="A453" s="284"/>
      <c r="B453" s="529" t="s">
        <v>672</v>
      </c>
      <c r="C453" s="523" t="s">
        <v>1263</v>
      </c>
      <c r="D453" s="426" t="s">
        <v>685</v>
      </c>
      <c r="E453" s="426"/>
      <c r="F453" s="440">
        <v>106.44</v>
      </c>
      <c r="G453" s="441"/>
      <c r="H453" s="428">
        <v>1</v>
      </c>
      <c r="I453" s="530">
        <f t="shared" si="12"/>
        <v>106.44</v>
      </c>
      <c r="J453" s="289"/>
      <c r="K453" s="540"/>
      <c r="L453" s="530"/>
      <c r="M453" s="285"/>
    </row>
    <row r="454" spans="1:13" ht="14.25" hidden="1" customHeight="1" x14ac:dyDescent="0.25">
      <c r="A454" s="284"/>
      <c r="B454" s="529" t="s">
        <v>672</v>
      </c>
      <c r="C454" s="523" t="s">
        <v>1264</v>
      </c>
      <c r="D454" s="426" t="s">
        <v>614</v>
      </c>
      <c r="E454" s="426" t="s">
        <v>1214</v>
      </c>
      <c r="F454" s="440">
        <v>26.63</v>
      </c>
      <c r="G454" s="441" t="s">
        <v>701</v>
      </c>
      <c r="H454" s="428">
        <v>1</v>
      </c>
      <c r="I454" s="530">
        <f t="shared" si="12"/>
        <v>26.63</v>
      </c>
      <c r="J454" s="289"/>
      <c r="K454" s="540"/>
      <c r="L454" s="530"/>
      <c r="M454" s="285"/>
    </row>
    <row r="455" spans="1:13" ht="14.25" hidden="1" customHeight="1" x14ac:dyDescent="0.25">
      <c r="A455" s="284"/>
      <c r="B455" s="529" t="s">
        <v>672</v>
      </c>
      <c r="C455" s="523" t="s">
        <v>1264</v>
      </c>
      <c r="D455" s="426" t="s">
        <v>615</v>
      </c>
      <c r="E455" s="426" t="s">
        <v>1214</v>
      </c>
      <c r="F455" s="440">
        <v>26.8</v>
      </c>
      <c r="G455" s="441" t="s">
        <v>701</v>
      </c>
      <c r="H455" s="428">
        <v>1</v>
      </c>
      <c r="I455" s="530">
        <f t="shared" si="12"/>
        <v>26.8</v>
      </c>
      <c r="J455" s="289"/>
      <c r="K455" s="540"/>
      <c r="L455" s="530"/>
      <c r="M455" s="285"/>
    </row>
    <row r="456" spans="1:13" ht="14.25" hidden="1" customHeight="1" x14ac:dyDescent="0.25">
      <c r="A456" s="284"/>
      <c r="B456" s="529" t="s">
        <v>672</v>
      </c>
      <c r="C456" s="523" t="s">
        <v>1264</v>
      </c>
      <c r="D456" s="426" t="s">
        <v>616</v>
      </c>
      <c r="E456" s="426" t="s">
        <v>1214</v>
      </c>
      <c r="F456" s="440">
        <v>3.18</v>
      </c>
      <c r="G456" s="441" t="s">
        <v>701</v>
      </c>
      <c r="H456" s="428">
        <v>1</v>
      </c>
      <c r="I456" s="530">
        <f t="shared" si="12"/>
        <v>3.18</v>
      </c>
      <c r="J456" s="289"/>
      <c r="K456" s="540"/>
      <c r="L456" s="530"/>
      <c r="M456" s="285"/>
    </row>
    <row r="457" spans="1:13" ht="14.25" hidden="1" customHeight="1" x14ac:dyDescent="0.25">
      <c r="A457" s="284"/>
      <c r="B457" s="529" t="s">
        <v>672</v>
      </c>
      <c r="C457" s="523" t="s">
        <v>1264</v>
      </c>
      <c r="D457" s="426" t="s">
        <v>618</v>
      </c>
      <c r="E457" s="426" t="s">
        <v>693</v>
      </c>
      <c r="F457" s="440">
        <v>28.12</v>
      </c>
      <c r="G457" s="441"/>
      <c r="H457" s="428">
        <v>1</v>
      </c>
      <c r="I457" s="530">
        <f t="shared" si="12"/>
        <v>28.12</v>
      </c>
      <c r="J457" s="289"/>
      <c r="K457" s="540"/>
      <c r="L457" s="530"/>
      <c r="M457" s="285"/>
    </row>
    <row r="458" spans="1:13" ht="14.25" hidden="1" customHeight="1" x14ac:dyDescent="0.25">
      <c r="A458" s="284"/>
      <c r="B458" s="529" t="s">
        <v>672</v>
      </c>
      <c r="C458" s="523" t="s">
        <v>1264</v>
      </c>
      <c r="D458" s="426" t="s">
        <v>689</v>
      </c>
      <c r="E458" s="426" t="s">
        <v>694</v>
      </c>
      <c r="F458" s="440">
        <v>22.77</v>
      </c>
      <c r="G458" s="441" t="s">
        <v>701</v>
      </c>
      <c r="H458" s="428">
        <v>1</v>
      </c>
      <c r="I458" s="530">
        <f t="shared" si="12"/>
        <v>22.77</v>
      </c>
      <c r="J458" s="289"/>
      <c r="K458" s="540"/>
      <c r="L458" s="530"/>
      <c r="M458" s="285"/>
    </row>
    <row r="459" spans="1:13" ht="14.25" hidden="1" customHeight="1" x14ac:dyDescent="0.25">
      <c r="A459" s="284"/>
      <c r="B459" s="529" t="s">
        <v>672</v>
      </c>
      <c r="C459" s="523" t="s">
        <v>1264</v>
      </c>
      <c r="D459" s="426" t="s">
        <v>619</v>
      </c>
      <c r="E459" s="426" t="s">
        <v>1214</v>
      </c>
      <c r="F459" s="440">
        <v>13.42</v>
      </c>
      <c r="G459" s="441" t="s">
        <v>701</v>
      </c>
      <c r="H459" s="428">
        <v>1</v>
      </c>
      <c r="I459" s="530">
        <f t="shared" si="12"/>
        <v>13.42</v>
      </c>
      <c r="J459" s="289"/>
      <c r="K459" s="540"/>
      <c r="L459" s="530"/>
      <c r="M459" s="285"/>
    </row>
    <row r="460" spans="1:13" ht="14.25" customHeight="1" x14ac:dyDescent="0.25">
      <c r="A460" s="284"/>
      <c r="B460" s="529" t="s">
        <v>672</v>
      </c>
      <c r="C460" s="523" t="s">
        <v>1264</v>
      </c>
      <c r="D460" s="426" t="s">
        <v>620</v>
      </c>
      <c r="E460" s="426" t="s">
        <v>1214</v>
      </c>
      <c r="F460" s="440">
        <v>7.18</v>
      </c>
      <c r="G460" s="441" t="s">
        <v>701</v>
      </c>
      <c r="H460" s="428">
        <v>1</v>
      </c>
      <c r="I460" s="530">
        <f t="shared" si="12"/>
        <v>7.18</v>
      </c>
      <c r="J460" s="289"/>
      <c r="K460" s="540"/>
      <c r="L460" s="530"/>
      <c r="M460" s="285"/>
    </row>
    <row r="461" spans="1:13" ht="14.25" customHeight="1" x14ac:dyDescent="0.25">
      <c r="A461" s="284"/>
      <c r="B461" s="529" t="s">
        <v>672</v>
      </c>
      <c r="C461" s="523" t="s">
        <v>1264</v>
      </c>
      <c r="D461" s="426" t="s">
        <v>621</v>
      </c>
      <c r="E461" s="426" t="s">
        <v>1214</v>
      </c>
      <c r="F461" s="440">
        <v>4.1399999999999997</v>
      </c>
      <c r="G461" s="441" t="s">
        <v>701</v>
      </c>
      <c r="H461" s="428">
        <v>1</v>
      </c>
      <c r="I461" s="530">
        <f t="shared" si="12"/>
        <v>4.1399999999999997</v>
      </c>
      <c r="J461" s="289"/>
      <c r="K461" s="540"/>
      <c r="L461" s="530"/>
      <c r="M461" s="285"/>
    </row>
    <row r="462" spans="1:13" ht="14.25" hidden="1" customHeight="1" x14ac:dyDescent="0.25">
      <c r="A462" s="284"/>
      <c r="B462" s="529" t="s">
        <v>672</v>
      </c>
      <c r="C462" s="523" t="s">
        <v>1264</v>
      </c>
      <c r="D462" s="426" t="s">
        <v>617</v>
      </c>
      <c r="E462" s="426" t="s">
        <v>686</v>
      </c>
      <c r="F462" s="440">
        <v>7.17</v>
      </c>
      <c r="G462" s="441" t="s">
        <v>701</v>
      </c>
      <c r="H462" s="428">
        <v>1</v>
      </c>
      <c r="I462" s="530">
        <f t="shared" si="12"/>
        <v>7.17</v>
      </c>
      <c r="J462" s="289"/>
      <c r="K462" s="540"/>
      <c r="L462" s="530"/>
      <c r="M462" s="285"/>
    </row>
    <row r="463" spans="1:13" ht="14.25" hidden="1" customHeight="1" x14ac:dyDescent="0.25">
      <c r="A463" s="284"/>
      <c r="B463" s="529" t="s">
        <v>672</v>
      </c>
      <c r="C463" s="523" t="s">
        <v>1264</v>
      </c>
      <c r="D463" s="426" t="s">
        <v>622</v>
      </c>
      <c r="E463" s="426" t="s">
        <v>686</v>
      </c>
      <c r="F463" s="440">
        <v>30.82</v>
      </c>
      <c r="G463" s="441" t="s">
        <v>701</v>
      </c>
      <c r="H463" s="428">
        <v>1</v>
      </c>
      <c r="I463" s="530">
        <f t="shared" ref="I463:I471" si="13">F463*H463</f>
        <v>30.82</v>
      </c>
      <c r="J463" s="289"/>
      <c r="K463" s="540"/>
      <c r="L463" s="530"/>
      <c r="M463" s="285"/>
    </row>
    <row r="464" spans="1:13" ht="14.25" customHeight="1" x14ac:dyDescent="0.25">
      <c r="A464" s="284"/>
      <c r="B464" s="529" t="s">
        <v>672</v>
      </c>
      <c r="C464" s="523" t="s">
        <v>1264</v>
      </c>
      <c r="D464" s="426" t="s">
        <v>623</v>
      </c>
      <c r="E464" s="426" t="s">
        <v>1214</v>
      </c>
      <c r="F464" s="440">
        <v>7.35</v>
      </c>
      <c r="G464" s="441" t="s">
        <v>701</v>
      </c>
      <c r="H464" s="428">
        <v>1</v>
      </c>
      <c r="I464" s="530">
        <f t="shared" si="13"/>
        <v>7.35</v>
      </c>
      <c r="J464" s="289"/>
      <c r="K464" s="540"/>
      <c r="L464" s="530"/>
      <c r="M464" s="285"/>
    </row>
    <row r="465" spans="1:13" ht="14.25" hidden="1" customHeight="1" x14ac:dyDescent="0.25">
      <c r="A465" s="284"/>
      <c r="B465" s="529" t="s">
        <v>672</v>
      </c>
      <c r="C465" s="523" t="s">
        <v>1264</v>
      </c>
      <c r="D465" s="426" t="s">
        <v>624</v>
      </c>
      <c r="E465" s="426" t="s">
        <v>686</v>
      </c>
      <c r="F465" s="440">
        <v>18.059999999999999</v>
      </c>
      <c r="G465" s="441" t="s">
        <v>701</v>
      </c>
      <c r="H465" s="428">
        <v>1</v>
      </c>
      <c r="I465" s="530">
        <f t="shared" si="13"/>
        <v>18.059999999999999</v>
      </c>
      <c r="J465" s="289"/>
      <c r="K465" s="540"/>
      <c r="L465" s="530"/>
      <c r="M465" s="285"/>
    </row>
    <row r="466" spans="1:13" ht="14.25" customHeight="1" x14ac:dyDescent="0.25">
      <c r="A466" s="284"/>
      <c r="B466" s="529" t="s">
        <v>672</v>
      </c>
      <c r="C466" s="523" t="s">
        <v>1264</v>
      </c>
      <c r="D466" s="426" t="s">
        <v>625</v>
      </c>
      <c r="E466" s="426" t="s">
        <v>1214</v>
      </c>
      <c r="F466" s="440">
        <v>4.72</v>
      </c>
      <c r="G466" s="441" t="s">
        <v>701</v>
      </c>
      <c r="H466" s="428">
        <v>1</v>
      </c>
      <c r="I466" s="530">
        <f t="shared" si="13"/>
        <v>4.72</v>
      </c>
      <c r="J466" s="289"/>
      <c r="K466" s="540"/>
      <c r="L466" s="530"/>
      <c r="M466" s="285"/>
    </row>
    <row r="467" spans="1:13" ht="14.25" hidden="1" customHeight="1" x14ac:dyDescent="0.25">
      <c r="A467" s="284"/>
      <c r="B467" s="529" t="s">
        <v>672</v>
      </c>
      <c r="C467" s="523" t="s">
        <v>1264</v>
      </c>
      <c r="D467" s="426" t="s">
        <v>626</v>
      </c>
      <c r="E467" s="426" t="s">
        <v>686</v>
      </c>
      <c r="F467" s="440">
        <v>18.059999999999999</v>
      </c>
      <c r="G467" s="441" t="s">
        <v>701</v>
      </c>
      <c r="H467" s="428">
        <v>1</v>
      </c>
      <c r="I467" s="530">
        <f t="shared" si="13"/>
        <v>18.059999999999999</v>
      </c>
      <c r="J467" s="289"/>
      <c r="K467" s="540"/>
      <c r="L467" s="530"/>
      <c r="M467" s="285"/>
    </row>
    <row r="468" spans="1:13" ht="14.25" customHeight="1" x14ac:dyDescent="0.25">
      <c r="A468" s="284"/>
      <c r="B468" s="529" t="s">
        <v>672</v>
      </c>
      <c r="C468" s="523" t="s">
        <v>1264</v>
      </c>
      <c r="D468" s="426" t="s">
        <v>627</v>
      </c>
      <c r="E468" s="426" t="s">
        <v>1214</v>
      </c>
      <c r="F468" s="440">
        <v>4.72</v>
      </c>
      <c r="G468" s="441" t="s">
        <v>701</v>
      </c>
      <c r="H468" s="428">
        <v>1</v>
      </c>
      <c r="I468" s="530">
        <f t="shared" si="13"/>
        <v>4.72</v>
      </c>
      <c r="J468" s="289"/>
      <c r="K468" s="540"/>
      <c r="L468" s="530"/>
      <c r="M468" s="285"/>
    </row>
    <row r="469" spans="1:13" ht="14.25" hidden="1" customHeight="1" x14ac:dyDescent="0.25">
      <c r="A469" s="284"/>
      <c r="B469" s="529" t="s">
        <v>672</v>
      </c>
      <c r="C469" s="523" t="s">
        <v>1264</v>
      </c>
      <c r="D469" s="426" t="s">
        <v>683</v>
      </c>
      <c r="E469" s="426" t="s">
        <v>693</v>
      </c>
      <c r="F469" s="440">
        <v>99.27</v>
      </c>
      <c r="G469" s="441"/>
      <c r="H469" s="428">
        <v>1</v>
      </c>
      <c r="I469" s="530">
        <f t="shared" si="13"/>
        <v>99.27</v>
      </c>
      <c r="J469" s="289"/>
      <c r="K469" s="540"/>
      <c r="L469" s="530"/>
      <c r="M469" s="285"/>
    </row>
    <row r="470" spans="1:13" ht="14.25" hidden="1" customHeight="1" x14ac:dyDescent="0.25">
      <c r="A470" s="284"/>
      <c r="B470" s="529" t="s">
        <v>672</v>
      </c>
      <c r="C470" s="523" t="s">
        <v>1264</v>
      </c>
      <c r="D470" s="426" t="s">
        <v>684</v>
      </c>
      <c r="E470" s="426" t="s">
        <v>694</v>
      </c>
      <c r="F470" s="440">
        <v>29.88</v>
      </c>
      <c r="G470" s="441" t="s">
        <v>701</v>
      </c>
      <c r="H470" s="428">
        <v>1</v>
      </c>
      <c r="I470" s="530">
        <f t="shared" si="13"/>
        <v>29.88</v>
      </c>
      <c r="J470" s="289"/>
      <c r="K470" s="582"/>
      <c r="L470" s="581"/>
      <c r="M470" s="285"/>
    </row>
    <row r="471" spans="1:13" ht="14.25" hidden="1" customHeight="1" x14ac:dyDescent="0.25">
      <c r="A471" s="284"/>
      <c r="B471" s="529" t="s">
        <v>672</v>
      </c>
      <c r="C471" s="523" t="s">
        <v>1264</v>
      </c>
      <c r="D471" s="426" t="s">
        <v>685</v>
      </c>
      <c r="E471" s="426"/>
      <c r="F471" s="440">
        <v>173.94</v>
      </c>
      <c r="G471" s="441"/>
      <c r="H471" s="428">
        <v>1</v>
      </c>
      <c r="I471" s="530">
        <f t="shared" si="13"/>
        <v>173.94</v>
      </c>
      <c r="J471" s="289"/>
      <c r="K471" s="544"/>
      <c r="L471" s="530">
        <f>SUMIF(E:E,K471,I:I)</f>
        <v>0</v>
      </c>
      <c r="M471" s="285"/>
    </row>
    <row r="472" spans="1:13" ht="14.25" hidden="1" customHeight="1" x14ac:dyDescent="0.25">
      <c r="A472" s="284"/>
      <c r="B472" s="529" t="s">
        <v>671</v>
      </c>
      <c r="C472" s="523" t="s">
        <v>635</v>
      </c>
      <c r="D472" s="426" t="s">
        <v>642</v>
      </c>
      <c r="E472" s="426" t="s">
        <v>1214</v>
      </c>
      <c r="F472" s="440">
        <v>75.88</v>
      </c>
      <c r="G472" s="441" t="s">
        <v>701</v>
      </c>
      <c r="H472" s="580">
        <v>1</v>
      </c>
      <c r="I472" s="581">
        <f t="shared" ref="I472:I477" si="14">F472*H472</f>
        <v>75.88</v>
      </c>
      <c r="J472" s="289"/>
      <c r="K472" s="582"/>
      <c r="L472" s="581"/>
      <c r="M472" s="285"/>
    </row>
    <row r="473" spans="1:13" ht="14.25" hidden="1" customHeight="1" x14ac:dyDescent="0.25">
      <c r="A473" s="284"/>
      <c r="B473" s="529" t="s">
        <v>612</v>
      </c>
      <c r="C473" s="523" t="s">
        <v>635</v>
      </c>
      <c r="D473" s="426" t="s">
        <v>688</v>
      </c>
      <c r="E473" s="426" t="s">
        <v>1213</v>
      </c>
      <c r="F473" s="583">
        <v>152.33000000000001</v>
      </c>
      <c r="G473" s="441" t="s">
        <v>701</v>
      </c>
      <c r="H473" s="428">
        <v>1</v>
      </c>
      <c r="I473" s="530">
        <f t="shared" si="14"/>
        <v>152.33000000000001</v>
      </c>
      <c r="J473" s="289"/>
      <c r="K473" s="582"/>
      <c r="L473" s="581"/>
      <c r="M473" s="285"/>
    </row>
    <row r="474" spans="1:13" ht="14.25" hidden="1" customHeight="1" x14ac:dyDescent="0.25">
      <c r="A474" s="284"/>
      <c r="B474" s="529"/>
      <c r="C474" s="523" t="s">
        <v>635</v>
      </c>
      <c r="D474" s="426" t="s">
        <v>688</v>
      </c>
      <c r="E474" s="426" t="s">
        <v>1213</v>
      </c>
      <c r="F474" s="440">
        <f>555.05-173.8+431.78</f>
        <v>813.03</v>
      </c>
      <c r="G474" s="441" t="s">
        <v>701</v>
      </c>
      <c r="H474" s="580">
        <v>1</v>
      </c>
      <c r="I474" s="581">
        <f t="shared" si="14"/>
        <v>813.03</v>
      </c>
      <c r="J474" s="289"/>
      <c r="K474" s="582"/>
      <c r="L474" s="581"/>
      <c r="M474" s="285"/>
    </row>
    <row r="475" spans="1:13" ht="14.25" hidden="1" customHeight="1" x14ac:dyDescent="0.25">
      <c r="A475" s="284"/>
      <c r="B475" s="529"/>
      <c r="C475" s="523" t="s">
        <v>635</v>
      </c>
      <c r="D475" s="426" t="s">
        <v>688</v>
      </c>
      <c r="E475" s="426" t="s">
        <v>1269</v>
      </c>
      <c r="F475" s="440">
        <v>171.49</v>
      </c>
      <c r="G475" s="441"/>
      <c r="H475" s="580">
        <v>1</v>
      </c>
      <c r="I475" s="581">
        <f t="shared" si="14"/>
        <v>171.49</v>
      </c>
      <c r="J475" s="289"/>
      <c r="K475" s="582"/>
      <c r="L475" s="581"/>
      <c r="M475" s="285"/>
    </row>
    <row r="476" spans="1:13" ht="14.25" hidden="1" customHeight="1" x14ac:dyDescent="0.25">
      <c r="A476" s="284"/>
      <c r="B476" s="529"/>
      <c r="C476" s="523" t="s">
        <v>635</v>
      </c>
      <c r="D476" s="426" t="s">
        <v>721</v>
      </c>
      <c r="E476" s="426" t="s">
        <v>189</v>
      </c>
      <c r="F476" s="440">
        <v>22.79</v>
      </c>
      <c r="G476" s="441"/>
      <c r="H476" s="580">
        <v>1</v>
      </c>
      <c r="I476" s="581">
        <f t="shared" si="14"/>
        <v>22.79</v>
      </c>
      <c r="J476" s="289"/>
      <c r="K476" s="582"/>
      <c r="L476" s="581"/>
      <c r="M476" s="285"/>
    </row>
    <row r="477" spans="1:13" ht="14.25" hidden="1" customHeight="1" x14ac:dyDescent="0.25">
      <c r="A477" s="284"/>
      <c r="B477" s="529"/>
      <c r="C477" s="523" t="s">
        <v>635</v>
      </c>
      <c r="D477" s="426" t="s">
        <v>722</v>
      </c>
      <c r="E477" s="426" t="s">
        <v>189</v>
      </c>
      <c r="F477" s="440">
        <v>12.38</v>
      </c>
      <c r="G477" s="441"/>
      <c r="H477" s="580">
        <v>1</v>
      </c>
      <c r="I477" s="581">
        <f t="shared" si="14"/>
        <v>12.38</v>
      </c>
      <c r="J477" s="289"/>
      <c r="K477" s="582"/>
      <c r="L477" s="581"/>
      <c r="M477" s="285"/>
    </row>
    <row r="478" spans="1:13" ht="14.25" hidden="1" customHeight="1" x14ac:dyDescent="0.25">
      <c r="A478" s="284"/>
      <c r="B478" s="529"/>
      <c r="C478" s="523"/>
      <c r="D478" s="426"/>
      <c r="E478" s="426"/>
      <c r="F478" s="440"/>
      <c r="G478" s="441"/>
      <c r="H478" s="580"/>
      <c r="I478" s="581"/>
      <c r="J478" s="289"/>
      <c r="K478" s="582"/>
      <c r="L478" s="581"/>
      <c r="M478" s="285"/>
    </row>
    <row r="479" spans="1:13" ht="14.25" hidden="1" customHeight="1" x14ac:dyDescent="0.25">
      <c r="A479" s="284"/>
      <c r="B479" s="529"/>
      <c r="C479" s="523"/>
      <c r="D479" s="426"/>
      <c r="E479" s="426"/>
      <c r="F479" s="440"/>
      <c r="G479" s="441"/>
      <c r="H479" s="580"/>
      <c r="I479" s="581"/>
      <c r="J479" s="289"/>
      <c r="K479" s="582"/>
      <c r="L479" s="581"/>
      <c r="M479" s="285"/>
    </row>
    <row r="480" spans="1:13" ht="14.25" hidden="1" customHeight="1" x14ac:dyDescent="0.25">
      <c r="A480" s="284"/>
      <c r="B480" s="529"/>
      <c r="C480" s="523"/>
      <c r="D480" s="426"/>
      <c r="E480" s="426"/>
      <c r="F480" s="440"/>
      <c r="G480" s="441"/>
      <c r="H480" s="580"/>
      <c r="I480" s="581"/>
      <c r="J480" s="289"/>
      <c r="K480" s="582"/>
      <c r="L480" s="581"/>
      <c r="M480" s="285"/>
    </row>
    <row r="481" spans="1:13" ht="14.25" hidden="1" customHeight="1" x14ac:dyDescent="0.25">
      <c r="A481" s="284"/>
      <c r="B481" s="529"/>
      <c r="C481" s="523"/>
      <c r="D481" s="426"/>
      <c r="E481" s="426"/>
      <c r="F481" s="440"/>
      <c r="G481" s="441"/>
      <c r="H481" s="580"/>
      <c r="I481" s="581"/>
      <c r="J481" s="289"/>
      <c r="K481" s="582"/>
      <c r="L481" s="581"/>
      <c r="M481" s="285"/>
    </row>
    <row r="482" spans="1:13" ht="14.25" hidden="1" customHeight="1" thickBot="1" x14ac:dyDescent="0.3">
      <c r="A482" s="284"/>
      <c r="B482" s="529"/>
      <c r="C482" s="523"/>
      <c r="D482" s="426"/>
      <c r="E482" s="426"/>
      <c r="F482" s="440"/>
      <c r="G482" s="441"/>
      <c r="H482" s="580"/>
      <c r="I482" s="581"/>
      <c r="J482" s="289"/>
      <c r="K482" s="541"/>
      <c r="L482" s="538"/>
      <c r="M482" s="285"/>
    </row>
    <row r="483" spans="1:13" ht="14.25" hidden="1" customHeight="1" x14ac:dyDescent="0.25">
      <c r="A483" s="284"/>
      <c r="B483" s="529"/>
      <c r="C483" s="523"/>
      <c r="D483" s="426"/>
      <c r="E483" s="426"/>
      <c r="F483" s="440"/>
      <c r="G483" s="441"/>
      <c r="H483" s="580"/>
      <c r="I483" s="581"/>
      <c r="J483" s="289"/>
      <c r="L483" s="251"/>
      <c r="M483" s="285"/>
    </row>
    <row r="484" spans="1:13" ht="14.25" hidden="1" customHeight="1" thickBot="1" x14ac:dyDescent="0.3">
      <c r="A484" s="289"/>
      <c r="B484" s="532"/>
      <c r="C484" s="533"/>
      <c r="D484" s="534"/>
      <c r="E484" s="534"/>
      <c r="F484" s="535"/>
      <c r="G484" s="536"/>
      <c r="H484" s="537"/>
      <c r="I484" s="538"/>
      <c r="J484" s="289"/>
      <c r="L484" s="251"/>
      <c r="M484" s="289"/>
    </row>
    <row r="485" spans="1:13" ht="14.25" hidden="1" customHeight="1" x14ac:dyDescent="0.25">
      <c r="A485" s="289"/>
      <c r="F485" s="251"/>
      <c r="H485" s="251"/>
      <c r="I485" s="251"/>
      <c r="J485" s="289"/>
      <c r="L485" s="251"/>
      <c r="M485" s="289"/>
    </row>
    <row r="486" spans="1:13" ht="14.25" hidden="1" customHeight="1" x14ac:dyDescent="0.25">
      <c r="A486" s="289"/>
      <c r="F486" s="251"/>
      <c r="H486" s="251"/>
      <c r="I486" s="251"/>
      <c r="J486" s="289"/>
      <c r="L486" s="251"/>
      <c r="M486" s="289"/>
    </row>
    <row r="487" spans="1:13" ht="14.25" hidden="1" customHeight="1" x14ac:dyDescent="0.25">
      <c r="A487" s="289"/>
      <c r="F487" s="251"/>
      <c r="H487" s="251"/>
      <c r="I487" s="251"/>
      <c r="J487" s="289"/>
      <c r="L487" s="251"/>
      <c r="M487" s="289"/>
    </row>
    <row r="488" spans="1:13" ht="14.25" hidden="1" customHeight="1" x14ac:dyDescent="0.25">
      <c r="A488" s="289"/>
      <c r="F488" s="251"/>
      <c r="H488" s="251"/>
      <c r="I488" s="251"/>
      <c r="J488" s="289"/>
      <c r="L488" s="251"/>
      <c r="M488" s="289"/>
    </row>
    <row r="489" spans="1:13" ht="14.25" hidden="1" customHeight="1" x14ac:dyDescent="0.25">
      <c r="A489" s="289"/>
      <c r="F489" s="251"/>
      <c r="H489" s="251"/>
      <c r="I489" s="251"/>
      <c r="J489" s="289"/>
      <c r="L489" s="251"/>
      <c r="M489" s="289"/>
    </row>
    <row r="490" spans="1:13" ht="14.25" hidden="1" customHeight="1" x14ac:dyDescent="0.25">
      <c r="A490" s="289"/>
      <c r="F490" s="251"/>
      <c r="H490" s="251"/>
      <c r="I490" s="251"/>
      <c r="J490" s="289"/>
      <c r="L490" s="251"/>
      <c r="M490" s="289"/>
    </row>
    <row r="491" spans="1:13" ht="14.25" hidden="1" customHeight="1" x14ac:dyDescent="0.25">
      <c r="A491" s="289"/>
      <c r="F491" s="251"/>
      <c r="H491" s="251"/>
      <c r="I491" s="251"/>
      <c r="J491" s="289"/>
      <c r="L491" s="251"/>
      <c r="M491" s="289"/>
    </row>
    <row r="492" spans="1:13" ht="14.25" hidden="1" customHeight="1" x14ac:dyDescent="0.25">
      <c r="A492" s="289"/>
      <c r="F492" s="251"/>
      <c r="H492" s="251"/>
      <c r="I492" s="251"/>
      <c r="J492" s="289"/>
      <c r="L492" s="251"/>
      <c r="M492" s="289"/>
    </row>
    <row r="493" spans="1:13" ht="14.25" hidden="1" customHeight="1" x14ac:dyDescent="0.25">
      <c r="A493" s="289"/>
      <c r="F493" s="251"/>
      <c r="H493" s="251"/>
      <c r="I493" s="251"/>
      <c r="J493" s="289"/>
      <c r="L493" s="251"/>
      <c r="M493" s="289"/>
    </row>
    <row r="494" spans="1:13" ht="14.25" hidden="1" customHeight="1" x14ac:dyDescent="0.25">
      <c r="A494" s="289"/>
      <c r="F494" s="251"/>
      <c r="H494" s="251"/>
      <c r="I494" s="251"/>
      <c r="J494" s="289"/>
      <c r="L494" s="251"/>
      <c r="M494" s="289"/>
    </row>
    <row r="495" spans="1:13" ht="14.25" hidden="1" customHeight="1" x14ac:dyDescent="0.25">
      <c r="A495" s="289"/>
      <c r="F495" s="251"/>
      <c r="H495" s="251"/>
      <c r="I495" s="251"/>
      <c r="J495" s="289"/>
      <c r="L495" s="251"/>
      <c r="M495" s="289"/>
    </row>
    <row r="496" spans="1:13" ht="14.25" hidden="1" customHeight="1" x14ac:dyDescent="0.25">
      <c r="A496" s="289"/>
      <c r="F496" s="251"/>
      <c r="H496" s="251"/>
      <c r="I496" s="251"/>
      <c r="J496" s="289"/>
      <c r="L496" s="251"/>
      <c r="M496" s="289"/>
    </row>
    <row r="497" spans="1:13" ht="14.25" hidden="1" customHeight="1" x14ac:dyDescent="0.25">
      <c r="A497" s="289"/>
      <c r="F497" s="251"/>
      <c r="H497" s="251"/>
      <c r="I497" s="251"/>
      <c r="J497" s="289"/>
      <c r="L497" s="251"/>
      <c r="M497" s="289"/>
    </row>
    <row r="498" spans="1:13" ht="14.25" hidden="1" customHeight="1" x14ac:dyDescent="0.25">
      <c r="A498" s="289"/>
      <c r="F498" s="251"/>
      <c r="H498" s="251"/>
      <c r="I498" s="251"/>
      <c r="J498" s="289"/>
      <c r="L498" s="251"/>
      <c r="M498" s="289"/>
    </row>
    <row r="499" spans="1:13" ht="14.25" hidden="1" customHeight="1" x14ac:dyDescent="0.25">
      <c r="A499" s="289"/>
      <c r="F499" s="251"/>
      <c r="H499" s="251"/>
      <c r="I499" s="251"/>
      <c r="J499" s="289"/>
      <c r="L499" s="251"/>
      <c r="M499" s="289"/>
    </row>
    <row r="500" spans="1:13" ht="14.25" hidden="1" customHeight="1" x14ac:dyDescent="0.25">
      <c r="A500" s="289"/>
      <c r="F500" s="251"/>
      <c r="H500" s="251"/>
      <c r="I500" s="251"/>
      <c r="J500" s="289"/>
      <c r="L500" s="251"/>
      <c r="M500" s="289"/>
    </row>
    <row r="501" spans="1:13" ht="14.25" hidden="1" customHeight="1" x14ac:dyDescent="0.25">
      <c r="A501" s="289"/>
      <c r="F501" s="251"/>
      <c r="H501" s="251"/>
      <c r="I501" s="251"/>
      <c r="J501" s="289"/>
      <c r="L501" s="251"/>
      <c r="M501" s="289"/>
    </row>
    <row r="502" spans="1:13" ht="14.25" hidden="1" customHeight="1" x14ac:dyDescent="0.25">
      <c r="A502" s="289"/>
      <c r="F502" s="251"/>
      <c r="H502" s="251"/>
      <c r="I502" s="251"/>
      <c r="J502" s="289"/>
      <c r="L502" s="251"/>
      <c r="M502" s="289"/>
    </row>
    <row r="503" spans="1:13" ht="14.25" hidden="1" customHeight="1" x14ac:dyDescent="0.25">
      <c r="A503" s="289"/>
      <c r="F503" s="251"/>
      <c r="H503" s="251"/>
      <c r="I503" s="251"/>
      <c r="J503" s="289"/>
      <c r="L503" s="251"/>
      <c r="M503" s="289"/>
    </row>
    <row r="504" spans="1:13" ht="14.25" hidden="1" customHeight="1" x14ac:dyDescent="0.25">
      <c r="A504" s="289"/>
      <c r="F504" s="251"/>
      <c r="H504" s="251"/>
      <c r="I504" s="251"/>
      <c r="J504" s="289"/>
      <c r="L504" s="251"/>
      <c r="M504" s="289"/>
    </row>
    <row r="505" spans="1:13" ht="14.25" hidden="1" customHeight="1" x14ac:dyDescent="0.25">
      <c r="A505" s="289"/>
      <c r="F505" s="251"/>
      <c r="H505" s="251"/>
      <c r="I505" s="251"/>
      <c r="J505" s="289"/>
      <c r="L505" s="251"/>
      <c r="M505" s="289"/>
    </row>
    <row r="506" spans="1:13" ht="14.25" hidden="1" customHeight="1" x14ac:dyDescent="0.25">
      <c r="A506" s="289"/>
      <c r="F506" s="251"/>
      <c r="H506" s="251"/>
      <c r="I506" s="251"/>
      <c r="J506" s="289"/>
      <c r="L506" s="251"/>
      <c r="M506" s="289"/>
    </row>
    <row r="507" spans="1:13" ht="14.25" hidden="1" customHeight="1" x14ac:dyDescent="0.25">
      <c r="A507" s="289"/>
      <c r="F507" s="251"/>
      <c r="H507" s="251"/>
      <c r="I507" s="251"/>
      <c r="J507" s="289"/>
      <c r="L507" s="251"/>
      <c r="M507" s="289"/>
    </row>
    <row r="508" spans="1:13" ht="14.25" hidden="1" customHeight="1" x14ac:dyDescent="0.25">
      <c r="A508" s="289"/>
      <c r="F508" s="251"/>
      <c r="H508" s="251"/>
      <c r="I508" s="251"/>
      <c r="J508" s="289"/>
      <c r="L508" s="251"/>
      <c r="M508" s="289"/>
    </row>
    <row r="509" spans="1:13" ht="14.25" hidden="1" customHeight="1" x14ac:dyDescent="0.25">
      <c r="A509" s="289"/>
      <c r="F509" s="251"/>
      <c r="H509" s="251"/>
      <c r="I509" s="251"/>
      <c r="J509" s="289"/>
      <c r="L509" s="251"/>
      <c r="M509" s="289"/>
    </row>
    <row r="510" spans="1:13" ht="14.25" hidden="1" customHeight="1" x14ac:dyDescent="0.25">
      <c r="A510" s="289"/>
      <c r="F510" s="251"/>
      <c r="H510" s="251"/>
      <c r="I510" s="251"/>
      <c r="J510" s="289"/>
      <c r="L510" s="251"/>
      <c r="M510" s="289"/>
    </row>
    <row r="511" spans="1:13" ht="14.25" hidden="1" customHeight="1" x14ac:dyDescent="0.25">
      <c r="A511" s="289"/>
      <c r="F511" s="251"/>
      <c r="H511" s="251"/>
      <c r="I511" s="251"/>
      <c r="J511" s="289"/>
      <c r="L511" s="251"/>
      <c r="M511" s="289"/>
    </row>
    <row r="512" spans="1:13" ht="14.25" hidden="1" customHeight="1" x14ac:dyDescent="0.25">
      <c r="A512" s="289"/>
      <c r="F512" s="251"/>
      <c r="H512" s="251"/>
      <c r="I512" s="251"/>
      <c r="J512" s="289"/>
      <c r="L512" s="251"/>
      <c r="M512" s="289"/>
    </row>
    <row r="513" spans="1:13" ht="14.25" hidden="1" customHeight="1" x14ac:dyDescent="0.25">
      <c r="A513" s="289"/>
      <c r="F513" s="251"/>
      <c r="H513" s="251"/>
      <c r="I513" s="251"/>
      <c r="J513" s="289"/>
      <c r="L513" s="251"/>
      <c r="M513" s="289"/>
    </row>
    <row r="514" spans="1:13" ht="14.25" hidden="1" customHeight="1" x14ac:dyDescent="0.25">
      <c r="A514" s="289"/>
      <c r="F514" s="251"/>
      <c r="H514" s="251"/>
      <c r="I514" s="251"/>
      <c r="J514" s="289"/>
      <c r="L514" s="251"/>
      <c r="M514" s="289"/>
    </row>
    <row r="515" spans="1:13" ht="14.25" hidden="1" customHeight="1" x14ac:dyDescent="0.25">
      <c r="A515" s="289"/>
      <c r="F515" s="251"/>
      <c r="H515" s="251"/>
      <c r="I515" s="251"/>
      <c r="J515" s="289"/>
      <c r="L515" s="251"/>
      <c r="M515" s="289"/>
    </row>
    <row r="516" spans="1:13" ht="14.25" hidden="1" customHeight="1" x14ac:dyDescent="0.25">
      <c r="A516" s="289"/>
      <c r="F516" s="251"/>
      <c r="H516" s="251"/>
      <c r="I516" s="251"/>
      <c r="J516" s="289"/>
      <c r="L516" s="251"/>
      <c r="M516" s="289"/>
    </row>
    <row r="517" spans="1:13" ht="14.25" hidden="1" customHeight="1" x14ac:dyDescent="0.25">
      <c r="A517" s="289"/>
      <c r="F517" s="251"/>
      <c r="H517" s="251"/>
      <c r="I517" s="251"/>
      <c r="J517" s="289"/>
      <c r="L517" s="251"/>
      <c r="M517" s="289"/>
    </row>
    <row r="518" spans="1:13" ht="14.25" hidden="1" customHeight="1" x14ac:dyDescent="0.25">
      <c r="A518" s="289"/>
      <c r="F518" s="251"/>
      <c r="H518" s="251"/>
      <c r="I518" s="251"/>
      <c r="J518" s="289"/>
      <c r="L518" s="251"/>
      <c r="M518" s="289"/>
    </row>
    <row r="519" spans="1:13" ht="14.25" hidden="1" customHeight="1" x14ac:dyDescent="0.25">
      <c r="A519" s="289"/>
      <c r="F519" s="251"/>
      <c r="H519" s="251"/>
      <c r="I519" s="251"/>
      <c r="J519" s="289"/>
      <c r="L519" s="251"/>
      <c r="M519" s="289"/>
    </row>
    <row r="520" spans="1:13" ht="14.25" hidden="1" customHeight="1" x14ac:dyDescent="0.25">
      <c r="A520" s="289"/>
      <c r="F520" s="251"/>
      <c r="H520" s="251"/>
      <c r="I520" s="251"/>
      <c r="J520" s="289"/>
      <c r="L520" s="251"/>
      <c r="M520" s="289"/>
    </row>
    <row r="521" spans="1:13" ht="14.25" hidden="1" customHeight="1" x14ac:dyDescent="0.25">
      <c r="A521" s="289"/>
      <c r="F521" s="251"/>
      <c r="H521" s="251"/>
      <c r="I521" s="251"/>
      <c r="J521" s="289"/>
      <c r="L521" s="251"/>
      <c r="M521" s="289"/>
    </row>
    <row r="522" spans="1:13" ht="14.25" hidden="1" customHeight="1" x14ac:dyDescent="0.25">
      <c r="A522" s="289"/>
      <c r="F522" s="251"/>
      <c r="H522" s="251"/>
      <c r="I522" s="251"/>
      <c r="J522" s="289"/>
      <c r="L522" s="251"/>
      <c r="M522" s="289"/>
    </row>
    <row r="523" spans="1:13" ht="14.25" hidden="1" customHeight="1" x14ac:dyDescent="0.25">
      <c r="A523" s="289"/>
      <c r="F523" s="251"/>
      <c r="H523" s="251"/>
      <c r="I523" s="251"/>
      <c r="J523" s="289"/>
      <c r="L523" s="251"/>
      <c r="M523" s="289"/>
    </row>
    <row r="524" spans="1:13" ht="14.25" hidden="1" customHeight="1" x14ac:dyDescent="0.25">
      <c r="A524" s="289"/>
      <c r="F524" s="251"/>
      <c r="H524" s="251"/>
      <c r="I524" s="251"/>
      <c r="J524" s="289"/>
      <c r="L524" s="251"/>
      <c r="M524" s="289"/>
    </row>
    <row r="525" spans="1:13" ht="14.25" hidden="1" customHeight="1" x14ac:dyDescent="0.25">
      <c r="A525" s="289"/>
      <c r="F525" s="251"/>
      <c r="H525" s="251"/>
      <c r="I525" s="251"/>
      <c r="J525" s="289"/>
      <c r="L525" s="251"/>
      <c r="M525" s="289"/>
    </row>
    <row r="526" spans="1:13" ht="14.25" hidden="1" customHeight="1" x14ac:dyDescent="0.25">
      <c r="A526" s="289"/>
      <c r="F526" s="251"/>
      <c r="H526" s="251"/>
      <c r="I526" s="251"/>
      <c r="J526" s="289"/>
      <c r="L526" s="251"/>
      <c r="M526" s="289"/>
    </row>
    <row r="527" spans="1:13" ht="14.25" hidden="1" customHeight="1" x14ac:dyDescent="0.25">
      <c r="A527" s="289"/>
      <c r="F527" s="251"/>
      <c r="H527" s="251"/>
      <c r="I527" s="251"/>
      <c r="J527" s="289"/>
      <c r="L527" s="251"/>
      <c r="M527" s="289"/>
    </row>
    <row r="528" spans="1:13" ht="14.25" hidden="1" customHeight="1" x14ac:dyDescent="0.25">
      <c r="A528" s="289"/>
      <c r="F528" s="251"/>
      <c r="H528" s="251"/>
      <c r="I528" s="251"/>
      <c r="J528" s="289"/>
      <c r="L528" s="251"/>
      <c r="M528" s="289"/>
    </row>
    <row r="529" spans="1:13" ht="14.25" hidden="1" customHeight="1" x14ac:dyDescent="0.25">
      <c r="A529" s="289"/>
      <c r="F529" s="251"/>
      <c r="H529" s="251"/>
      <c r="I529" s="251"/>
      <c r="J529" s="289"/>
      <c r="L529" s="251"/>
      <c r="M529" s="289"/>
    </row>
    <row r="530" spans="1:13" ht="14.25" hidden="1" customHeight="1" x14ac:dyDescent="0.25">
      <c r="A530" s="289"/>
      <c r="F530" s="251"/>
      <c r="H530" s="251"/>
      <c r="I530" s="251"/>
      <c r="J530" s="289"/>
      <c r="L530" s="251"/>
      <c r="M530" s="289"/>
    </row>
    <row r="531" spans="1:13" ht="14.25" hidden="1" customHeight="1" x14ac:dyDescent="0.25">
      <c r="A531" s="289"/>
      <c r="F531" s="251"/>
      <c r="H531" s="251"/>
      <c r="I531" s="251"/>
      <c r="J531" s="289"/>
      <c r="L531" s="251"/>
      <c r="M531" s="289"/>
    </row>
    <row r="532" spans="1:13" ht="14.25" hidden="1" customHeight="1" x14ac:dyDescent="0.25">
      <c r="A532" s="289"/>
      <c r="F532" s="251"/>
      <c r="H532" s="251"/>
      <c r="I532" s="251"/>
      <c r="J532" s="289"/>
      <c r="L532" s="251"/>
      <c r="M532" s="289"/>
    </row>
    <row r="533" spans="1:13" ht="14.25" hidden="1" customHeight="1" x14ac:dyDescent="0.25">
      <c r="A533" s="289"/>
      <c r="F533" s="251"/>
      <c r="H533" s="251"/>
      <c r="I533" s="251"/>
      <c r="J533" s="289"/>
      <c r="L533" s="251"/>
      <c r="M533" s="289"/>
    </row>
    <row r="534" spans="1:13" ht="14.25" hidden="1" customHeight="1" x14ac:dyDescent="0.25">
      <c r="A534" s="289"/>
      <c r="F534" s="251"/>
      <c r="H534" s="251"/>
      <c r="I534" s="251"/>
      <c r="J534" s="289"/>
      <c r="L534" s="251"/>
      <c r="M534" s="289"/>
    </row>
    <row r="535" spans="1:13" ht="14.25" hidden="1" customHeight="1" x14ac:dyDescent="0.25">
      <c r="A535" s="289"/>
      <c r="F535" s="251"/>
      <c r="H535" s="251"/>
      <c r="I535" s="251"/>
      <c r="J535" s="289"/>
      <c r="L535" s="251"/>
      <c r="M535" s="289"/>
    </row>
    <row r="536" spans="1:13" ht="14.25" hidden="1" customHeight="1" x14ac:dyDescent="0.25">
      <c r="A536" s="289"/>
      <c r="F536" s="251"/>
      <c r="H536" s="251"/>
      <c r="I536" s="251"/>
      <c r="J536" s="289"/>
      <c r="L536" s="251"/>
      <c r="M536" s="289"/>
    </row>
    <row r="537" spans="1:13" ht="14.25" hidden="1" customHeight="1" x14ac:dyDescent="0.25">
      <c r="A537" s="289"/>
      <c r="F537" s="251"/>
      <c r="H537" s="251"/>
      <c r="I537" s="251"/>
      <c r="J537" s="289"/>
      <c r="L537" s="251"/>
      <c r="M537" s="289"/>
    </row>
    <row r="538" spans="1:13" ht="14.25" hidden="1" customHeight="1" x14ac:dyDescent="0.25">
      <c r="A538" s="289"/>
      <c r="F538" s="251"/>
      <c r="H538" s="251"/>
      <c r="I538" s="251"/>
      <c r="J538" s="289"/>
      <c r="L538" s="251"/>
      <c r="M538" s="289"/>
    </row>
    <row r="539" spans="1:13" ht="14.25" hidden="1" customHeight="1" x14ac:dyDescent="0.25">
      <c r="A539" s="289"/>
      <c r="F539" s="251"/>
      <c r="H539" s="251"/>
      <c r="I539" s="251"/>
      <c r="J539" s="289"/>
      <c r="L539" s="251"/>
      <c r="M539" s="289"/>
    </row>
    <row r="540" spans="1:13" ht="14.25" hidden="1" customHeight="1" x14ac:dyDescent="0.25">
      <c r="A540" s="289"/>
      <c r="F540" s="251"/>
      <c r="H540" s="251"/>
      <c r="I540" s="251"/>
      <c r="J540" s="289"/>
      <c r="L540" s="251"/>
      <c r="M540" s="289"/>
    </row>
    <row r="541" spans="1:13" ht="14.25" hidden="1" customHeight="1" x14ac:dyDescent="0.25">
      <c r="A541" s="289"/>
      <c r="F541" s="251"/>
      <c r="H541" s="251"/>
      <c r="I541" s="251"/>
      <c r="J541" s="289"/>
      <c r="L541" s="251"/>
      <c r="M541" s="289"/>
    </row>
    <row r="542" spans="1:13" ht="14.25" hidden="1" customHeight="1" x14ac:dyDescent="0.25">
      <c r="A542" s="289"/>
      <c r="F542" s="251"/>
      <c r="H542" s="251"/>
      <c r="I542" s="251"/>
      <c r="J542" s="289"/>
      <c r="L542" s="251"/>
      <c r="M542" s="289"/>
    </row>
    <row r="543" spans="1:13" ht="14.25" hidden="1" customHeight="1" x14ac:dyDescent="0.25">
      <c r="A543" s="289"/>
      <c r="F543" s="251"/>
      <c r="H543" s="251"/>
      <c r="I543" s="251"/>
      <c r="J543" s="289"/>
      <c r="L543" s="251"/>
      <c r="M543" s="289"/>
    </row>
    <row r="544" spans="1:13" ht="14.25" hidden="1" customHeight="1" x14ac:dyDescent="0.25">
      <c r="A544" s="289"/>
      <c r="F544" s="251"/>
      <c r="H544" s="251"/>
      <c r="I544" s="251"/>
      <c r="J544" s="289"/>
      <c r="L544" s="251"/>
      <c r="M544" s="289"/>
    </row>
    <row r="545" spans="1:13" ht="14.25" hidden="1" customHeight="1" x14ac:dyDescent="0.25">
      <c r="A545" s="289"/>
      <c r="F545" s="251"/>
      <c r="H545" s="251"/>
      <c r="I545" s="251"/>
      <c r="J545" s="289"/>
      <c r="L545" s="251"/>
      <c r="M545" s="289"/>
    </row>
    <row r="546" spans="1:13" ht="14.25" hidden="1" customHeight="1" x14ac:dyDescent="0.25">
      <c r="A546" s="289"/>
      <c r="F546" s="251"/>
      <c r="H546" s="251"/>
      <c r="I546" s="251"/>
      <c r="J546" s="289"/>
      <c r="L546" s="251"/>
      <c r="M546" s="289"/>
    </row>
    <row r="547" spans="1:13" ht="14.25" hidden="1" customHeight="1" x14ac:dyDescent="0.25">
      <c r="A547" s="289"/>
      <c r="F547" s="251"/>
      <c r="H547" s="251"/>
      <c r="I547" s="251"/>
      <c r="J547" s="289"/>
      <c r="L547" s="251"/>
      <c r="M547" s="289"/>
    </row>
    <row r="548" spans="1:13" ht="14.25" hidden="1" customHeight="1" x14ac:dyDescent="0.25">
      <c r="A548" s="289"/>
      <c r="F548" s="251"/>
      <c r="H548" s="251"/>
      <c r="I548" s="251"/>
      <c r="J548" s="289"/>
      <c r="L548" s="251"/>
      <c r="M548" s="289"/>
    </row>
    <row r="549" spans="1:13" ht="14.25" hidden="1" customHeight="1" x14ac:dyDescent="0.25">
      <c r="A549" s="289"/>
      <c r="F549" s="251"/>
      <c r="H549" s="251"/>
      <c r="I549" s="251"/>
      <c r="J549" s="289"/>
      <c r="L549" s="251"/>
      <c r="M549" s="289"/>
    </row>
    <row r="550" spans="1:13" ht="14.25" hidden="1" customHeight="1" x14ac:dyDescent="0.25">
      <c r="A550" s="289"/>
      <c r="F550" s="251"/>
      <c r="H550" s="251"/>
      <c r="I550" s="251"/>
      <c r="J550" s="289"/>
      <c r="L550" s="251"/>
      <c r="M550" s="289"/>
    </row>
    <row r="551" spans="1:13" ht="14.25" hidden="1" customHeight="1" x14ac:dyDescent="0.25">
      <c r="A551" s="289"/>
      <c r="F551" s="251"/>
      <c r="H551" s="251"/>
      <c r="I551" s="251"/>
      <c r="J551" s="289"/>
      <c r="L551" s="251"/>
      <c r="M551" s="289"/>
    </row>
    <row r="552" spans="1:13" ht="14.25" hidden="1" customHeight="1" x14ac:dyDescent="0.25">
      <c r="A552" s="289"/>
      <c r="F552" s="251"/>
      <c r="H552" s="251"/>
      <c r="I552" s="251"/>
      <c r="J552" s="289"/>
      <c r="L552" s="251"/>
      <c r="M552" s="289"/>
    </row>
    <row r="553" spans="1:13" ht="14.25" hidden="1" customHeight="1" x14ac:dyDescent="0.25">
      <c r="A553" s="289"/>
      <c r="F553" s="251"/>
      <c r="H553" s="251"/>
      <c r="I553" s="251"/>
      <c r="J553" s="289"/>
      <c r="L553" s="251"/>
      <c r="M553" s="289"/>
    </row>
    <row r="554" spans="1:13" ht="14.25" hidden="1" customHeight="1" x14ac:dyDescent="0.25">
      <c r="A554" s="289"/>
      <c r="F554" s="251"/>
      <c r="H554" s="251"/>
      <c r="I554" s="251"/>
      <c r="J554" s="289"/>
      <c r="L554" s="251"/>
      <c r="M554" s="289"/>
    </row>
    <row r="555" spans="1:13" ht="14.25" hidden="1" customHeight="1" x14ac:dyDescent="0.25">
      <c r="A555" s="289"/>
      <c r="F555" s="251"/>
      <c r="H555" s="251"/>
      <c r="I555" s="251"/>
      <c r="J555" s="289"/>
      <c r="L555" s="251"/>
      <c r="M555" s="289"/>
    </row>
    <row r="556" spans="1:13" ht="14.25" hidden="1" customHeight="1" x14ac:dyDescent="0.25">
      <c r="A556" s="289"/>
      <c r="F556" s="251"/>
      <c r="H556" s="251"/>
      <c r="I556" s="251"/>
      <c r="J556" s="289"/>
      <c r="L556" s="251"/>
      <c r="M556" s="289"/>
    </row>
    <row r="557" spans="1:13" ht="14.25" hidden="1" customHeight="1" x14ac:dyDescent="0.25">
      <c r="A557" s="289"/>
      <c r="F557" s="251"/>
      <c r="H557" s="251"/>
      <c r="I557" s="251"/>
      <c r="J557" s="289"/>
      <c r="L557" s="251"/>
      <c r="M557" s="289"/>
    </row>
    <row r="558" spans="1:13" ht="14.25" hidden="1" customHeight="1" x14ac:dyDescent="0.25">
      <c r="A558" s="289"/>
      <c r="F558" s="251"/>
      <c r="H558" s="251"/>
      <c r="I558" s="251"/>
      <c r="J558" s="289"/>
      <c r="L558" s="251"/>
      <c r="M558" s="289"/>
    </row>
    <row r="559" spans="1:13" ht="14.25" hidden="1" customHeight="1" x14ac:dyDescent="0.25">
      <c r="A559" s="289"/>
      <c r="F559" s="251"/>
      <c r="H559" s="251"/>
      <c r="I559" s="251"/>
      <c r="J559" s="289"/>
      <c r="L559" s="251"/>
      <c r="M559" s="289"/>
    </row>
    <row r="560" spans="1:13" ht="14.25" hidden="1" customHeight="1" x14ac:dyDescent="0.25">
      <c r="A560" s="289"/>
      <c r="F560" s="251"/>
      <c r="H560" s="251"/>
      <c r="I560" s="251"/>
      <c r="J560" s="289"/>
      <c r="L560" s="251"/>
      <c r="M560" s="289"/>
    </row>
    <row r="561" spans="1:13" ht="14.25" hidden="1" customHeight="1" x14ac:dyDescent="0.25">
      <c r="A561" s="289"/>
      <c r="F561" s="251"/>
      <c r="H561" s="251"/>
      <c r="I561" s="251"/>
      <c r="J561" s="289"/>
      <c r="L561" s="251"/>
      <c r="M561" s="289"/>
    </row>
    <row r="562" spans="1:13" ht="14.25" hidden="1" customHeight="1" x14ac:dyDescent="0.25">
      <c r="A562" s="289"/>
      <c r="F562" s="251"/>
      <c r="H562" s="251"/>
      <c r="I562" s="251"/>
      <c r="J562" s="289"/>
      <c r="L562" s="251"/>
      <c r="M562" s="289"/>
    </row>
    <row r="563" spans="1:13" ht="14.25" hidden="1" customHeight="1" x14ac:dyDescent="0.25">
      <c r="A563" s="289"/>
      <c r="F563" s="251"/>
      <c r="H563" s="251"/>
      <c r="I563" s="251"/>
      <c r="J563" s="289"/>
      <c r="L563" s="251"/>
      <c r="M563" s="289"/>
    </row>
    <row r="564" spans="1:13" ht="14.25" hidden="1" customHeight="1" x14ac:dyDescent="0.25">
      <c r="A564" s="289"/>
      <c r="F564" s="251"/>
      <c r="H564" s="251"/>
      <c r="I564" s="251"/>
      <c r="J564" s="289"/>
      <c r="L564" s="251"/>
      <c r="M564" s="289"/>
    </row>
    <row r="565" spans="1:13" ht="14.25" hidden="1" customHeight="1" x14ac:dyDescent="0.25">
      <c r="A565" s="289"/>
      <c r="F565" s="251"/>
      <c r="H565" s="251"/>
      <c r="I565" s="251"/>
      <c r="J565" s="289"/>
      <c r="L565" s="251"/>
      <c r="M565" s="289"/>
    </row>
    <row r="566" spans="1:13" ht="14.25" hidden="1" customHeight="1" x14ac:dyDescent="0.25">
      <c r="A566" s="289"/>
      <c r="F566" s="251"/>
      <c r="H566" s="251"/>
      <c r="I566" s="251"/>
      <c r="J566" s="289"/>
      <c r="L566" s="251"/>
      <c r="M566" s="289"/>
    </row>
    <row r="567" spans="1:13" ht="14.25" hidden="1" customHeight="1" x14ac:dyDescent="0.25">
      <c r="A567" s="289"/>
      <c r="F567" s="251"/>
      <c r="H567" s="251"/>
      <c r="I567" s="251"/>
      <c r="J567" s="289"/>
      <c r="L567" s="251"/>
      <c r="M567" s="289"/>
    </row>
    <row r="568" spans="1:13" ht="14.25" hidden="1" customHeight="1" x14ac:dyDescent="0.25">
      <c r="A568" s="289"/>
      <c r="F568" s="251"/>
      <c r="H568" s="251"/>
      <c r="I568" s="251"/>
      <c r="J568" s="289"/>
      <c r="L568" s="251"/>
      <c r="M568" s="289"/>
    </row>
    <row r="569" spans="1:13" ht="14.25" hidden="1" customHeight="1" x14ac:dyDescent="0.25">
      <c r="A569" s="289"/>
      <c r="F569" s="251"/>
      <c r="H569" s="251"/>
      <c r="I569" s="251"/>
      <c r="J569" s="289"/>
      <c r="L569" s="251"/>
      <c r="M569" s="289"/>
    </row>
    <row r="570" spans="1:13" ht="14.25" hidden="1" customHeight="1" x14ac:dyDescent="0.25">
      <c r="A570" s="289"/>
      <c r="F570" s="251"/>
      <c r="H570" s="251"/>
      <c r="I570" s="251"/>
      <c r="J570" s="289"/>
      <c r="L570" s="251"/>
      <c r="M570" s="289"/>
    </row>
    <row r="571" spans="1:13" ht="14.25" hidden="1" customHeight="1" x14ac:dyDescent="0.25">
      <c r="A571" s="289"/>
      <c r="F571" s="251"/>
      <c r="H571" s="251"/>
      <c r="I571" s="251"/>
      <c r="J571" s="289"/>
      <c r="L571" s="251"/>
      <c r="M571" s="289"/>
    </row>
    <row r="572" spans="1:13" ht="14.25" hidden="1" customHeight="1" x14ac:dyDescent="0.25">
      <c r="A572" s="289"/>
      <c r="F572" s="251"/>
      <c r="H572" s="251"/>
      <c r="I572" s="251"/>
      <c r="J572" s="289"/>
      <c r="L572" s="251"/>
      <c r="M572" s="289"/>
    </row>
    <row r="573" spans="1:13" ht="14.25" hidden="1" customHeight="1" x14ac:dyDescent="0.25">
      <c r="A573" s="289"/>
      <c r="F573" s="251"/>
      <c r="H573" s="251"/>
      <c r="I573" s="251"/>
      <c r="J573" s="289"/>
      <c r="L573" s="251"/>
      <c r="M573" s="289"/>
    </row>
    <row r="574" spans="1:13" ht="14.25" hidden="1" customHeight="1" x14ac:dyDescent="0.25">
      <c r="A574" s="289"/>
      <c r="F574" s="251"/>
      <c r="H574" s="251"/>
      <c r="I574" s="251"/>
      <c r="J574" s="289"/>
      <c r="L574" s="251"/>
      <c r="M574" s="289"/>
    </row>
    <row r="575" spans="1:13" ht="14.25" hidden="1" customHeight="1" x14ac:dyDescent="0.25">
      <c r="A575" s="289"/>
      <c r="F575" s="251"/>
      <c r="H575" s="251"/>
      <c r="I575" s="251"/>
      <c r="J575" s="289"/>
      <c r="L575" s="251"/>
      <c r="M575" s="289"/>
    </row>
    <row r="576" spans="1:13" ht="14.25" hidden="1" customHeight="1" x14ac:dyDescent="0.25">
      <c r="A576" s="289"/>
      <c r="F576" s="251"/>
      <c r="H576" s="251"/>
      <c r="I576" s="251"/>
      <c r="J576" s="289"/>
      <c r="L576" s="251"/>
      <c r="M576" s="289"/>
    </row>
    <row r="577" spans="1:13" ht="14.25" hidden="1" customHeight="1" x14ac:dyDescent="0.25">
      <c r="A577" s="289"/>
      <c r="F577" s="251"/>
      <c r="H577" s="251"/>
      <c r="I577" s="251"/>
      <c r="J577" s="289"/>
      <c r="L577" s="251"/>
      <c r="M577" s="289"/>
    </row>
    <row r="578" spans="1:13" ht="14.25" hidden="1" customHeight="1" x14ac:dyDescent="0.25">
      <c r="A578" s="289"/>
      <c r="F578" s="251"/>
      <c r="H578" s="251"/>
      <c r="I578" s="251"/>
      <c r="J578" s="289"/>
      <c r="L578" s="251"/>
      <c r="M578" s="289"/>
    </row>
    <row r="579" spans="1:13" ht="14.25" hidden="1" customHeight="1" x14ac:dyDescent="0.25">
      <c r="A579" s="289"/>
      <c r="F579" s="251"/>
      <c r="H579" s="251"/>
      <c r="I579" s="251"/>
      <c r="J579" s="289"/>
      <c r="L579" s="251"/>
      <c r="M579" s="289"/>
    </row>
    <row r="580" spans="1:13" ht="14.25" hidden="1" customHeight="1" x14ac:dyDescent="0.25">
      <c r="A580" s="289"/>
      <c r="F580" s="251"/>
      <c r="H580" s="251"/>
      <c r="I580" s="251"/>
      <c r="J580" s="289"/>
      <c r="L580" s="251"/>
      <c r="M580" s="289"/>
    </row>
    <row r="581" spans="1:13" ht="14.25" hidden="1" customHeight="1" x14ac:dyDescent="0.25">
      <c r="A581" s="289"/>
      <c r="F581" s="251"/>
      <c r="H581" s="251"/>
      <c r="I581" s="251"/>
      <c r="J581" s="289"/>
      <c r="L581" s="251"/>
      <c r="M581" s="289"/>
    </row>
    <row r="582" spans="1:13" ht="14.25" hidden="1" customHeight="1" x14ac:dyDescent="0.25">
      <c r="A582" s="289"/>
      <c r="F582" s="251"/>
      <c r="H582" s="251"/>
      <c r="I582" s="251"/>
      <c r="J582" s="289"/>
      <c r="L582" s="251"/>
      <c r="M582" s="289"/>
    </row>
    <row r="583" spans="1:13" ht="14.25" hidden="1" customHeight="1" x14ac:dyDescent="0.25">
      <c r="A583" s="289"/>
      <c r="F583" s="251"/>
      <c r="H583" s="251"/>
      <c r="I583" s="251"/>
      <c r="J583" s="289"/>
      <c r="L583" s="251"/>
      <c r="M583" s="289"/>
    </row>
    <row r="584" spans="1:13" ht="14.25" hidden="1" customHeight="1" x14ac:dyDescent="0.25">
      <c r="A584" s="289"/>
      <c r="F584" s="251"/>
      <c r="H584" s="251"/>
      <c r="I584" s="251"/>
      <c r="J584" s="289"/>
      <c r="L584" s="251"/>
      <c r="M584" s="289"/>
    </row>
    <row r="585" spans="1:13" ht="14.25" hidden="1" customHeight="1" x14ac:dyDescent="0.25">
      <c r="A585" s="289"/>
      <c r="F585" s="251"/>
      <c r="H585" s="251"/>
      <c r="I585" s="251"/>
      <c r="J585" s="289"/>
      <c r="L585" s="251"/>
      <c r="M585" s="289"/>
    </row>
    <row r="586" spans="1:13" ht="14.25" hidden="1" customHeight="1" x14ac:dyDescent="0.25">
      <c r="A586" s="289"/>
      <c r="F586" s="251"/>
      <c r="H586" s="251"/>
      <c r="I586" s="251"/>
      <c r="J586" s="289"/>
      <c r="L586" s="251"/>
      <c r="M586" s="289"/>
    </row>
    <row r="587" spans="1:13" ht="14.25" hidden="1" customHeight="1" x14ac:dyDescent="0.25">
      <c r="A587" s="289"/>
      <c r="F587" s="251"/>
      <c r="H587" s="251"/>
      <c r="I587" s="251"/>
      <c r="J587" s="289"/>
      <c r="L587" s="251"/>
      <c r="M587" s="289"/>
    </row>
    <row r="588" spans="1:13" ht="14.25" hidden="1" customHeight="1" x14ac:dyDescent="0.25">
      <c r="A588" s="289"/>
      <c r="F588" s="251"/>
      <c r="H588" s="251"/>
      <c r="I588" s="251"/>
      <c r="J588" s="289"/>
      <c r="L588" s="251"/>
      <c r="M588" s="289"/>
    </row>
    <row r="589" spans="1:13" ht="14.25" hidden="1" customHeight="1" x14ac:dyDescent="0.25">
      <c r="A589" s="289"/>
      <c r="F589" s="251"/>
      <c r="H589" s="251"/>
      <c r="I589" s="251"/>
      <c r="J589" s="289"/>
      <c r="L589" s="251"/>
      <c r="M589" s="289"/>
    </row>
    <row r="590" spans="1:13" ht="14.25" hidden="1" customHeight="1" x14ac:dyDescent="0.25">
      <c r="A590" s="289"/>
      <c r="F590" s="251"/>
      <c r="H590" s="251"/>
      <c r="I590" s="251"/>
      <c r="J590" s="289"/>
      <c r="L590" s="251"/>
      <c r="M590" s="289"/>
    </row>
    <row r="591" spans="1:13" ht="14.25" hidden="1" customHeight="1" x14ac:dyDescent="0.25">
      <c r="A591" s="289"/>
      <c r="F591" s="251"/>
      <c r="H591" s="251"/>
      <c r="I591" s="251"/>
      <c r="J591" s="289"/>
      <c r="L591" s="251"/>
      <c r="M591" s="289"/>
    </row>
    <row r="592" spans="1:13" ht="14.25" hidden="1" customHeight="1" x14ac:dyDescent="0.25">
      <c r="A592" s="289"/>
      <c r="F592" s="251"/>
      <c r="H592" s="251"/>
      <c r="I592" s="251"/>
      <c r="J592" s="289"/>
      <c r="L592" s="251"/>
      <c r="M592" s="289"/>
    </row>
    <row r="593" spans="1:13" ht="14.25" hidden="1" customHeight="1" x14ac:dyDescent="0.25">
      <c r="A593" s="289"/>
      <c r="F593" s="251"/>
      <c r="H593" s="251"/>
      <c r="I593" s="251"/>
      <c r="J593" s="289"/>
      <c r="L593" s="251"/>
      <c r="M593" s="289"/>
    </row>
    <row r="594" spans="1:13" ht="14.25" hidden="1" customHeight="1" x14ac:dyDescent="0.25">
      <c r="A594" s="289"/>
      <c r="F594" s="251"/>
      <c r="H594" s="251"/>
      <c r="I594" s="251"/>
      <c r="J594" s="289"/>
      <c r="L594" s="251"/>
      <c r="M594" s="289"/>
    </row>
    <row r="595" spans="1:13" ht="14.25" hidden="1" customHeight="1" x14ac:dyDescent="0.25">
      <c r="A595" s="289"/>
      <c r="F595" s="251"/>
      <c r="H595" s="251"/>
      <c r="I595" s="251"/>
      <c r="J595" s="289"/>
      <c r="L595" s="251"/>
      <c r="M595" s="289"/>
    </row>
    <row r="596" spans="1:13" ht="14.25" hidden="1" customHeight="1" x14ac:dyDescent="0.25">
      <c r="A596" s="289"/>
      <c r="F596" s="251"/>
      <c r="H596" s="251"/>
      <c r="I596" s="251"/>
      <c r="J596" s="289"/>
      <c r="L596" s="251"/>
      <c r="M596" s="289"/>
    </row>
    <row r="597" spans="1:13" ht="14.25" hidden="1" customHeight="1" x14ac:dyDescent="0.25">
      <c r="A597" s="289"/>
      <c r="F597" s="251"/>
      <c r="H597" s="251"/>
      <c r="I597" s="251"/>
      <c r="J597" s="289"/>
      <c r="L597" s="251"/>
      <c r="M597" s="289"/>
    </row>
    <row r="598" spans="1:13" ht="14.25" hidden="1" customHeight="1" x14ac:dyDescent="0.25">
      <c r="A598" s="289"/>
      <c r="F598" s="251"/>
      <c r="H598" s="251"/>
      <c r="I598" s="251"/>
      <c r="J598" s="289"/>
      <c r="L598" s="251"/>
      <c r="M598" s="289"/>
    </row>
    <row r="599" spans="1:13" ht="14.25" hidden="1" customHeight="1" x14ac:dyDescent="0.25">
      <c r="A599" s="289"/>
      <c r="F599" s="251"/>
      <c r="H599" s="251"/>
      <c r="I599" s="251"/>
      <c r="J599" s="289"/>
      <c r="L599" s="251"/>
      <c r="M599" s="289"/>
    </row>
    <row r="600" spans="1:13" ht="14.25" hidden="1" customHeight="1" x14ac:dyDescent="0.25">
      <c r="A600" s="289"/>
      <c r="F600" s="251"/>
      <c r="H600" s="251"/>
      <c r="I600" s="251"/>
      <c r="J600" s="289"/>
      <c r="L600" s="251"/>
      <c r="M600" s="289"/>
    </row>
    <row r="601" spans="1:13" ht="14.25" hidden="1" customHeight="1" x14ac:dyDescent="0.25">
      <c r="A601" s="289"/>
      <c r="F601" s="251"/>
      <c r="H601" s="251"/>
      <c r="I601" s="251"/>
      <c r="J601" s="289"/>
      <c r="L601" s="251"/>
      <c r="M601" s="289"/>
    </row>
    <row r="602" spans="1:13" ht="14.25" hidden="1" customHeight="1" x14ac:dyDescent="0.25">
      <c r="A602" s="289"/>
      <c r="F602" s="251"/>
      <c r="H602" s="251"/>
      <c r="I602" s="251"/>
      <c r="J602" s="289"/>
      <c r="L602" s="251"/>
      <c r="M602" s="289"/>
    </row>
    <row r="603" spans="1:13" ht="14.25" hidden="1" customHeight="1" x14ac:dyDescent="0.25">
      <c r="A603" s="289"/>
      <c r="F603" s="251"/>
      <c r="H603" s="251"/>
      <c r="I603" s="251"/>
      <c r="J603" s="289"/>
      <c r="L603" s="251"/>
      <c r="M603" s="289"/>
    </row>
    <row r="604" spans="1:13" ht="14.25" hidden="1" customHeight="1" x14ac:dyDescent="0.25">
      <c r="A604" s="289"/>
      <c r="F604" s="251"/>
      <c r="H604" s="251"/>
      <c r="I604" s="251"/>
      <c r="J604" s="289"/>
      <c r="L604" s="251"/>
      <c r="M604" s="289"/>
    </row>
    <row r="605" spans="1:13" ht="14.25" hidden="1" customHeight="1" x14ac:dyDescent="0.25">
      <c r="A605" s="289"/>
      <c r="F605" s="251"/>
      <c r="H605" s="251"/>
      <c r="I605" s="251"/>
      <c r="J605" s="289"/>
      <c r="L605" s="251"/>
      <c r="M605" s="289"/>
    </row>
    <row r="606" spans="1:13" ht="14.25" hidden="1" customHeight="1" x14ac:dyDescent="0.25">
      <c r="A606" s="289"/>
      <c r="F606" s="251"/>
      <c r="H606" s="251"/>
      <c r="I606" s="251"/>
      <c r="J606" s="289"/>
      <c r="L606" s="251"/>
      <c r="M606" s="289"/>
    </row>
    <row r="607" spans="1:13" ht="14.25" hidden="1" customHeight="1" x14ac:dyDescent="0.25">
      <c r="A607" s="289"/>
      <c r="F607" s="251"/>
      <c r="H607" s="251"/>
      <c r="I607" s="251"/>
      <c r="J607" s="289"/>
      <c r="L607" s="251"/>
      <c r="M607" s="289"/>
    </row>
    <row r="608" spans="1:13" ht="14.25" hidden="1" customHeight="1" x14ac:dyDescent="0.25">
      <c r="A608" s="289"/>
      <c r="F608" s="251"/>
      <c r="H608" s="251"/>
      <c r="I608" s="251"/>
      <c r="J608" s="289"/>
      <c r="L608" s="251"/>
      <c r="M608" s="289"/>
    </row>
    <row r="609" spans="1:13" ht="14.25" hidden="1" customHeight="1" x14ac:dyDescent="0.25">
      <c r="A609" s="289"/>
      <c r="F609" s="251"/>
      <c r="H609" s="251"/>
      <c r="I609" s="251"/>
      <c r="J609" s="289"/>
      <c r="L609" s="251"/>
      <c r="M609" s="289"/>
    </row>
    <row r="610" spans="1:13" ht="14.25" hidden="1" customHeight="1" x14ac:dyDescent="0.25">
      <c r="A610" s="289"/>
      <c r="F610" s="251"/>
      <c r="H610" s="251"/>
      <c r="I610" s="251"/>
      <c r="J610" s="289"/>
      <c r="L610" s="251"/>
      <c r="M610" s="289"/>
    </row>
    <row r="611" spans="1:13" ht="14.25" hidden="1" customHeight="1" x14ac:dyDescent="0.25">
      <c r="A611" s="289"/>
      <c r="F611" s="251"/>
      <c r="H611" s="251"/>
      <c r="I611" s="251"/>
      <c r="J611" s="289"/>
      <c r="L611" s="251"/>
      <c r="M611" s="289"/>
    </row>
    <row r="612" spans="1:13" ht="14.25" hidden="1" customHeight="1" x14ac:dyDescent="0.25">
      <c r="A612" s="289"/>
      <c r="F612" s="251"/>
      <c r="H612" s="251"/>
      <c r="I612" s="251"/>
      <c r="J612" s="289"/>
      <c r="L612" s="251"/>
      <c r="M612" s="289"/>
    </row>
    <row r="613" spans="1:13" ht="14.25" hidden="1" customHeight="1" x14ac:dyDescent="0.25">
      <c r="A613" s="289"/>
      <c r="F613" s="251"/>
      <c r="H613" s="251"/>
      <c r="I613" s="251"/>
      <c r="J613" s="289"/>
      <c r="L613" s="251"/>
      <c r="M613" s="289"/>
    </row>
    <row r="614" spans="1:13" ht="14.25" hidden="1" customHeight="1" x14ac:dyDescent="0.25">
      <c r="A614" s="289"/>
      <c r="F614" s="251"/>
      <c r="H614" s="251"/>
      <c r="I614" s="251"/>
      <c r="J614" s="289"/>
      <c r="L614" s="251"/>
      <c r="M614" s="289"/>
    </row>
    <row r="615" spans="1:13" ht="14.25" hidden="1" customHeight="1" x14ac:dyDescent="0.25">
      <c r="A615" s="289"/>
      <c r="F615" s="251"/>
      <c r="H615" s="251"/>
      <c r="I615" s="251"/>
      <c r="J615" s="289"/>
      <c r="L615" s="251"/>
      <c r="M615" s="289"/>
    </row>
    <row r="616" spans="1:13" ht="14.25" hidden="1" customHeight="1" x14ac:dyDescent="0.25">
      <c r="A616" s="289"/>
      <c r="F616" s="251"/>
      <c r="H616" s="251"/>
      <c r="I616" s="251"/>
      <c r="J616" s="289"/>
      <c r="L616" s="251"/>
      <c r="M616" s="289"/>
    </row>
    <row r="617" spans="1:13" ht="14.25" hidden="1" customHeight="1" x14ac:dyDescent="0.25">
      <c r="A617" s="289"/>
      <c r="F617" s="251"/>
      <c r="H617" s="251"/>
      <c r="I617" s="251"/>
      <c r="J617" s="289"/>
      <c r="L617" s="251"/>
      <c r="M617" s="289"/>
    </row>
    <row r="618" spans="1:13" ht="14.25" hidden="1" customHeight="1" x14ac:dyDescent="0.25">
      <c r="A618" s="289"/>
      <c r="F618" s="251"/>
      <c r="H618" s="251"/>
      <c r="I618" s="251"/>
      <c r="J618" s="289"/>
      <c r="L618" s="251"/>
      <c r="M618" s="289"/>
    </row>
    <row r="619" spans="1:13" ht="14.25" hidden="1" customHeight="1" x14ac:dyDescent="0.25">
      <c r="A619" s="289"/>
      <c r="F619" s="251"/>
      <c r="H619" s="251"/>
      <c r="I619" s="251"/>
      <c r="J619" s="289"/>
      <c r="L619" s="251"/>
      <c r="M619" s="289"/>
    </row>
    <row r="620" spans="1:13" ht="14.25" hidden="1" customHeight="1" x14ac:dyDescent="0.25">
      <c r="A620" s="289"/>
      <c r="F620" s="251"/>
      <c r="H620" s="251"/>
      <c r="I620" s="251"/>
      <c r="J620" s="289"/>
      <c r="L620" s="251"/>
      <c r="M620" s="289"/>
    </row>
    <row r="621" spans="1:13" ht="14.25" hidden="1" customHeight="1" x14ac:dyDescent="0.25">
      <c r="A621" s="289"/>
      <c r="F621" s="251"/>
      <c r="H621" s="251"/>
      <c r="I621" s="251"/>
      <c r="J621" s="289"/>
      <c r="L621" s="251"/>
      <c r="M621" s="289"/>
    </row>
    <row r="622" spans="1:13" ht="14.25" hidden="1" customHeight="1" x14ac:dyDescent="0.25">
      <c r="A622" s="289"/>
      <c r="F622" s="251"/>
      <c r="H622" s="251"/>
      <c r="I622" s="251"/>
      <c r="J622" s="289"/>
      <c r="L622" s="251"/>
      <c r="M622" s="289"/>
    </row>
    <row r="623" spans="1:13" ht="14.25" hidden="1" customHeight="1" x14ac:dyDescent="0.25">
      <c r="A623" s="289"/>
      <c r="F623" s="251"/>
      <c r="H623" s="251"/>
      <c r="I623" s="251"/>
      <c r="J623" s="289"/>
      <c r="L623" s="251"/>
      <c r="M623" s="289"/>
    </row>
    <row r="624" spans="1:13" ht="14.25" hidden="1" customHeight="1" x14ac:dyDescent="0.25">
      <c r="A624" s="289"/>
      <c r="F624" s="251"/>
      <c r="H624" s="251"/>
      <c r="I624" s="251"/>
      <c r="J624" s="289"/>
      <c r="L624" s="251"/>
      <c r="M624" s="289"/>
    </row>
    <row r="625" spans="1:13" ht="14.25" hidden="1" customHeight="1" x14ac:dyDescent="0.25">
      <c r="A625" s="289"/>
      <c r="F625" s="251"/>
      <c r="H625" s="251"/>
      <c r="I625" s="251"/>
      <c r="J625" s="289"/>
      <c r="L625" s="251"/>
      <c r="M625" s="289"/>
    </row>
    <row r="626" spans="1:13" ht="14.25" hidden="1" customHeight="1" x14ac:dyDescent="0.25">
      <c r="A626" s="289"/>
      <c r="F626" s="251"/>
      <c r="H626" s="251"/>
      <c r="I626" s="251"/>
      <c r="J626" s="289"/>
      <c r="L626" s="251"/>
      <c r="M626" s="289"/>
    </row>
    <row r="627" spans="1:13" ht="14.25" hidden="1" customHeight="1" x14ac:dyDescent="0.25">
      <c r="A627" s="289"/>
      <c r="F627" s="251"/>
      <c r="H627" s="251"/>
      <c r="I627" s="251"/>
      <c r="J627" s="289"/>
      <c r="L627" s="251"/>
      <c r="M627" s="289"/>
    </row>
    <row r="628" spans="1:13" ht="14.25" hidden="1" customHeight="1" x14ac:dyDescent="0.25">
      <c r="A628" s="289"/>
      <c r="F628" s="251"/>
      <c r="H628" s="251"/>
      <c r="I628" s="251"/>
      <c r="J628" s="289"/>
      <c r="L628" s="251"/>
      <c r="M628" s="289"/>
    </row>
    <row r="629" spans="1:13" ht="14.25" hidden="1" customHeight="1" x14ac:dyDescent="0.25">
      <c r="A629" s="289"/>
      <c r="F629" s="251"/>
      <c r="H629" s="251"/>
      <c r="I629" s="251"/>
      <c r="J629" s="289"/>
      <c r="L629" s="251"/>
      <c r="M629" s="289"/>
    </row>
    <row r="630" spans="1:13" ht="14.25" hidden="1" customHeight="1" x14ac:dyDescent="0.25">
      <c r="A630" s="289"/>
      <c r="F630" s="251"/>
      <c r="H630" s="251"/>
      <c r="I630" s="251"/>
      <c r="J630" s="289"/>
      <c r="L630" s="251"/>
      <c r="M630" s="289"/>
    </row>
    <row r="631" spans="1:13" ht="14.25" hidden="1" customHeight="1" x14ac:dyDescent="0.25">
      <c r="A631" s="289"/>
      <c r="F631" s="251"/>
      <c r="H631" s="251"/>
      <c r="I631" s="251"/>
      <c r="J631" s="289"/>
      <c r="L631" s="251"/>
      <c r="M631" s="289"/>
    </row>
    <row r="632" spans="1:13" ht="14.25" hidden="1" customHeight="1" x14ac:dyDescent="0.25">
      <c r="A632" s="289"/>
      <c r="F632" s="251"/>
      <c r="H632" s="251"/>
      <c r="I632" s="251"/>
      <c r="J632" s="289"/>
      <c r="L632" s="251"/>
      <c r="M632" s="289"/>
    </row>
    <row r="633" spans="1:13" ht="14.25" hidden="1" customHeight="1" x14ac:dyDescent="0.25">
      <c r="A633" s="289"/>
      <c r="F633" s="251"/>
      <c r="H633" s="251"/>
      <c r="I633" s="251"/>
      <c r="J633" s="289"/>
      <c r="L633" s="251"/>
      <c r="M633" s="289"/>
    </row>
    <row r="634" spans="1:13" ht="14.25" hidden="1" customHeight="1" x14ac:dyDescent="0.25">
      <c r="A634" s="289"/>
      <c r="F634" s="251"/>
      <c r="H634" s="251"/>
      <c r="I634" s="251"/>
      <c r="J634" s="289"/>
      <c r="L634" s="251"/>
      <c r="M634" s="289"/>
    </row>
    <row r="635" spans="1:13" ht="14.25" hidden="1" customHeight="1" x14ac:dyDescent="0.25">
      <c r="A635" s="289"/>
      <c r="F635" s="251"/>
      <c r="H635" s="251"/>
      <c r="I635" s="251"/>
      <c r="J635" s="289"/>
      <c r="L635" s="251"/>
      <c r="M635" s="289"/>
    </row>
    <row r="636" spans="1:13" ht="14.25" hidden="1" customHeight="1" x14ac:dyDescent="0.25">
      <c r="A636" s="289"/>
      <c r="F636" s="251"/>
      <c r="H636" s="251"/>
      <c r="I636" s="251"/>
      <c r="J636" s="289"/>
      <c r="L636" s="251"/>
      <c r="M636" s="289"/>
    </row>
    <row r="637" spans="1:13" ht="14.25" hidden="1" customHeight="1" x14ac:dyDescent="0.25">
      <c r="A637" s="289"/>
      <c r="F637" s="251"/>
      <c r="H637" s="251"/>
      <c r="I637" s="251"/>
      <c r="J637" s="289"/>
      <c r="L637" s="251"/>
      <c r="M637" s="289"/>
    </row>
    <row r="638" spans="1:13" ht="14.25" hidden="1" customHeight="1" x14ac:dyDescent="0.25">
      <c r="A638" s="289"/>
      <c r="F638" s="251"/>
      <c r="H638" s="251"/>
      <c r="I638" s="251"/>
      <c r="J638" s="289"/>
      <c r="L638" s="251"/>
      <c r="M638" s="289"/>
    </row>
    <row r="639" spans="1:13" ht="14.25" hidden="1" customHeight="1" x14ac:dyDescent="0.25">
      <c r="A639" s="289"/>
      <c r="F639" s="251"/>
      <c r="H639" s="251"/>
      <c r="I639" s="251"/>
      <c r="J639" s="289"/>
      <c r="L639" s="251"/>
      <c r="M639" s="289"/>
    </row>
    <row r="640" spans="1:13" ht="14.25" hidden="1" customHeight="1" x14ac:dyDescent="0.25">
      <c r="A640" s="289"/>
      <c r="F640" s="251"/>
      <c r="H640" s="251"/>
      <c r="I640" s="251"/>
      <c r="J640" s="289"/>
      <c r="L640" s="251"/>
      <c r="M640" s="289"/>
    </row>
    <row r="641" spans="1:13" ht="14.25" hidden="1" customHeight="1" x14ac:dyDescent="0.25">
      <c r="A641" s="289"/>
      <c r="F641" s="251"/>
      <c r="H641" s="251"/>
      <c r="I641" s="251"/>
      <c r="J641" s="289"/>
      <c r="L641" s="251"/>
      <c r="M641" s="289"/>
    </row>
    <row r="642" spans="1:13" ht="14.25" hidden="1" customHeight="1" x14ac:dyDescent="0.25">
      <c r="A642" s="289"/>
      <c r="F642" s="251"/>
      <c r="H642" s="251"/>
      <c r="I642" s="251"/>
      <c r="J642" s="289"/>
      <c r="L642" s="251"/>
      <c r="M642" s="289"/>
    </row>
    <row r="643" spans="1:13" ht="14.25" hidden="1" customHeight="1" x14ac:dyDescent="0.25">
      <c r="A643" s="289"/>
      <c r="F643" s="251"/>
      <c r="H643" s="251"/>
      <c r="I643" s="251"/>
      <c r="J643" s="289"/>
      <c r="L643" s="251"/>
      <c r="M643" s="289"/>
    </row>
    <row r="644" spans="1:13" ht="14.25" hidden="1" customHeight="1" x14ac:dyDescent="0.25">
      <c r="A644" s="289"/>
      <c r="F644" s="251"/>
      <c r="H644" s="251"/>
      <c r="I644" s="251"/>
      <c r="J644" s="289"/>
      <c r="L644" s="251"/>
      <c r="M644" s="289"/>
    </row>
    <row r="645" spans="1:13" ht="14.25" hidden="1" customHeight="1" x14ac:dyDescent="0.25">
      <c r="A645" s="289"/>
      <c r="F645" s="251"/>
      <c r="H645" s="251"/>
      <c r="I645" s="251"/>
      <c r="J645" s="289"/>
      <c r="L645" s="251"/>
      <c r="M645" s="289"/>
    </row>
    <row r="646" spans="1:13" ht="14.25" hidden="1" customHeight="1" x14ac:dyDescent="0.25">
      <c r="A646" s="289"/>
      <c r="F646" s="251"/>
      <c r="H646" s="251"/>
      <c r="I646" s="251"/>
      <c r="J646" s="289"/>
      <c r="L646" s="251"/>
      <c r="M646" s="289"/>
    </row>
    <row r="647" spans="1:13" ht="14.25" hidden="1" customHeight="1" x14ac:dyDescent="0.25">
      <c r="A647" s="289"/>
      <c r="F647" s="251"/>
      <c r="H647" s="251"/>
      <c r="I647" s="251"/>
      <c r="J647" s="289"/>
      <c r="L647" s="251"/>
      <c r="M647" s="289"/>
    </row>
    <row r="648" spans="1:13" ht="14.25" hidden="1" customHeight="1" x14ac:dyDescent="0.25">
      <c r="A648" s="289"/>
      <c r="F648" s="251"/>
      <c r="H648" s="251"/>
      <c r="I648" s="251"/>
      <c r="J648" s="289"/>
      <c r="L648" s="251"/>
      <c r="M648" s="289"/>
    </row>
    <row r="649" spans="1:13" ht="14.25" hidden="1" customHeight="1" x14ac:dyDescent="0.25">
      <c r="A649" s="289"/>
      <c r="F649" s="251"/>
      <c r="H649" s="251"/>
      <c r="I649" s="251"/>
      <c r="J649" s="289"/>
      <c r="L649" s="251"/>
      <c r="M649" s="289"/>
    </row>
    <row r="650" spans="1:13" ht="14.25" hidden="1" customHeight="1" x14ac:dyDescent="0.25">
      <c r="A650" s="289"/>
      <c r="F650" s="251"/>
      <c r="H650" s="251"/>
      <c r="I650" s="251"/>
      <c r="J650" s="289"/>
      <c r="L650" s="251"/>
      <c r="M650" s="289"/>
    </row>
    <row r="651" spans="1:13" ht="14.25" hidden="1" customHeight="1" x14ac:dyDescent="0.25">
      <c r="A651" s="289"/>
      <c r="F651" s="251"/>
      <c r="H651" s="251"/>
      <c r="I651" s="251"/>
      <c r="J651" s="289"/>
      <c r="L651" s="251"/>
      <c r="M651" s="289"/>
    </row>
    <row r="652" spans="1:13" ht="14.25" hidden="1" customHeight="1" x14ac:dyDescent="0.25">
      <c r="A652" s="289"/>
      <c r="F652" s="251"/>
      <c r="H652" s="251"/>
      <c r="I652" s="251"/>
      <c r="J652" s="289"/>
      <c r="L652" s="251"/>
      <c r="M652" s="289"/>
    </row>
    <row r="653" spans="1:13" ht="14.25" hidden="1" customHeight="1" x14ac:dyDescent="0.25">
      <c r="A653" s="289"/>
      <c r="F653" s="251"/>
      <c r="H653" s="251"/>
      <c r="I653" s="251"/>
      <c r="J653" s="289"/>
      <c r="L653" s="251"/>
      <c r="M653" s="289"/>
    </row>
    <row r="654" spans="1:13" ht="14.25" hidden="1" customHeight="1" x14ac:dyDescent="0.25">
      <c r="A654" s="289"/>
      <c r="F654" s="251"/>
      <c r="H654" s="251"/>
      <c r="I654" s="251"/>
      <c r="J654" s="289"/>
      <c r="L654" s="251"/>
      <c r="M654" s="289"/>
    </row>
    <row r="655" spans="1:13" ht="14.25" hidden="1" customHeight="1" x14ac:dyDescent="0.25">
      <c r="A655" s="289"/>
      <c r="F655" s="251"/>
      <c r="H655" s="251"/>
      <c r="I655" s="251"/>
      <c r="J655" s="289"/>
      <c r="L655" s="251"/>
      <c r="M655" s="289"/>
    </row>
    <row r="656" spans="1:13" ht="14.25" hidden="1" customHeight="1" x14ac:dyDescent="0.25">
      <c r="A656" s="289"/>
      <c r="F656" s="251"/>
      <c r="H656" s="251"/>
      <c r="I656" s="251"/>
      <c r="J656" s="289"/>
      <c r="L656" s="251"/>
      <c r="M656" s="289"/>
    </row>
    <row r="657" spans="1:13" ht="14.25" hidden="1" customHeight="1" x14ac:dyDescent="0.25">
      <c r="A657" s="289"/>
      <c r="F657" s="251"/>
      <c r="H657" s="251"/>
      <c r="I657" s="251"/>
      <c r="J657" s="289"/>
      <c r="L657" s="251"/>
      <c r="M657" s="289"/>
    </row>
    <row r="658" spans="1:13" ht="14.25" hidden="1" customHeight="1" x14ac:dyDescent="0.25">
      <c r="A658" s="289"/>
      <c r="F658" s="251"/>
      <c r="H658" s="251"/>
      <c r="I658" s="251"/>
      <c r="J658" s="289"/>
      <c r="L658" s="251"/>
      <c r="M658" s="289"/>
    </row>
    <row r="659" spans="1:13" ht="14.25" hidden="1" customHeight="1" x14ac:dyDescent="0.25">
      <c r="A659" s="289"/>
      <c r="F659" s="251"/>
      <c r="H659" s="251"/>
      <c r="I659" s="251"/>
      <c r="J659" s="289"/>
      <c r="L659" s="251"/>
      <c r="M659" s="289"/>
    </row>
    <row r="660" spans="1:13" ht="14.25" hidden="1" customHeight="1" x14ac:dyDescent="0.25">
      <c r="A660" s="289"/>
      <c r="F660" s="251"/>
      <c r="H660" s="251"/>
      <c r="I660" s="251"/>
      <c r="J660" s="289"/>
      <c r="L660" s="251"/>
      <c r="M660" s="289"/>
    </row>
    <row r="661" spans="1:13" ht="14.25" hidden="1" customHeight="1" x14ac:dyDescent="0.25">
      <c r="A661" s="289"/>
      <c r="F661" s="251"/>
      <c r="H661" s="251"/>
      <c r="I661" s="251"/>
      <c r="J661" s="289"/>
      <c r="L661" s="251"/>
      <c r="M661" s="289"/>
    </row>
    <row r="662" spans="1:13" ht="14.25" hidden="1" customHeight="1" x14ac:dyDescent="0.25">
      <c r="A662" s="289"/>
      <c r="F662" s="251"/>
      <c r="H662" s="251"/>
      <c r="I662" s="251"/>
      <c r="J662" s="289"/>
      <c r="L662" s="251"/>
      <c r="M662" s="289"/>
    </row>
    <row r="663" spans="1:13" ht="14.25" hidden="1" customHeight="1" x14ac:dyDescent="0.25">
      <c r="A663" s="289"/>
      <c r="F663" s="251"/>
      <c r="H663" s="251"/>
      <c r="I663" s="251"/>
      <c r="J663" s="289"/>
      <c r="L663" s="251"/>
      <c r="M663" s="289"/>
    </row>
    <row r="664" spans="1:13" ht="14.25" hidden="1" customHeight="1" x14ac:dyDescent="0.25">
      <c r="A664" s="289"/>
      <c r="F664" s="251"/>
      <c r="H664" s="251"/>
      <c r="I664" s="251"/>
      <c r="J664" s="289"/>
      <c r="L664" s="251"/>
      <c r="M664" s="289"/>
    </row>
    <row r="665" spans="1:13" ht="14.25" hidden="1" customHeight="1" x14ac:dyDescent="0.25">
      <c r="A665" s="289"/>
      <c r="F665" s="251"/>
      <c r="H665" s="251"/>
      <c r="I665" s="251"/>
      <c r="J665" s="289"/>
      <c r="L665" s="251"/>
      <c r="M665" s="289"/>
    </row>
    <row r="666" spans="1:13" ht="14.25" hidden="1" customHeight="1" x14ac:dyDescent="0.25">
      <c r="A666" s="289"/>
      <c r="F666" s="251"/>
      <c r="H666" s="251"/>
      <c r="I666" s="251"/>
      <c r="J666" s="289"/>
      <c r="L666" s="251"/>
      <c r="M666" s="289"/>
    </row>
    <row r="667" spans="1:13" ht="14.25" hidden="1" customHeight="1" x14ac:dyDescent="0.25">
      <c r="A667" s="289"/>
      <c r="F667" s="251"/>
      <c r="H667" s="251"/>
      <c r="I667" s="251"/>
      <c r="J667" s="289"/>
      <c r="L667" s="251"/>
      <c r="M667" s="289"/>
    </row>
    <row r="668" spans="1:13" ht="14.25" hidden="1" customHeight="1" x14ac:dyDescent="0.25">
      <c r="A668" s="289"/>
      <c r="F668" s="251"/>
      <c r="H668" s="251"/>
      <c r="I668" s="251"/>
      <c r="J668" s="289"/>
      <c r="L668" s="251"/>
      <c r="M668" s="289"/>
    </row>
    <row r="669" spans="1:13" ht="14.25" hidden="1" customHeight="1" x14ac:dyDescent="0.25">
      <c r="A669" s="289"/>
      <c r="F669" s="251"/>
      <c r="H669" s="251"/>
      <c r="I669" s="251"/>
      <c r="J669" s="289"/>
      <c r="L669" s="251"/>
      <c r="M669" s="289"/>
    </row>
    <row r="670" spans="1:13" ht="14.25" hidden="1" customHeight="1" x14ac:dyDescent="0.25">
      <c r="A670" s="289"/>
      <c r="F670" s="251"/>
      <c r="H670" s="251"/>
      <c r="I670" s="251"/>
      <c r="J670" s="289"/>
      <c r="L670" s="251"/>
      <c r="M670" s="289"/>
    </row>
    <row r="671" spans="1:13" ht="14.25" hidden="1" customHeight="1" x14ac:dyDescent="0.25">
      <c r="A671" s="289"/>
      <c r="F671" s="251"/>
      <c r="H671" s="251"/>
      <c r="I671" s="251"/>
      <c r="J671" s="289"/>
      <c r="L671" s="251"/>
      <c r="M671" s="289"/>
    </row>
    <row r="672" spans="1:13" ht="14.25" hidden="1" customHeight="1" x14ac:dyDescent="0.25">
      <c r="A672" s="289"/>
      <c r="F672" s="251"/>
      <c r="H672" s="251"/>
      <c r="I672" s="251"/>
      <c r="J672" s="289"/>
      <c r="L672" s="251"/>
      <c r="M672" s="289"/>
    </row>
    <row r="673" spans="1:13" ht="14.25" hidden="1" customHeight="1" x14ac:dyDescent="0.25">
      <c r="A673" s="289"/>
      <c r="F673" s="251"/>
      <c r="H673" s="251"/>
      <c r="I673" s="251"/>
      <c r="J673" s="289"/>
      <c r="L673" s="251"/>
      <c r="M673" s="289"/>
    </row>
    <row r="674" spans="1:13" ht="14.25" hidden="1" customHeight="1" x14ac:dyDescent="0.25">
      <c r="A674" s="289"/>
      <c r="F674" s="251"/>
      <c r="H674" s="251"/>
      <c r="I674" s="251"/>
      <c r="J674" s="289"/>
      <c r="L674" s="251"/>
      <c r="M674" s="289"/>
    </row>
    <row r="675" spans="1:13" ht="14.25" hidden="1" customHeight="1" x14ac:dyDescent="0.25">
      <c r="A675" s="289"/>
      <c r="F675" s="251"/>
      <c r="H675" s="251"/>
      <c r="I675" s="251"/>
      <c r="J675" s="289"/>
      <c r="L675" s="251"/>
      <c r="M675" s="289"/>
    </row>
    <row r="676" spans="1:13" ht="14.25" hidden="1" customHeight="1" x14ac:dyDescent="0.25">
      <c r="A676" s="289"/>
      <c r="F676" s="251"/>
      <c r="H676" s="251"/>
      <c r="I676" s="251"/>
      <c r="J676" s="289"/>
      <c r="L676" s="251"/>
      <c r="M676" s="289"/>
    </row>
    <row r="677" spans="1:13" ht="14.25" hidden="1" customHeight="1" x14ac:dyDescent="0.25">
      <c r="A677" s="289"/>
      <c r="F677" s="251"/>
      <c r="H677" s="251"/>
      <c r="I677" s="251"/>
      <c r="J677" s="289"/>
      <c r="L677" s="251"/>
      <c r="M677" s="289"/>
    </row>
    <row r="678" spans="1:13" ht="14.25" hidden="1" customHeight="1" x14ac:dyDescent="0.25">
      <c r="A678" s="289"/>
      <c r="F678" s="251"/>
      <c r="H678" s="251"/>
      <c r="I678" s="251"/>
      <c r="J678" s="289"/>
      <c r="L678" s="251"/>
      <c r="M678" s="289"/>
    </row>
    <row r="679" spans="1:13" ht="14.25" hidden="1" customHeight="1" x14ac:dyDescent="0.25">
      <c r="A679" s="289"/>
      <c r="F679" s="251"/>
      <c r="H679" s="251"/>
      <c r="I679" s="251"/>
      <c r="J679" s="289"/>
      <c r="L679" s="251"/>
      <c r="M679" s="289"/>
    </row>
    <row r="680" spans="1:13" ht="14.25" hidden="1" customHeight="1" x14ac:dyDescent="0.25">
      <c r="A680" s="289"/>
      <c r="F680" s="251"/>
      <c r="H680" s="251"/>
      <c r="I680" s="251"/>
      <c r="J680" s="289"/>
      <c r="L680" s="251"/>
      <c r="M680" s="289"/>
    </row>
    <row r="681" spans="1:13" ht="14.25" hidden="1" customHeight="1" x14ac:dyDescent="0.25">
      <c r="A681" s="289"/>
      <c r="F681" s="251"/>
      <c r="H681" s="251"/>
      <c r="I681" s="251"/>
      <c r="J681" s="289"/>
      <c r="L681" s="251"/>
      <c r="M681" s="289"/>
    </row>
    <row r="682" spans="1:13" ht="14.25" hidden="1" customHeight="1" x14ac:dyDescent="0.25">
      <c r="A682" s="289"/>
      <c r="F682" s="251"/>
      <c r="H682" s="251"/>
      <c r="I682" s="251"/>
      <c r="J682" s="289"/>
      <c r="L682" s="251"/>
      <c r="M682" s="289"/>
    </row>
    <row r="683" spans="1:13" ht="14.25" hidden="1" customHeight="1" x14ac:dyDescent="0.25">
      <c r="A683" s="289"/>
      <c r="F683" s="251"/>
      <c r="H683" s="251"/>
      <c r="I683" s="251"/>
      <c r="J683" s="289"/>
      <c r="L683" s="251"/>
      <c r="M683" s="289"/>
    </row>
    <row r="684" spans="1:13" ht="14.25" hidden="1" customHeight="1" x14ac:dyDescent="0.25">
      <c r="A684" s="289"/>
      <c r="F684" s="251"/>
      <c r="H684" s="251"/>
      <c r="I684" s="251"/>
      <c r="J684" s="289"/>
      <c r="L684" s="251"/>
      <c r="M684" s="289"/>
    </row>
    <row r="685" spans="1:13" ht="14.25" hidden="1" customHeight="1" x14ac:dyDescent="0.25">
      <c r="A685" s="289"/>
      <c r="F685" s="251"/>
      <c r="H685" s="251"/>
      <c r="I685" s="251"/>
      <c r="J685" s="289"/>
      <c r="L685" s="251"/>
      <c r="M685" s="289"/>
    </row>
    <row r="686" spans="1:13" ht="14.25" hidden="1" customHeight="1" x14ac:dyDescent="0.25">
      <c r="A686" s="289"/>
      <c r="F686" s="251"/>
      <c r="H686" s="251"/>
      <c r="I686" s="251"/>
      <c r="J686" s="289"/>
      <c r="L686" s="251"/>
      <c r="M686" s="289"/>
    </row>
    <row r="687" spans="1:13" ht="14.25" hidden="1" customHeight="1" x14ac:dyDescent="0.25">
      <c r="A687" s="289"/>
      <c r="F687" s="251"/>
      <c r="H687" s="251"/>
      <c r="I687" s="251"/>
      <c r="J687" s="289"/>
      <c r="L687" s="251"/>
      <c r="M687" s="289"/>
    </row>
    <row r="688" spans="1:13" ht="14.25" hidden="1" customHeight="1" x14ac:dyDescent="0.25">
      <c r="A688" s="289"/>
      <c r="F688" s="251"/>
      <c r="H688" s="251"/>
      <c r="I688" s="251"/>
      <c r="J688" s="289"/>
      <c r="L688" s="251"/>
      <c r="M688" s="289"/>
    </row>
    <row r="689" spans="1:13" ht="14.25" hidden="1" customHeight="1" x14ac:dyDescent="0.25">
      <c r="A689" s="289"/>
      <c r="F689" s="251"/>
      <c r="H689" s="251"/>
      <c r="I689" s="251"/>
      <c r="J689" s="289"/>
      <c r="L689" s="251"/>
      <c r="M689" s="289"/>
    </row>
    <row r="690" spans="1:13" ht="14.25" hidden="1" customHeight="1" x14ac:dyDescent="0.25">
      <c r="A690" s="289"/>
      <c r="F690" s="251"/>
      <c r="H690" s="251"/>
      <c r="I690" s="251"/>
      <c r="J690" s="289"/>
      <c r="L690" s="251"/>
      <c r="M690" s="289"/>
    </row>
    <row r="691" spans="1:13" ht="14.25" hidden="1" customHeight="1" x14ac:dyDescent="0.25">
      <c r="A691" s="289"/>
      <c r="F691" s="251"/>
      <c r="H691" s="251"/>
      <c r="I691" s="251"/>
      <c r="J691" s="289"/>
      <c r="L691" s="251"/>
      <c r="M691" s="289"/>
    </row>
    <row r="692" spans="1:13" ht="14.25" hidden="1" customHeight="1" x14ac:dyDescent="0.25">
      <c r="A692" s="289"/>
      <c r="F692" s="251"/>
      <c r="H692" s="251"/>
      <c r="I692" s="251"/>
      <c r="J692" s="289"/>
      <c r="L692" s="251"/>
      <c r="M692" s="289"/>
    </row>
    <row r="693" spans="1:13" ht="14.25" hidden="1" customHeight="1" x14ac:dyDescent="0.25">
      <c r="A693" s="289"/>
      <c r="F693" s="251"/>
      <c r="H693" s="251"/>
      <c r="I693" s="251"/>
      <c r="J693" s="289"/>
      <c r="L693" s="251"/>
      <c r="M693" s="289"/>
    </row>
    <row r="694" spans="1:13" ht="14.25" hidden="1" customHeight="1" x14ac:dyDescent="0.25">
      <c r="A694" s="289"/>
      <c r="F694" s="251"/>
      <c r="H694" s="251"/>
      <c r="I694" s="251"/>
      <c r="J694" s="289"/>
      <c r="L694" s="251"/>
      <c r="M694" s="289"/>
    </row>
    <row r="695" spans="1:13" ht="14.25" hidden="1" customHeight="1" x14ac:dyDescent="0.25">
      <c r="A695" s="289"/>
      <c r="F695" s="251"/>
      <c r="H695" s="251"/>
      <c r="I695" s="251"/>
      <c r="J695" s="289"/>
      <c r="L695" s="251"/>
      <c r="M695" s="289"/>
    </row>
    <row r="696" spans="1:13" ht="14.25" hidden="1" customHeight="1" x14ac:dyDescent="0.25">
      <c r="A696" s="289"/>
      <c r="F696" s="251"/>
      <c r="H696" s="251"/>
      <c r="I696" s="251"/>
      <c r="J696" s="289"/>
      <c r="L696" s="251"/>
      <c r="M696" s="289"/>
    </row>
    <row r="697" spans="1:13" ht="14.25" hidden="1" customHeight="1" x14ac:dyDescent="0.25">
      <c r="A697" s="289"/>
      <c r="F697" s="251"/>
      <c r="H697" s="251"/>
      <c r="I697" s="251"/>
      <c r="J697" s="289"/>
      <c r="L697" s="251"/>
      <c r="M697" s="289"/>
    </row>
    <row r="698" spans="1:13" ht="14.25" hidden="1" customHeight="1" x14ac:dyDescent="0.25">
      <c r="A698" s="289"/>
      <c r="F698" s="251"/>
      <c r="H698" s="251"/>
      <c r="I698" s="251"/>
      <c r="J698" s="289"/>
      <c r="L698" s="251"/>
      <c r="M698" s="289"/>
    </row>
    <row r="699" spans="1:13" ht="14.25" hidden="1" customHeight="1" x14ac:dyDescent="0.25">
      <c r="A699" s="289"/>
      <c r="F699" s="251"/>
      <c r="H699" s="251"/>
      <c r="I699" s="251"/>
      <c r="J699" s="289"/>
      <c r="L699" s="251"/>
      <c r="M699" s="289"/>
    </row>
    <row r="700" spans="1:13" ht="14.25" hidden="1" customHeight="1" x14ac:dyDescent="0.25">
      <c r="A700" s="289"/>
      <c r="F700" s="251"/>
      <c r="H700" s="251"/>
      <c r="I700" s="251"/>
      <c r="J700" s="289"/>
      <c r="L700" s="251"/>
      <c r="M700" s="289"/>
    </row>
    <row r="701" spans="1:13" ht="14.25" hidden="1" customHeight="1" x14ac:dyDescent="0.25">
      <c r="A701" s="289"/>
      <c r="F701" s="251"/>
      <c r="H701" s="251"/>
      <c r="I701" s="251"/>
      <c r="J701" s="289"/>
      <c r="L701" s="251"/>
      <c r="M701" s="289"/>
    </row>
    <row r="702" spans="1:13" ht="14.25" hidden="1" customHeight="1" x14ac:dyDescent="0.25">
      <c r="A702" s="289"/>
      <c r="F702" s="251"/>
      <c r="H702" s="251"/>
      <c r="I702" s="251"/>
      <c r="J702" s="289"/>
      <c r="L702" s="251"/>
      <c r="M702" s="289"/>
    </row>
    <row r="703" spans="1:13" ht="14.25" hidden="1" customHeight="1" x14ac:dyDescent="0.25">
      <c r="A703" s="289"/>
      <c r="F703" s="251"/>
      <c r="H703" s="251"/>
      <c r="I703" s="251"/>
      <c r="J703" s="289"/>
      <c r="L703" s="251"/>
      <c r="M703" s="289"/>
    </row>
    <row r="704" spans="1:13" ht="14.25" hidden="1" customHeight="1" x14ac:dyDescent="0.25">
      <c r="A704" s="289"/>
      <c r="F704" s="251"/>
      <c r="H704" s="251"/>
      <c r="I704" s="251"/>
      <c r="J704" s="289"/>
      <c r="L704" s="251"/>
      <c r="M704" s="289"/>
    </row>
    <row r="705" spans="1:13" ht="14.25" hidden="1" customHeight="1" x14ac:dyDescent="0.25">
      <c r="A705" s="289"/>
      <c r="F705" s="251"/>
      <c r="H705" s="251"/>
      <c r="I705" s="251"/>
      <c r="J705" s="289"/>
      <c r="L705" s="251"/>
      <c r="M705" s="289"/>
    </row>
    <row r="706" spans="1:13" ht="14.25" hidden="1" customHeight="1" x14ac:dyDescent="0.25">
      <c r="A706" s="289"/>
      <c r="F706" s="251"/>
      <c r="H706" s="251"/>
      <c r="I706" s="251"/>
      <c r="J706" s="289"/>
      <c r="L706" s="251"/>
      <c r="M706" s="289"/>
    </row>
    <row r="707" spans="1:13" ht="14.25" hidden="1" customHeight="1" x14ac:dyDescent="0.25">
      <c r="A707" s="289"/>
      <c r="F707" s="251"/>
      <c r="H707" s="251"/>
      <c r="I707" s="251"/>
      <c r="J707" s="289"/>
      <c r="L707" s="251"/>
      <c r="M707" s="289"/>
    </row>
    <row r="708" spans="1:13" ht="14.25" hidden="1" customHeight="1" x14ac:dyDescent="0.25">
      <c r="A708" s="289"/>
      <c r="F708" s="251"/>
      <c r="H708" s="251"/>
      <c r="I708" s="251"/>
      <c r="J708" s="289"/>
      <c r="L708" s="251"/>
      <c r="M708" s="289"/>
    </row>
    <row r="709" spans="1:13" ht="14.25" hidden="1" customHeight="1" x14ac:dyDescent="0.25">
      <c r="A709" s="289"/>
      <c r="F709" s="251"/>
      <c r="H709" s="251"/>
      <c r="I709" s="251"/>
      <c r="J709" s="289"/>
      <c r="L709" s="251"/>
      <c r="M709" s="289"/>
    </row>
    <row r="710" spans="1:13" ht="14.25" hidden="1" customHeight="1" x14ac:dyDescent="0.25">
      <c r="A710" s="289"/>
      <c r="F710" s="251"/>
      <c r="H710" s="251"/>
      <c r="I710" s="251"/>
      <c r="J710" s="289"/>
      <c r="L710" s="251"/>
      <c r="M710" s="289"/>
    </row>
    <row r="711" spans="1:13" ht="14.25" hidden="1" customHeight="1" x14ac:dyDescent="0.25">
      <c r="A711" s="289"/>
      <c r="F711" s="251"/>
      <c r="H711" s="251"/>
      <c r="I711" s="251"/>
      <c r="J711" s="289"/>
      <c r="L711" s="251"/>
      <c r="M711" s="289"/>
    </row>
    <row r="712" spans="1:13" ht="14.25" hidden="1" customHeight="1" x14ac:dyDescent="0.25">
      <c r="A712" s="289"/>
      <c r="F712" s="251"/>
      <c r="H712" s="251"/>
      <c r="I712" s="251"/>
      <c r="J712" s="289"/>
      <c r="L712" s="251"/>
      <c r="M712" s="289"/>
    </row>
    <row r="713" spans="1:13" ht="14.25" hidden="1" customHeight="1" x14ac:dyDescent="0.25">
      <c r="A713" s="289"/>
      <c r="F713" s="251"/>
      <c r="H713" s="251"/>
      <c r="I713" s="251"/>
      <c r="J713" s="289"/>
      <c r="L713" s="251"/>
      <c r="M713" s="289"/>
    </row>
    <row r="714" spans="1:13" ht="14.25" hidden="1" customHeight="1" x14ac:dyDescent="0.25">
      <c r="A714" s="289"/>
      <c r="F714" s="251"/>
      <c r="H714" s="251"/>
      <c r="I714" s="251"/>
      <c r="J714" s="289"/>
      <c r="L714" s="251"/>
      <c r="M714" s="289"/>
    </row>
    <row r="715" spans="1:13" ht="14.25" hidden="1" customHeight="1" x14ac:dyDescent="0.25">
      <c r="A715" s="289"/>
      <c r="F715" s="251"/>
      <c r="H715" s="251"/>
      <c r="I715" s="251"/>
      <c r="J715" s="289"/>
      <c r="L715" s="251"/>
      <c r="M715" s="289"/>
    </row>
    <row r="716" spans="1:13" ht="14.25" hidden="1" customHeight="1" x14ac:dyDescent="0.25">
      <c r="A716" s="289"/>
      <c r="F716" s="251"/>
      <c r="H716" s="251"/>
      <c r="I716" s="251"/>
      <c r="J716" s="289"/>
      <c r="L716" s="251"/>
      <c r="M716" s="289"/>
    </row>
    <row r="717" spans="1:13" ht="14.25" hidden="1" customHeight="1" x14ac:dyDescent="0.25">
      <c r="A717" s="289"/>
      <c r="F717" s="251"/>
      <c r="H717" s="251"/>
      <c r="I717" s="251"/>
      <c r="J717" s="289"/>
      <c r="L717" s="251"/>
      <c r="M717" s="289"/>
    </row>
    <row r="718" spans="1:13" ht="14.25" hidden="1" customHeight="1" x14ac:dyDescent="0.25">
      <c r="A718" s="289"/>
      <c r="F718" s="251"/>
      <c r="H718" s="251"/>
      <c r="I718" s="251"/>
      <c r="J718" s="289"/>
      <c r="L718" s="251"/>
      <c r="M718" s="289"/>
    </row>
    <row r="719" spans="1:13" ht="14.25" hidden="1" customHeight="1" x14ac:dyDescent="0.25">
      <c r="A719" s="289"/>
      <c r="F719" s="251"/>
      <c r="H719" s="251"/>
      <c r="I719" s="251"/>
      <c r="J719" s="289"/>
      <c r="L719" s="251"/>
      <c r="M719" s="289"/>
    </row>
    <row r="720" spans="1:13" ht="14.25" hidden="1" customHeight="1" x14ac:dyDescent="0.25">
      <c r="A720" s="289"/>
      <c r="F720" s="251"/>
      <c r="H720" s="251"/>
      <c r="I720" s="251"/>
      <c r="J720" s="289"/>
      <c r="L720" s="251"/>
      <c r="M720" s="289"/>
    </row>
    <row r="721" spans="1:13" ht="14.25" hidden="1" customHeight="1" x14ac:dyDescent="0.25">
      <c r="A721" s="289"/>
      <c r="F721" s="251"/>
      <c r="H721" s="251"/>
      <c r="I721" s="251"/>
      <c r="J721" s="289"/>
      <c r="L721" s="251"/>
      <c r="M721" s="289"/>
    </row>
    <row r="722" spans="1:13" ht="14.25" hidden="1" customHeight="1" x14ac:dyDescent="0.25">
      <c r="A722" s="289"/>
      <c r="F722" s="251"/>
      <c r="H722" s="251"/>
      <c r="I722" s="251"/>
      <c r="J722" s="289"/>
      <c r="L722" s="251"/>
      <c r="M722" s="289"/>
    </row>
    <row r="723" spans="1:13" ht="14.25" hidden="1" customHeight="1" x14ac:dyDescent="0.25">
      <c r="A723" s="289"/>
      <c r="F723" s="251"/>
      <c r="H723" s="251"/>
      <c r="I723" s="251"/>
      <c r="J723" s="289"/>
      <c r="L723" s="251"/>
      <c r="M723" s="289"/>
    </row>
    <row r="724" spans="1:13" ht="14.25" hidden="1" customHeight="1" x14ac:dyDescent="0.25">
      <c r="A724" s="289"/>
      <c r="F724" s="251"/>
      <c r="H724" s="251"/>
      <c r="I724" s="251"/>
      <c r="J724" s="289"/>
      <c r="L724" s="251"/>
      <c r="M724" s="289"/>
    </row>
    <row r="725" spans="1:13" ht="14.25" hidden="1" customHeight="1" x14ac:dyDescent="0.25">
      <c r="A725" s="289"/>
      <c r="F725" s="251"/>
      <c r="H725" s="251"/>
      <c r="I725" s="251"/>
      <c r="J725" s="289"/>
      <c r="L725" s="251"/>
      <c r="M725" s="289"/>
    </row>
    <row r="726" spans="1:13" ht="14.25" hidden="1" customHeight="1" x14ac:dyDescent="0.25">
      <c r="A726" s="289"/>
      <c r="F726" s="251"/>
      <c r="H726" s="251"/>
      <c r="I726" s="251"/>
      <c r="J726" s="289"/>
      <c r="L726" s="251"/>
      <c r="M726" s="289"/>
    </row>
    <row r="727" spans="1:13" ht="14.25" hidden="1" customHeight="1" x14ac:dyDescent="0.25">
      <c r="A727" s="289"/>
      <c r="F727" s="251"/>
      <c r="H727" s="251"/>
      <c r="I727" s="251"/>
      <c r="J727" s="289"/>
      <c r="L727" s="251"/>
      <c r="M727" s="289"/>
    </row>
    <row r="728" spans="1:13" ht="14.25" hidden="1" customHeight="1" x14ac:dyDescent="0.25">
      <c r="A728" s="289"/>
      <c r="F728" s="251"/>
      <c r="H728" s="251"/>
      <c r="I728" s="251"/>
      <c r="J728" s="289"/>
      <c r="L728" s="251"/>
      <c r="M728" s="289"/>
    </row>
    <row r="729" spans="1:13" ht="14.25" hidden="1" customHeight="1" x14ac:dyDescent="0.25">
      <c r="A729" s="289"/>
      <c r="F729" s="251"/>
      <c r="H729" s="251"/>
      <c r="I729" s="251"/>
      <c r="J729" s="289"/>
      <c r="L729" s="251"/>
      <c r="M729" s="289"/>
    </row>
    <row r="730" spans="1:13" ht="14.25" hidden="1" customHeight="1" x14ac:dyDescent="0.25">
      <c r="A730" s="289"/>
      <c r="F730" s="251"/>
      <c r="H730" s="251"/>
      <c r="I730" s="251"/>
      <c r="J730" s="289"/>
      <c r="L730" s="251"/>
      <c r="M730" s="289"/>
    </row>
    <row r="731" spans="1:13" ht="14.25" hidden="1" customHeight="1" x14ac:dyDescent="0.25">
      <c r="A731" s="289"/>
      <c r="F731" s="251"/>
      <c r="H731" s="251"/>
      <c r="I731" s="251"/>
      <c r="J731" s="289"/>
      <c r="L731" s="251"/>
      <c r="M731" s="289"/>
    </row>
    <row r="732" spans="1:13" ht="14.25" hidden="1" customHeight="1" x14ac:dyDescent="0.25">
      <c r="A732" s="289"/>
      <c r="F732" s="251"/>
      <c r="H732" s="251"/>
      <c r="I732" s="251"/>
      <c r="J732" s="289"/>
      <c r="L732" s="251"/>
      <c r="M732" s="289"/>
    </row>
    <row r="733" spans="1:13" ht="14.25" hidden="1" customHeight="1" x14ac:dyDescent="0.25">
      <c r="A733" s="289"/>
      <c r="F733" s="251"/>
      <c r="H733" s="251"/>
      <c r="I733" s="251"/>
      <c r="J733" s="289"/>
      <c r="L733" s="251"/>
      <c r="M733" s="289"/>
    </row>
    <row r="734" spans="1:13" ht="14.25" hidden="1" customHeight="1" x14ac:dyDescent="0.25">
      <c r="A734" s="289"/>
      <c r="F734" s="251"/>
      <c r="H734" s="251"/>
      <c r="I734" s="251"/>
      <c r="J734" s="289"/>
      <c r="L734" s="251"/>
      <c r="M734" s="289"/>
    </row>
    <row r="735" spans="1:13" ht="14.25" hidden="1" customHeight="1" x14ac:dyDescent="0.25">
      <c r="A735" s="289"/>
      <c r="F735" s="251"/>
      <c r="H735" s="251"/>
      <c r="I735" s="251"/>
      <c r="J735" s="289"/>
      <c r="L735" s="251"/>
      <c r="M735" s="289"/>
    </row>
    <row r="736" spans="1:13" ht="14.25" hidden="1" customHeight="1" x14ac:dyDescent="0.25">
      <c r="A736" s="289"/>
      <c r="F736" s="251"/>
      <c r="H736" s="251"/>
      <c r="I736" s="251"/>
      <c r="J736" s="289"/>
      <c r="L736" s="251"/>
      <c r="M736" s="289"/>
    </row>
    <row r="737" spans="1:13" ht="14.25" hidden="1" customHeight="1" x14ac:dyDescent="0.25">
      <c r="A737" s="289"/>
      <c r="F737" s="251"/>
      <c r="H737" s="251"/>
      <c r="I737" s="251"/>
      <c r="J737" s="289"/>
      <c r="L737" s="251"/>
      <c r="M737" s="289"/>
    </row>
    <row r="738" spans="1:13" ht="14.25" hidden="1" customHeight="1" x14ac:dyDescent="0.25">
      <c r="A738" s="289"/>
      <c r="F738" s="251"/>
      <c r="H738" s="251"/>
      <c r="I738" s="251"/>
      <c r="J738" s="289"/>
      <c r="L738" s="251"/>
      <c r="M738" s="289"/>
    </row>
    <row r="739" spans="1:13" ht="14.25" hidden="1" customHeight="1" x14ac:dyDescent="0.25">
      <c r="A739" s="289"/>
      <c r="F739" s="251"/>
      <c r="H739" s="251"/>
      <c r="I739" s="251"/>
      <c r="J739" s="289"/>
      <c r="L739" s="251"/>
      <c r="M739" s="289"/>
    </row>
    <row r="740" spans="1:13" ht="14.25" hidden="1" customHeight="1" x14ac:dyDescent="0.25">
      <c r="A740" s="289"/>
      <c r="F740" s="251"/>
      <c r="H740" s="251"/>
      <c r="I740" s="251"/>
      <c r="J740" s="289"/>
      <c r="L740" s="251"/>
      <c r="M740" s="289"/>
    </row>
    <row r="741" spans="1:13" ht="14.25" hidden="1" customHeight="1" x14ac:dyDescent="0.25">
      <c r="A741" s="289"/>
      <c r="F741" s="251"/>
      <c r="H741" s="251"/>
      <c r="I741" s="251"/>
      <c r="J741" s="289"/>
      <c r="L741" s="251"/>
      <c r="M741" s="289"/>
    </row>
    <row r="742" spans="1:13" ht="14.25" hidden="1" customHeight="1" x14ac:dyDescent="0.25">
      <c r="A742" s="289"/>
      <c r="F742" s="251"/>
      <c r="H742" s="251"/>
      <c r="I742" s="251"/>
      <c r="J742" s="289"/>
      <c r="L742" s="251"/>
      <c r="M742" s="289"/>
    </row>
    <row r="743" spans="1:13" ht="14.25" hidden="1" customHeight="1" x14ac:dyDescent="0.25">
      <c r="A743" s="289"/>
      <c r="F743" s="251"/>
      <c r="H743" s="251"/>
      <c r="I743" s="251"/>
      <c r="J743" s="289"/>
      <c r="L743" s="251"/>
      <c r="M743" s="289"/>
    </row>
    <row r="744" spans="1:13" ht="14.25" hidden="1" customHeight="1" x14ac:dyDescent="0.25">
      <c r="A744" s="289"/>
      <c r="F744" s="251"/>
      <c r="H744" s="251"/>
      <c r="I744" s="251"/>
      <c r="J744" s="289"/>
      <c r="L744" s="251"/>
      <c r="M744" s="289"/>
    </row>
    <row r="745" spans="1:13" ht="14.25" hidden="1" customHeight="1" x14ac:dyDescent="0.25">
      <c r="A745" s="289"/>
      <c r="F745" s="251"/>
      <c r="H745" s="251"/>
      <c r="I745" s="251"/>
      <c r="J745" s="289"/>
      <c r="L745" s="251"/>
      <c r="M745" s="289"/>
    </row>
    <row r="746" spans="1:13" ht="14.25" hidden="1" customHeight="1" x14ac:dyDescent="0.25">
      <c r="A746" s="289"/>
      <c r="F746" s="251"/>
      <c r="H746" s="251"/>
      <c r="I746" s="251"/>
      <c r="J746" s="289"/>
      <c r="L746" s="251"/>
      <c r="M746" s="289"/>
    </row>
    <row r="747" spans="1:13" ht="14.25" hidden="1" customHeight="1" x14ac:dyDescent="0.25">
      <c r="A747" s="289"/>
      <c r="F747" s="251"/>
      <c r="H747" s="251"/>
      <c r="I747" s="251"/>
      <c r="J747" s="289"/>
      <c r="L747" s="251"/>
      <c r="M747" s="289"/>
    </row>
    <row r="748" spans="1:13" ht="14.25" hidden="1" customHeight="1" x14ac:dyDescent="0.25">
      <c r="A748" s="289"/>
      <c r="F748" s="251"/>
      <c r="H748" s="251"/>
      <c r="I748" s="251"/>
      <c r="J748" s="289"/>
      <c r="L748" s="251"/>
      <c r="M748" s="289"/>
    </row>
    <row r="749" spans="1:13" ht="14.25" hidden="1" customHeight="1" x14ac:dyDescent="0.25">
      <c r="A749" s="289"/>
      <c r="F749" s="251"/>
      <c r="H749" s="251"/>
      <c r="I749" s="251"/>
      <c r="J749" s="289"/>
      <c r="L749" s="251"/>
      <c r="M749" s="289"/>
    </row>
    <row r="750" spans="1:13" ht="14.25" hidden="1" customHeight="1" x14ac:dyDescent="0.25">
      <c r="A750" s="289"/>
      <c r="F750" s="251"/>
      <c r="H750" s="251"/>
      <c r="I750" s="251"/>
      <c r="J750" s="289"/>
      <c r="L750" s="251"/>
      <c r="M750" s="289"/>
    </row>
    <row r="751" spans="1:13" ht="14.25" hidden="1" customHeight="1" x14ac:dyDescent="0.25">
      <c r="A751" s="289"/>
      <c r="F751" s="251"/>
      <c r="H751" s="251"/>
      <c r="I751" s="251"/>
      <c r="J751" s="289"/>
      <c r="L751" s="251"/>
      <c r="M751" s="289"/>
    </row>
    <row r="752" spans="1:13" ht="14.25" hidden="1" customHeight="1" x14ac:dyDescent="0.25">
      <c r="A752" s="289"/>
      <c r="F752" s="251"/>
      <c r="H752" s="251"/>
      <c r="I752" s="251"/>
      <c r="J752" s="289"/>
      <c r="L752" s="251"/>
      <c r="M752" s="289"/>
    </row>
    <row r="753" spans="1:13" ht="14.25" hidden="1" customHeight="1" x14ac:dyDescent="0.25">
      <c r="A753" s="289"/>
      <c r="F753" s="251"/>
      <c r="H753" s="251"/>
      <c r="I753" s="251"/>
      <c r="J753" s="289"/>
      <c r="L753" s="251"/>
      <c r="M753" s="289"/>
    </row>
    <row r="754" spans="1:13" ht="14.25" hidden="1" customHeight="1" x14ac:dyDescent="0.25">
      <c r="A754" s="289"/>
      <c r="F754" s="251"/>
      <c r="H754" s="251"/>
      <c r="I754" s="251"/>
      <c r="J754" s="289"/>
      <c r="L754" s="251"/>
      <c r="M754" s="289"/>
    </row>
    <row r="755" spans="1:13" ht="14.25" hidden="1" customHeight="1" x14ac:dyDescent="0.25">
      <c r="A755" s="289"/>
      <c r="F755" s="251"/>
      <c r="H755" s="251"/>
      <c r="I755" s="251"/>
      <c r="J755" s="289"/>
      <c r="L755" s="251"/>
      <c r="M755" s="289"/>
    </row>
    <row r="756" spans="1:13" ht="14.25" hidden="1" customHeight="1" x14ac:dyDescent="0.25">
      <c r="A756" s="289"/>
      <c r="F756" s="251"/>
      <c r="H756" s="251"/>
      <c r="I756" s="251"/>
      <c r="J756" s="289"/>
      <c r="L756" s="251"/>
      <c r="M756" s="289"/>
    </row>
    <row r="757" spans="1:13" ht="14.25" hidden="1" customHeight="1" x14ac:dyDescent="0.25">
      <c r="A757" s="289"/>
      <c r="F757" s="251"/>
      <c r="H757" s="251"/>
      <c r="I757" s="251"/>
      <c r="J757" s="289"/>
      <c r="L757" s="251"/>
      <c r="M757" s="289"/>
    </row>
    <row r="758" spans="1:13" ht="14.25" hidden="1" customHeight="1" x14ac:dyDescent="0.25">
      <c r="A758" s="289"/>
      <c r="F758" s="251"/>
      <c r="H758" s="251"/>
      <c r="I758" s="251"/>
      <c r="J758" s="289"/>
      <c r="L758" s="251"/>
      <c r="M758" s="289"/>
    </row>
    <row r="759" spans="1:13" ht="14.25" hidden="1" customHeight="1" x14ac:dyDescent="0.25">
      <c r="A759" s="289"/>
      <c r="F759" s="251"/>
      <c r="H759" s="251"/>
      <c r="I759" s="251"/>
      <c r="J759" s="289"/>
      <c r="L759" s="251"/>
      <c r="M759" s="289"/>
    </row>
    <row r="760" spans="1:13" ht="14.25" hidden="1" customHeight="1" x14ac:dyDescent="0.25">
      <c r="A760" s="289"/>
      <c r="F760" s="251"/>
      <c r="H760" s="251"/>
      <c r="I760" s="251"/>
      <c r="J760" s="289"/>
      <c r="L760" s="251"/>
      <c r="M760" s="289"/>
    </row>
    <row r="761" spans="1:13" ht="14.25" hidden="1" customHeight="1" x14ac:dyDescent="0.25">
      <c r="A761" s="289"/>
      <c r="F761" s="251"/>
      <c r="H761" s="251"/>
      <c r="I761" s="251"/>
      <c r="J761" s="289"/>
      <c r="L761" s="251"/>
      <c r="M761" s="289"/>
    </row>
    <row r="762" spans="1:13" ht="14.25" hidden="1" customHeight="1" x14ac:dyDescent="0.25">
      <c r="A762" s="289"/>
      <c r="F762" s="251"/>
      <c r="H762" s="251"/>
      <c r="I762" s="251"/>
      <c r="J762" s="289"/>
      <c r="L762" s="251"/>
      <c r="M762" s="289"/>
    </row>
    <row r="763" spans="1:13" ht="14.25" hidden="1" customHeight="1" x14ac:dyDescent="0.25">
      <c r="A763" s="289"/>
      <c r="F763" s="251"/>
      <c r="H763" s="251"/>
      <c r="I763" s="251"/>
      <c r="J763" s="289"/>
      <c r="L763" s="251"/>
      <c r="M763" s="289"/>
    </row>
    <row r="764" spans="1:13" ht="14.25" hidden="1" customHeight="1" x14ac:dyDescent="0.25">
      <c r="A764" s="289"/>
      <c r="F764" s="251"/>
      <c r="H764" s="251"/>
      <c r="I764" s="251"/>
      <c r="J764" s="289"/>
      <c r="L764" s="251"/>
      <c r="M764" s="289"/>
    </row>
    <row r="765" spans="1:13" ht="14.25" hidden="1" customHeight="1" x14ac:dyDescent="0.25">
      <c r="A765" s="289"/>
      <c r="F765" s="251"/>
      <c r="H765" s="251"/>
      <c r="I765" s="251"/>
      <c r="J765" s="289"/>
      <c r="L765" s="251"/>
      <c r="M765" s="289"/>
    </row>
    <row r="766" spans="1:13" ht="14.25" hidden="1" customHeight="1" x14ac:dyDescent="0.25">
      <c r="A766" s="289"/>
      <c r="F766" s="251"/>
      <c r="H766" s="251"/>
      <c r="I766" s="251"/>
      <c r="J766" s="289"/>
      <c r="L766" s="251"/>
      <c r="M766" s="289"/>
    </row>
    <row r="767" spans="1:13" ht="14.25" hidden="1" customHeight="1" x14ac:dyDescent="0.25">
      <c r="A767" s="289"/>
      <c r="F767" s="251"/>
      <c r="H767" s="251"/>
      <c r="I767" s="251"/>
      <c r="J767" s="289"/>
      <c r="L767" s="251"/>
      <c r="M767" s="289"/>
    </row>
    <row r="768" spans="1:13" ht="14.25" hidden="1" customHeight="1" x14ac:dyDescent="0.25">
      <c r="A768" s="289"/>
      <c r="F768" s="251"/>
      <c r="H768" s="251"/>
      <c r="I768" s="251"/>
      <c r="J768" s="289"/>
      <c r="L768" s="251"/>
      <c r="M768" s="289"/>
    </row>
    <row r="769" spans="1:13" ht="14.25" hidden="1" customHeight="1" x14ac:dyDescent="0.25">
      <c r="A769" s="289"/>
      <c r="F769" s="251"/>
      <c r="H769" s="251"/>
      <c r="I769" s="251"/>
      <c r="J769" s="289"/>
      <c r="L769" s="251"/>
      <c r="M769" s="289"/>
    </row>
    <row r="770" spans="1:13" ht="14.25" hidden="1" customHeight="1" x14ac:dyDescent="0.25">
      <c r="A770" s="289"/>
      <c r="F770" s="251"/>
      <c r="H770" s="251"/>
      <c r="I770" s="251"/>
      <c r="J770" s="289"/>
      <c r="L770" s="251"/>
      <c r="M770" s="289"/>
    </row>
    <row r="771" spans="1:13" ht="14.25" hidden="1" customHeight="1" x14ac:dyDescent="0.25">
      <c r="A771" s="289"/>
      <c r="F771" s="251"/>
      <c r="H771" s="251"/>
      <c r="I771" s="251"/>
      <c r="J771" s="289"/>
      <c r="L771" s="251"/>
      <c r="M771" s="289"/>
    </row>
    <row r="772" spans="1:13" ht="14.25" hidden="1" customHeight="1" x14ac:dyDescent="0.25">
      <c r="A772" s="289"/>
      <c r="F772" s="251"/>
      <c r="H772" s="251"/>
      <c r="I772" s="251"/>
      <c r="J772" s="289"/>
      <c r="L772" s="251"/>
      <c r="M772" s="289"/>
    </row>
    <row r="773" spans="1:13" ht="14.25" hidden="1" customHeight="1" x14ac:dyDescent="0.25">
      <c r="A773" s="289"/>
      <c r="F773" s="251"/>
      <c r="H773" s="251"/>
      <c r="I773" s="251"/>
      <c r="J773" s="289"/>
      <c r="L773" s="251"/>
      <c r="M773" s="289"/>
    </row>
    <row r="774" spans="1:13" ht="14.25" hidden="1" customHeight="1" x14ac:dyDescent="0.25">
      <c r="A774" s="289"/>
      <c r="F774" s="251"/>
      <c r="H774" s="251"/>
      <c r="I774" s="251"/>
      <c r="J774" s="289"/>
      <c r="L774" s="251"/>
      <c r="M774" s="289"/>
    </row>
    <row r="775" spans="1:13" ht="14.25" hidden="1" customHeight="1" x14ac:dyDescent="0.25">
      <c r="A775" s="289"/>
      <c r="F775" s="251"/>
      <c r="H775" s="251"/>
      <c r="I775" s="251"/>
      <c r="J775" s="289"/>
      <c r="L775" s="251"/>
      <c r="M775" s="289"/>
    </row>
    <row r="776" spans="1:13" ht="14.25" hidden="1" customHeight="1" x14ac:dyDescent="0.25">
      <c r="A776" s="289"/>
      <c r="F776" s="251"/>
      <c r="H776" s="251"/>
      <c r="I776" s="251"/>
      <c r="J776" s="289"/>
      <c r="L776" s="251"/>
      <c r="M776" s="289"/>
    </row>
    <row r="777" spans="1:13" ht="14.25" hidden="1" customHeight="1" x14ac:dyDescent="0.25">
      <c r="A777" s="289"/>
      <c r="F777" s="251"/>
      <c r="H777" s="251"/>
      <c r="I777" s="251"/>
      <c r="J777" s="289"/>
      <c r="L777" s="251"/>
      <c r="M777" s="289"/>
    </row>
    <row r="778" spans="1:13" ht="14.25" hidden="1" customHeight="1" x14ac:dyDescent="0.25">
      <c r="A778" s="289"/>
      <c r="F778" s="251"/>
      <c r="H778" s="251"/>
      <c r="I778" s="251"/>
      <c r="J778" s="289"/>
      <c r="L778" s="251"/>
      <c r="M778" s="289"/>
    </row>
    <row r="779" spans="1:13" ht="14.25" hidden="1" customHeight="1" x14ac:dyDescent="0.25">
      <c r="A779" s="289"/>
      <c r="F779" s="251"/>
      <c r="H779" s="251"/>
      <c r="I779" s="251"/>
      <c r="J779" s="289"/>
      <c r="L779" s="251"/>
      <c r="M779" s="289"/>
    </row>
    <row r="780" spans="1:13" ht="14.25" hidden="1" customHeight="1" x14ac:dyDescent="0.25">
      <c r="A780" s="289"/>
      <c r="F780" s="251"/>
      <c r="H780" s="251"/>
      <c r="I780" s="251"/>
      <c r="J780" s="289"/>
      <c r="L780" s="251"/>
      <c r="M780" s="289"/>
    </row>
    <row r="781" spans="1:13" ht="14.25" hidden="1" customHeight="1" x14ac:dyDescent="0.25">
      <c r="A781" s="289"/>
      <c r="F781" s="251"/>
      <c r="H781" s="251"/>
      <c r="I781" s="251"/>
      <c r="J781" s="289"/>
      <c r="L781" s="251"/>
      <c r="M781" s="289"/>
    </row>
    <row r="782" spans="1:13" ht="14.25" hidden="1" customHeight="1" x14ac:dyDescent="0.25">
      <c r="A782" s="289"/>
      <c r="F782" s="251"/>
      <c r="H782" s="251"/>
      <c r="I782" s="251"/>
      <c r="J782" s="289"/>
      <c r="L782" s="251"/>
      <c r="M782" s="289"/>
    </row>
    <row r="783" spans="1:13" ht="14.25" hidden="1" customHeight="1" x14ac:dyDescent="0.25">
      <c r="A783" s="289"/>
      <c r="F783" s="251"/>
      <c r="H783" s="251"/>
      <c r="I783" s="251"/>
      <c r="J783" s="289"/>
      <c r="L783" s="251"/>
      <c r="M783" s="289"/>
    </row>
    <row r="784" spans="1:13" ht="14.25" hidden="1" customHeight="1" x14ac:dyDescent="0.25">
      <c r="A784" s="289"/>
      <c r="F784" s="251"/>
      <c r="H784" s="251"/>
      <c r="I784" s="251"/>
      <c r="J784" s="289"/>
      <c r="L784" s="251"/>
      <c r="M784" s="289"/>
    </row>
    <row r="785" spans="1:13" ht="14.25" hidden="1" customHeight="1" x14ac:dyDescent="0.25">
      <c r="A785" s="289"/>
      <c r="F785" s="251"/>
      <c r="H785" s="251"/>
      <c r="I785" s="251"/>
      <c r="J785" s="289"/>
      <c r="L785" s="251"/>
      <c r="M785" s="289"/>
    </row>
    <row r="786" spans="1:13" ht="14.25" hidden="1" customHeight="1" x14ac:dyDescent="0.25">
      <c r="A786" s="289"/>
      <c r="F786" s="251"/>
      <c r="H786" s="251"/>
      <c r="I786" s="251"/>
      <c r="J786" s="289"/>
      <c r="L786" s="251"/>
      <c r="M786" s="289"/>
    </row>
    <row r="787" spans="1:13" ht="14.25" hidden="1" customHeight="1" x14ac:dyDescent="0.25">
      <c r="A787" s="289"/>
      <c r="F787" s="251"/>
      <c r="H787" s="251"/>
      <c r="I787" s="251"/>
      <c r="J787" s="289"/>
      <c r="L787" s="251"/>
      <c r="M787" s="289"/>
    </row>
    <row r="788" spans="1:13" ht="14.25" hidden="1" customHeight="1" x14ac:dyDescent="0.25">
      <c r="A788" s="289"/>
      <c r="F788" s="251"/>
      <c r="H788" s="251"/>
      <c r="I788" s="251"/>
      <c r="J788" s="289"/>
      <c r="L788" s="251"/>
      <c r="M788" s="289"/>
    </row>
    <row r="789" spans="1:13" ht="14.25" hidden="1" customHeight="1" x14ac:dyDescent="0.25">
      <c r="A789" s="289"/>
      <c r="F789" s="251"/>
      <c r="H789" s="251"/>
      <c r="I789" s="251"/>
      <c r="J789" s="289"/>
      <c r="L789" s="251"/>
      <c r="M789" s="289"/>
    </row>
    <row r="790" spans="1:13" ht="14.25" hidden="1" customHeight="1" x14ac:dyDescent="0.25">
      <c r="A790" s="289"/>
      <c r="F790" s="251"/>
      <c r="H790" s="251"/>
      <c r="I790" s="251"/>
      <c r="J790" s="289"/>
      <c r="L790" s="251"/>
      <c r="M790" s="289"/>
    </row>
    <row r="791" spans="1:13" ht="14.25" hidden="1" customHeight="1" x14ac:dyDescent="0.25">
      <c r="A791" s="289"/>
      <c r="F791" s="251"/>
      <c r="H791" s="251"/>
      <c r="I791" s="251"/>
      <c r="J791" s="289"/>
      <c r="L791" s="251"/>
      <c r="M791" s="289"/>
    </row>
    <row r="792" spans="1:13" ht="14.25" hidden="1" customHeight="1" x14ac:dyDescent="0.25">
      <c r="A792" s="289"/>
      <c r="F792" s="251"/>
      <c r="H792" s="251"/>
      <c r="I792" s="251"/>
      <c r="J792" s="289"/>
      <c r="L792" s="251"/>
      <c r="M792" s="289"/>
    </row>
    <row r="793" spans="1:13" ht="14.25" hidden="1" customHeight="1" x14ac:dyDescent="0.25">
      <c r="A793" s="289"/>
      <c r="F793" s="251"/>
      <c r="H793" s="251"/>
      <c r="I793" s="251"/>
      <c r="J793" s="289"/>
      <c r="L793" s="251"/>
      <c r="M793" s="289"/>
    </row>
    <row r="794" spans="1:13" ht="14.25" hidden="1" customHeight="1" x14ac:dyDescent="0.25">
      <c r="A794" s="289"/>
      <c r="F794" s="251"/>
      <c r="H794" s="251"/>
      <c r="I794" s="251"/>
      <c r="J794" s="289"/>
      <c r="L794" s="251"/>
      <c r="M794" s="289"/>
    </row>
    <row r="795" spans="1:13" ht="14.25" hidden="1" customHeight="1" x14ac:dyDescent="0.25">
      <c r="A795" s="289"/>
      <c r="F795" s="251"/>
      <c r="H795" s="251"/>
      <c r="I795" s="251"/>
      <c r="J795" s="289"/>
      <c r="L795" s="251"/>
      <c r="M795" s="289"/>
    </row>
    <row r="796" spans="1:13" ht="14.25" hidden="1" customHeight="1" x14ac:dyDescent="0.25">
      <c r="A796" s="289"/>
      <c r="F796" s="251"/>
      <c r="H796" s="251"/>
      <c r="I796" s="251"/>
      <c r="J796" s="289"/>
      <c r="L796" s="251"/>
      <c r="M796" s="289"/>
    </row>
    <row r="797" spans="1:13" ht="14.25" hidden="1" customHeight="1" x14ac:dyDescent="0.25">
      <c r="A797" s="289"/>
      <c r="F797" s="251"/>
      <c r="H797" s="251"/>
      <c r="I797" s="251"/>
      <c r="J797" s="289"/>
      <c r="L797" s="251"/>
      <c r="M797" s="289"/>
    </row>
    <row r="798" spans="1:13" ht="14.25" hidden="1" customHeight="1" x14ac:dyDescent="0.25">
      <c r="A798" s="289"/>
      <c r="F798" s="251"/>
      <c r="H798" s="251"/>
      <c r="I798" s="251"/>
      <c r="J798" s="289"/>
      <c r="L798" s="251"/>
      <c r="M798" s="289"/>
    </row>
    <row r="799" spans="1:13" ht="14.25" hidden="1" customHeight="1" x14ac:dyDescent="0.25">
      <c r="A799" s="289"/>
      <c r="F799" s="251"/>
      <c r="H799" s="251"/>
      <c r="I799" s="251"/>
      <c r="J799" s="289"/>
      <c r="L799" s="251"/>
      <c r="M799" s="289"/>
    </row>
    <row r="800" spans="1:13" ht="14.25" hidden="1" customHeight="1" x14ac:dyDescent="0.25">
      <c r="A800" s="289"/>
      <c r="F800" s="251"/>
      <c r="H800" s="251"/>
      <c r="I800" s="251"/>
      <c r="J800" s="289"/>
      <c r="L800" s="251"/>
      <c r="M800" s="289"/>
    </row>
    <row r="801" spans="1:13" ht="14.25" hidden="1" customHeight="1" x14ac:dyDescent="0.25">
      <c r="A801" s="289"/>
      <c r="F801" s="251"/>
      <c r="H801" s="251"/>
      <c r="I801" s="251"/>
      <c r="J801" s="289"/>
      <c r="L801" s="251"/>
      <c r="M801" s="289"/>
    </row>
    <row r="802" spans="1:13" ht="14.25" hidden="1" customHeight="1" x14ac:dyDescent="0.25">
      <c r="A802" s="289"/>
      <c r="F802" s="251"/>
      <c r="H802" s="251"/>
      <c r="I802" s="251"/>
      <c r="J802" s="289"/>
      <c r="L802" s="251"/>
      <c r="M802" s="289"/>
    </row>
    <row r="803" spans="1:13" ht="14.25" hidden="1" customHeight="1" x14ac:dyDescent="0.25">
      <c r="A803" s="289"/>
      <c r="F803" s="251"/>
      <c r="H803" s="251"/>
      <c r="I803" s="251"/>
      <c r="J803" s="289"/>
      <c r="L803" s="251"/>
      <c r="M803" s="289"/>
    </row>
    <row r="804" spans="1:13" ht="14.25" hidden="1" customHeight="1" x14ac:dyDescent="0.25">
      <c r="A804" s="289"/>
      <c r="F804" s="251"/>
      <c r="H804" s="251"/>
      <c r="I804" s="251"/>
      <c r="J804" s="289"/>
      <c r="L804" s="251"/>
      <c r="M804" s="289"/>
    </row>
    <row r="805" spans="1:13" ht="14.25" hidden="1" customHeight="1" x14ac:dyDescent="0.25">
      <c r="A805" s="289"/>
      <c r="F805" s="251"/>
      <c r="H805" s="251"/>
      <c r="I805" s="251"/>
      <c r="J805" s="289"/>
      <c r="L805" s="251"/>
      <c r="M805" s="289"/>
    </row>
    <row r="806" spans="1:13" ht="14.25" hidden="1" customHeight="1" x14ac:dyDescent="0.25">
      <c r="A806" s="289"/>
      <c r="F806" s="251"/>
      <c r="H806" s="251"/>
      <c r="I806" s="251"/>
      <c r="J806" s="289"/>
      <c r="L806" s="251"/>
      <c r="M806" s="289"/>
    </row>
    <row r="807" spans="1:13" ht="14.25" hidden="1" customHeight="1" x14ac:dyDescent="0.25">
      <c r="A807" s="289"/>
      <c r="F807" s="251"/>
      <c r="H807" s="251"/>
      <c r="I807" s="251"/>
      <c r="J807" s="289"/>
      <c r="L807" s="251"/>
      <c r="M807" s="289"/>
    </row>
    <row r="808" spans="1:13" ht="14.25" hidden="1" customHeight="1" x14ac:dyDescent="0.25">
      <c r="A808" s="289"/>
      <c r="F808" s="251"/>
      <c r="H808" s="251"/>
      <c r="I808" s="251"/>
      <c r="J808" s="289"/>
      <c r="L808" s="251"/>
      <c r="M808" s="289"/>
    </row>
    <row r="809" spans="1:13" ht="14.25" hidden="1" customHeight="1" x14ac:dyDescent="0.25">
      <c r="A809" s="289"/>
      <c r="F809" s="251"/>
      <c r="H809" s="251"/>
      <c r="I809" s="251"/>
      <c r="J809" s="289"/>
      <c r="L809" s="251"/>
      <c r="M809" s="289"/>
    </row>
    <row r="810" spans="1:13" ht="14.25" hidden="1" customHeight="1" x14ac:dyDescent="0.25">
      <c r="A810" s="289"/>
      <c r="F810" s="251"/>
      <c r="H810" s="251"/>
      <c r="I810" s="251"/>
      <c r="J810" s="289"/>
      <c r="L810" s="251"/>
      <c r="M810" s="289"/>
    </row>
    <row r="811" spans="1:13" ht="14.25" hidden="1" customHeight="1" x14ac:dyDescent="0.25">
      <c r="A811" s="289"/>
      <c r="F811" s="251"/>
      <c r="H811" s="251"/>
      <c r="I811" s="251"/>
      <c r="J811" s="289"/>
      <c r="L811" s="251"/>
      <c r="M811" s="289"/>
    </row>
    <row r="812" spans="1:13" ht="14.25" hidden="1" customHeight="1" x14ac:dyDescent="0.25">
      <c r="A812" s="289"/>
      <c r="F812" s="251"/>
      <c r="H812" s="251"/>
      <c r="I812" s="251"/>
      <c r="J812" s="289"/>
      <c r="L812" s="251"/>
      <c r="M812" s="289"/>
    </row>
    <row r="813" spans="1:13" ht="14.25" hidden="1" customHeight="1" x14ac:dyDescent="0.25">
      <c r="A813" s="289"/>
      <c r="F813" s="251"/>
      <c r="H813" s="251"/>
      <c r="I813" s="251"/>
      <c r="J813" s="289"/>
      <c r="L813" s="251"/>
      <c r="M813" s="289"/>
    </row>
    <row r="814" spans="1:13" ht="14.25" hidden="1" customHeight="1" x14ac:dyDescent="0.25">
      <c r="A814" s="289"/>
      <c r="F814" s="251"/>
      <c r="H814" s="251"/>
      <c r="I814" s="251"/>
      <c r="J814" s="289"/>
      <c r="L814" s="251"/>
      <c r="M814" s="289"/>
    </row>
    <row r="815" spans="1:13" ht="14.25" hidden="1" customHeight="1" x14ac:dyDescent="0.25">
      <c r="A815" s="289"/>
      <c r="F815" s="251"/>
      <c r="H815" s="251"/>
      <c r="I815" s="251"/>
      <c r="J815" s="289"/>
      <c r="L815" s="251"/>
      <c r="M815" s="289"/>
    </row>
    <row r="816" spans="1:13" ht="14.25" hidden="1" customHeight="1" x14ac:dyDescent="0.25">
      <c r="A816" s="289"/>
      <c r="F816" s="251"/>
      <c r="H816" s="251"/>
      <c r="I816" s="251"/>
      <c r="J816" s="289"/>
      <c r="L816" s="251"/>
      <c r="M816" s="289"/>
    </row>
    <row r="817" spans="1:13" ht="14.25" hidden="1" customHeight="1" x14ac:dyDescent="0.25">
      <c r="A817" s="289"/>
      <c r="F817" s="251"/>
      <c r="H817" s="251"/>
      <c r="I817" s="251"/>
      <c r="J817" s="289"/>
      <c r="L817" s="251"/>
      <c r="M817" s="289"/>
    </row>
    <row r="818" spans="1:13" ht="14.25" hidden="1" customHeight="1" x14ac:dyDescent="0.25">
      <c r="A818" s="289"/>
      <c r="F818" s="251"/>
      <c r="H818" s="251"/>
      <c r="I818" s="251"/>
      <c r="J818" s="289"/>
      <c r="L818" s="251"/>
      <c r="M818" s="289"/>
    </row>
    <row r="819" spans="1:13" ht="14.25" hidden="1" customHeight="1" x14ac:dyDescent="0.25">
      <c r="A819" s="289"/>
      <c r="F819" s="251"/>
      <c r="H819" s="251"/>
      <c r="I819" s="251"/>
      <c r="J819" s="289"/>
      <c r="L819" s="251"/>
      <c r="M819" s="289"/>
    </row>
    <row r="820" spans="1:13" ht="14.25" hidden="1" customHeight="1" x14ac:dyDescent="0.25">
      <c r="A820" s="289"/>
      <c r="F820" s="251"/>
      <c r="H820" s="251"/>
      <c r="I820" s="251"/>
      <c r="J820" s="289"/>
      <c r="L820" s="251"/>
      <c r="M820" s="289"/>
    </row>
    <row r="821" spans="1:13" ht="14.25" hidden="1" customHeight="1" x14ac:dyDescent="0.25">
      <c r="A821" s="289"/>
      <c r="F821" s="251"/>
      <c r="H821" s="251"/>
      <c r="I821" s="251"/>
      <c r="J821" s="289"/>
      <c r="L821" s="251"/>
      <c r="M821" s="289"/>
    </row>
    <row r="822" spans="1:13" ht="14.25" hidden="1" customHeight="1" x14ac:dyDescent="0.25">
      <c r="A822" s="289"/>
      <c r="F822" s="251"/>
      <c r="H822" s="251"/>
      <c r="I822" s="251"/>
      <c r="J822" s="289"/>
      <c r="L822" s="251"/>
      <c r="M822" s="289"/>
    </row>
    <row r="823" spans="1:13" ht="14.25" hidden="1" customHeight="1" x14ac:dyDescent="0.25">
      <c r="A823" s="289"/>
      <c r="F823" s="251"/>
      <c r="H823" s="251"/>
      <c r="I823" s="251"/>
      <c r="J823" s="289"/>
      <c r="L823" s="251"/>
      <c r="M823" s="289"/>
    </row>
    <row r="824" spans="1:13" ht="14.25" hidden="1" customHeight="1" x14ac:dyDescent="0.25">
      <c r="A824" s="289"/>
      <c r="F824" s="251"/>
      <c r="H824" s="251"/>
      <c r="I824" s="251"/>
      <c r="J824" s="289"/>
      <c r="L824" s="251"/>
      <c r="M824" s="289"/>
    </row>
    <row r="825" spans="1:13" ht="14.25" hidden="1" customHeight="1" x14ac:dyDescent="0.25">
      <c r="A825" s="289"/>
      <c r="F825" s="251"/>
      <c r="H825" s="251"/>
      <c r="I825" s="251"/>
      <c r="J825" s="289"/>
      <c r="L825" s="251"/>
      <c r="M825" s="289"/>
    </row>
    <row r="826" spans="1:13" ht="14.25" hidden="1" customHeight="1" x14ac:dyDescent="0.25">
      <c r="A826" s="289"/>
      <c r="F826" s="251"/>
      <c r="H826" s="251"/>
      <c r="I826" s="251"/>
      <c r="J826" s="289"/>
      <c r="L826" s="251"/>
      <c r="M826" s="289"/>
    </row>
    <row r="827" spans="1:13" ht="14.25" hidden="1" customHeight="1" x14ac:dyDescent="0.25">
      <c r="A827" s="289"/>
      <c r="F827" s="251"/>
      <c r="H827" s="251"/>
      <c r="I827" s="251"/>
      <c r="J827" s="289"/>
      <c r="L827" s="251"/>
      <c r="M827" s="289"/>
    </row>
    <row r="828" spans="1:13" ht="14.25" hidden="1" customHeight="1" x14ac:dyDescent="0.25">
      <c r="A828" s="289"/>
      <c r="F828" s="251"/>
      <c r="H828" s="251"/>
      <c r="I828" s="251"/>
      <c r="J828" s="289"/>
      <c r="L828" s="251"/>
      <c r="M828" s="289"/>
    </row>
    <row r="829" spans="1:13" ht="14.25" hidden="1" customHeight="1" x14ac:dyDescent="0.25">
      <c r="A829" s="289"/>
      <c r="F829" s="251"/>
      <c r="H829" s="251"/>
      <c r="I829" s="251"/>
      <c r="J829" s="289"/>
      <c r="L829" s="251"/>
      <c r="M829" s="289"/>
    </row>
    <row r="830" spans="1:13" ht="14.25" hidden="1" customHeight="1" x14ac:dyDescent="0.25">
      <c r="A830" s="289"/>
      <c r="F830" s="251"/>
      <c r="H830" s="251"/>
      <c r="I830" s="251"/>
      <c r="J830" s="289"/>
      <c r="L830" s="251"/>
      <c r="M830" s="289"/>
    </row>
    <row r="831" spans="1:13" ht="14.25" hidden="1" customHeight="1" x14ac:dyDescent="0.25">
      <c r="A831" s="289"/>
      <c r="F831" s="251"/>
      <c r="H831" s="251"/>
      <c r="I831" s="251"/>
      <c r="J831" s="289"/>
      <c r="L831" s="251"/>
      <c r="M831" s="289"/>
    </row>
    <row r="832" spans="1:13" ht="14.25" hidden="1" customHeight="1" x14ac:dyDescent="0.25">
      <c r="A832" s="289"/>
      <c r="F832" s="251"/>
      <c r="H832" s="251"/>
      <c r="I832" s="251"/>
      <c r="J832" s="289"/>
      <c r="L832" s="251"/>
      <c r="M832" s="289"/>
    </row>
    <row r="833" spans="1:13" ht="14.25" hidden="1" customHeight="1" x14ac:dyDescent="0.25">
      <c r="A833" s="289"/>
      <c r="F833" s="251"/>
      <c r="H833" s="251"/>
      <c r="I833" s="251"/>
      <c r="J833" s="289"/>
      <c r="L833" s="251"/>
      <c r="M833" s="289"/>
    </row>
    <row r="834" spans="1:13" ht="14.25" hidden="1" customHeight="1" x14ac:dyDescent="0.25">
      <c r="A834" s="289"/>
      <c r="F834" s="251"/>
      <c r="H834" s="251"/>
      <c r="I834" s="251"/>
      <c r="J834" s="289"/>
      <c r="L834" s="251"/>
      <c r="M834" s="289"/>
    </row>
    <row r="835" spans="1:13" ht="14.25" hidden="1" customHeight="1" x14ac:dyDescent="0.25">
      <c r="A835" s="289"/>
      <c r="F835" s="251"/>
      <c r="H835" s="251"/>
      <c r="I835" s="251"/>
      <c r="J835" s="289"/>
      <c r="L835" s="251"/>
      <c r="M835" s="289"/>
    </row>
    <row r="836" spans="1:13" ht="14.25" hidden="1" customHeight="1" x14ac:dyDescent="0.25">
      <c r="A836" s="289"/>
      <c r="F836" s="251"/>
      <c r="H836" s="251"/>
      <c r="I836" s="251"/>
      <c r="J836" s="289"/>
      <c r="L836" s="251"/>
      <c r="M836" s="289"/>
    </row>
    <row r="837" spans="1:13" ht="14.25" hidden="1" customHeight="1" x14ac:dyDescent="0.25">
      <c r="A837" s="289"/>
      <c r="F837" s="251"/>
      <c r="H837" s="251"/>
      <c r="I837" s="251"/>
      <c r="J837" s="289"/>
      <c r="L837" s="251"/>
      <c r="M837" s="289"/>
    </row>
    <row r="838" spans="1:13" ht="14.25" hidden="1" customHeight="1" x14ac:dyDescent="0.25">
      <c r="A838" s="289"/>
      <c r="F838" s="251"/>
      <c r="H838" s="251"/>
      <c r="I838" s="251"/>
      <c r="J838" s="289"/>
      <c r="L838" s="251"/>
      <c r="M838" s="289"/>
    </row>
    <row r="839" spans="1:13" ht="14.25" hidden="1" customHeight="1" x14ac:dyDescent="0.25">
      <c r="A839" s="289"/>
      <c r="F839" s="251"/>
      <c r="H839" s="251"/>
      <c r="I839" s="251"/>
      <c r="J839" s="289"/>
      <c r="L839" s="251"/>
      <c r="M839" s="289"/>
    </row>
    <row r="840" spans="1:13" ht="14.25" hidden="1" customHeight="1" x14ac:dyDescent="0.25">
      <c r="A840" s="289"/>
      <c r="F840" s="251"/>
      <c r="H840" s="251"/>
      <c r="I840" s="251"/>
      <c r="J840" s="289"/>
      <c r="L840" s="251"/>
      <c r="M840" s="289"/>
    </row>
    <row r="841" spans="1:13" ht="14.25" hidden="1" customHeight="1" x14ac:dyDescent="0.25">
      <c r="A841" s="289"/>
      <c r="F841" s="251"/>
      <c r="H841" s="251"/>
      <c r="I841" s="251"/>
      <c r="J841" s="289"/>
      <c r="L841" s="251"/>
      <c r="M841" s="289"/>
    </row>
    <row r="842" spans="1:13" ht="14.25" hidden="1" customHeight="1" x14ac:dyDescent="0.25">
      <c r="A842" s="289"/>
      <c r="F842" s="251"/>
      <c r="H842" s="251"/>
      <c r="I842" s="251"/>
      <c r="J842" s="289"/>
      <c r="L842" s="251"/>
      <c r="M842" s="289"/>
    </row>
    <row r="843" spans="1:13" ht="14.25" hidden="1" customHeight="1" x14ac:dyDescent="0.25">
      <c r="A843" s="289"/>
      <c r="F843" s="251"/>
      <c r="H843" s="251"/>
      <c r="I843" s="251"/>
      <c r="J843" s="289"/>
      <c r="L843" s="251"/>
      <c r="M843" s="289"/>
    </row>
    <row r="844" spans="1:13" ht="14.25" hidden="1" customHeight="1" x14ac:dyDescent="0.25">
      <c r="A844" s="289"/>
      <c r="F844" s="251"/>
      <c r="H844" s="251"/>
      <c r="I844" s="251"/>
      <c r="J844" s="289"/>
      <c r="L844" s="251"/>
      <c r="M844" s="289"/>
    </row>
    <row r="845" spans="1:13" ht="14.25" hidden="1" customHeight="1" x14ac:dyDescent="0.25">
      <c r="A845" s="289"/>
      <c r="F845" s="251"/>
      <c r="H845" s="251"/>
      <c r="I845" s="251"/>
      <c r="J845" s="289"/>
      <c r="L845" s="251"/>
      <c r="M845" s="289"/>
    </row>
    <row r="846" spans="1:13" ht="14.25" hidden="1" customHeight="1" x14ac:dyDescent="0.25">
      <c r="A846" s="289"/>
      <c r="F846" s="251"/>
      <c r="H846" s="251"/>
      <c r="I846" s="251"/>
      <c r="J846" s="289"/>
      <c r="L846" s="251"/>
      <c r="M846" s="289"/>
    </row>
    <row r="847" spans="1:13" ht="14.25" hidden="1" customHeight="1" x14ac:dyDescent="0.25">
      <c r="A847" s="289"/>
      <c r="F847" s="251"/>
      <c r="H847" s="251"/>
      <c r="I847" s="251"/>
      <c r="J847" s="289"/>
      <c r="L847" s="251"/>
      <c r="M847" s="289"/>
    </row>
    <row r="848" spans="1:13" ht="14.25" hidden="1" customHeight="1" x14ac:dyDescent="0.25">
      <c r="A848" s="289"/>
      <c r="F848" s="251"/>
      <c r="H848" s="251"/>
      <c r="I848" s="251"/>
      <c r="J848" s="289"/>
      <c r="L848" s="251"/>
      <c r="M848" s="289"/>
    </row>
    <row r="849" spans="1:13" ht="14.25" hidden="1" customHeight="1" x14ac:dyDescent="0.25">
      <c r="A849" s="289"/>
      <c r="F849" s="251"/>
      <c r="H849" s="251"/>
      <c r="I849" s="251"/>
      <c r="J849" s="289"/>
      <c r="L849" s="251"/>
      <c r="M849" s="289"/>
    </row>
    <row r="850" spans="1:13" ht="14.25" hidden="1" customHeight="1" x14ac:dyDescent="0.25">
      <c r="A850" s="289"/>
      <c r="F850" s="251"/>
      <c r="H850" s="251"/>
      <c r="I850" s="251"/>
      <c r="J850" s="289"/>
      <c r="L850" s="251"/>
      <c r="M850" s="289"/>
    </row>
    <row r="851" spans="1:13" ht="14.25" hidden="1" customHeight="1" x14ac:dyDescent="0.25">
      <c r="A851" s="289"/>
      <c r="F851" s="251"/>
      <c r="H851" s="251"/>
      <c r="I851" s="251"/>
      <c r="J851" s="289"/>
      <c r="L851" s="251"/>
      <c r="M851" s="289"/>
    </row>
    <row r="852" spans="1:13" ht="14.25" hidden="1" customHeight="1" x14ac:dyDescent="0.25">
      <c r="A852" s="289"/>
      <c r="F852" s="251"/>
      <c r="H852" s="251"/>
      <c r="I852" s="251"/>
      <c r="J852" s="289"/>
      <c r="L852" s="251"/>
      <c r="M852" s="289"/>
    </row>
    <row r="853" spans="1:13" ht="14.25" hidden="1" customHeight="1" x14ac:dyDescent="0.25">
      <c r="A853" s="289"/>
      <c r="F853" s="251"/>
      <c r="H853" s="251"/>
      <c r="I853" s="251"/>
      <c r="J853" s="289"/>
      <c r="L853" s="251"/>
      <c r="M853" s="289"/>
    </row>
    <row r="854" spans="1:13" ht="14.25" hidden="1" customHeight="1" x14ac:dyDescent="0.25">
      <c r="A854" s="289"/>
      <c r="F854" s="251"/>
      <c r="H854" s="251"/>
      <c r="I854" s="251"/>
      <c r="J854" s="289"/>
      <c r="L854" s="251"/>
      <c r="M854" s="289"/>
    </row>
    <row r="855" spans="1:13" ht="14.25" hidden="1" customHeight="1" x14ac:dyDescent="0.25">
      <c r="A855" s="289"/>
      <c r="F855" s="251"/>
      <c r="H855" s="251"/>
      <c r="I855" s="251"/>
      <c r="J855" s="289"/>
      <c r="L855" s="251"/>
      <c r="M855" s="289"/>
    </row>
    <row r="856" spans="1:13" ht="14.25" hidden="1" customHeight="1" x14ac:dyDescent="0.25">
      <c r="A856" s="289"/>
      <c r="F856" s="251"/>
      <c r="H856" s="251"/>
      <c r="I856" s="251"/>
      <c r="J856" s="289"/>
      <c r="L856" s="251"/>
      <c r="M856" s="289"/>
    </row>
    <row r="857" spans="1:13" ht="14.25" hidden="1" customHeight="1" x14ac:dyDescent="0.25">
      <c r="A857" s="289"/>
      <c r="F857" s="251"/>
      <c r="H857" s="251"/>
      <c r="I857" s="251"/>
      <c r="J857" s="289"/>
      <c r="L857" s="251"/>
      <c r="M857" s="289"/>
    </row>
    <row r="858" spans="1:13" ht="14.25" hidden="1" customHeight="1" x14ac:dyDescent="0.25">
      <c r="A858" s="289"/>
      <c r="F858" s="251"/>
      <c r="H858" s="251"/>
      <c r="I858" s="251"/>
      <c r="J858" s="289"/>
      <c r="L858" s="251"/>
      <c r="M858" s="289"/>
    </row>
    <row r="859" spans="1:13" ht="14.25" hidden="1" customHeight="1" x14ac:dyDescent="0.25">
      <c r="A859" s="289"/>
      <c r="F859" s="251"/>
      <c r="H859" s="251"/>
      <c r="I859" s="251"/>
      <c r="J859" s="289"/>
      <c r="L859" s="251"/>
      <c r="M859" s="289"/>
    </row>
    <row r="860" spans="1:13" ht="14.25" hidden="1" customHeight="1" x14ac:dyDescent="0.25">
      <c r="A860" s="289"/>
      <c r="F860" s="251"/>
      <c r="H860" s="251"/>
      <c r="I860" s="251"/>
      <c r="J860" s="289"/>
      <c r="L860" s="251"/>
      <c r="M860" s="289"/>
    </row>
    <row r="861" spans="1:13" ht="14.25" hidden="1" customHeight="1" x14ac:dyDescent="0.25">
      <c r="A861" s="289"/>
      <c r="F861" s="251"/>
      <c r="H861" s="251"/>
      <c r="I861" s="251"/>
      <c r="J861" s="289"/>
      <c r="L861" s="251"/>
      <c r="M861" s="289"/>
    </row>
    <row r="862" spans="1:13" ht="14.25" hidden="1" customHeight="1" x14ac:dyDescent="0.25">
      <c r="A862" s="289"/>
      <c r="F862" s="251"/>
      <c r="H862" s="251"/>
      <c r="I862" s="251"/>
      <c r="J862" s="289"/>
      <c r="L862" s="251"/>
      <c r="M862" s="289"/>
    </row>
    <row r="863" spans="1:13" ht="14.25" hidden="1" customHeight="1" x14ac:dyDescent="0.25">
      <c r="A863" s="289"/>
      <c r="F863" s="251"/>
      <c r="H863" s="251"/>
      <c r="I863" s="251"/>
      <c r="J863" s="289"/>
      <c r="L863" s="251"/>
      <c r="M863" s="289"/>
    </row>
    <row r="864" spans="1:13" ht="14.25" hidden="1" customHeight="1" x14ac:dyDescent="0.25">
      <c r="A864" s="289"/>
      <c r="F864" s="251"/>
      <c r="H864" s="251"/>
      <c r="I864" s="251"/>
      <c r="J864" s="289"/>
      <c r="L864" s="251"/>
      <c r="M864" s="289"/>
    </row>
    <row r="865" spans="1:13" ht="14.25" hidden="1" customHeight="1" x14ac:dyDescent="0.25">
      <c r="A865" s="289"/>
      <c r="F865" s="251"/>
      <c r="H865" s="251"/>
      <c r="I865" s="251"/>
      <c r="J865" s="289"/>
      <c r="L865" s="251"/>
      <c r="M865" s="289"/>
    </row>
    <row r="866" spans="1:13" ht="14.25" hidden="1" customHeight="1" x14ac:dyDescent="0.25">
      <c r="A866" s="289"/>
      <c r="F866" s="251"/>
      <c r="H866" s="251"/>
      <c r="I866" s="251"/>
      <c r="J866" s="289"/>
      <c r="L866" s="251"/>
      <c r="M866" s="289"/>
    </row>
    <row r="867" spans="1:13" ht="14.25" hidden="1" customHeight="1" x14ac:dyDescent="0.25">
      <c r="A867" s="289"/>
      <c r="F867" s="251"/>
      <c r="H867" s="251"/>
      <c r="I867" s="251"/>
      <c r="J867" s="289"/>
      <c r="L867" s="251"/>
      <c r="M867" s="289"/>
    </row>
    <row r="868" spans="1:13" ht="14.25" hidden="1" customHeight="1" x14ac:dyDescent="0.25">
      <c r="A868" s="289"/>
      <c r="F868" s="251"/>
      <c r="H868" s="251"/>
      <c r="I868" s="251"/>
      <c r="J868" s="289"/>
      <c r="L868" s="251"/>
      <c r="M868" s="289"/>
    </row>
    <row r="869" spans="1:13" ht="14.25" hidden="1" customHeight="1" x14ac:dyDescent="0.25">
      <c r="A869" s="289"/>
      <c r="F869" s="251"/>
      <c r="H869" s="251"/>
      <c r="I869" s="251"/>
      <c r="J869" s="289"/>
      <c r="L869" s="251"/>
      <c r="M869" s="289"/>
    </row>
    <row r="870" spans="1:13" ht="14.25" hidden="1" customHeight="1" x14ac:dyDescent="0.25">
      <c r="A870" s="289"/>
      <c r="F870" s="251"/>
      <c r="H870" s="251"/>
      <c r="I870" s="251"/>
      <c r="J870" s="289"/>
      <c r="L870" s="251"/>
      <c r="M870" s="289"/>
    </row>
    <row r="871" spans="1:13" ht="14.25" hidden="1" customHeight="1" x14ac:dyDescent="0.25">
      <c r="A871" s="289"/>
      <c r="F871" s="251"/>
      <c r="H871" s="251"/>
      <c r="I871" s="251"/>
      <c r="J871" s="289"/>
      <c r="L871" s="251"/>
      <c r="M871" s="289"/>
    </row>
    <row r="872" spans="1:13" ht="14.25" hidden="1" customHeight="1" x14ac:dyDescent="0.25">
      <c r="A872" s="289"/>
      <c r="F872" s="251"/>
      <c r="H872" s="251"/>
      <c r="I872" s="251"/>
      <c r="J872" s="289"/>
      <c r="L872" s="251"/>
      <c r="M872" s="289"/>
    </row>
    <row r="873" spans="1:13" ht="14.25" hidden="1" customHeight="1" x14ac:dyDescent="0.25">
      <c r="A873" s="289"/>
      <c r="F873" s="251"/>
      <c r="H873" s="251"/>
      <c r="I873" s="251"/>
      <c r="J873" s="289"/>
      <c r="L873" s="251"/>
      <c r="M873" s="289"/>
    </row>
    <row r="874" spans="1:13" ht="14.25" hidden="1" customHeight="1" x14ac:dyDescent="0.25">
      <c r="A874" s="289"/>
      <c r="F874" s="251"/>
      <c r="H874" s="251"/>
      <c r="I874" s="251"/>
      <c r="J874" s="289"/>
      <c r="L874" s="251"/>
      <c r="M874" s="289"/>
    </row>
    <row r="875" spans="1:13" ht="14.25" hidden="1" customHeight="1" x14ac:dyDescent="0.25">
      <c r="A875" s="289"/>
      <c r="F875" s="251"/>
      <c r="H875" s="251"/>
      <c r="I875" s="251"/>
      <c r="J875" s="289"/>
      <c r="L875" s="251"/>
      <c r="M875" s="289"/>
    </row>
    <row r="876" spans="1:13" ht="14.25" hidden="1" customHeight="1" x14ac:dyDescent="0.25">
      <c r="A876" s="289"/>
      <c r="F876" s="251"/>
      <c r="H876" s="251"/>
      <c r="I876" s="251"/>
      <c r="J876" s="289"/>
      <c r="L876" s="251"/>
      <c r="M876" s="289"/>
    </row>
    <row r="877" spans="1:13" ht="14.25" hidden="1" customHeight="1" x14ac:dyDescent="0.25">
      <c r="A877" s="289"/>
      <c r="F877" s="251"/>
      <c r="H877" s="251"/>
      <c r="I877" s="251"/>
      <c r="J877" s="289"/>
      <c r="L877" s="251"/>
      <c r="M877" s="289"/>
    </row>
    <row r="878" spans="1:13" ht="14.25" hidden="1" customHeight="1" x14ac:dyDescent="0.25">
      <c r="A878" s="289"/>
      <c r="F878" s="251"/>
      <c r="H878" s="251"/>
      <c r="I878" s="251"/>
      <c r="J878" s="289"/>
      <c r="L878" s="251"/>
      <c r="M878" s="289"/>
    </row>
    <row r="879" spans="1:13" ht="14.25" hidden="1" customHeight="1" x14ac:dyDescent="0.25">
      <c r="A879" s="289"/>
      <c r="F879" s="251"/>
      <c r="H879" s="251"/>
      <c r="I879" s="251"/>
      <c r="J879" s="289"/>
      <c r="L879" s="251"/>
      <c r="M879" s="289"/>
    </row>
    <row r="880" spans="1:13" ht="14.25" hidden="1" customHeight="1" x14ac:dyDescent="0.25">
      <c r="A880" s="289"/>
      <c r="F880" s="251"/>
      <c r="H880" s="251"/>
      <c r="I880" s="251"/>
      <c r="J880" s="289"/>
      <c r="L880" s="251"/>
      <c r="M880" s="289"/>
    </row>
    <row r="881" spans="1:13" ht="14.25" hidden="1" customHeight="1" x14ac:dyDescent="0.25">
      <c r="A881" s="289"/>
      <c r="F881" s="251"/>
      <c r="H881" s="251"/>
      <c r="I881" s="251"/>
      <c r="J881" s="289"/>
      <c r="L881" s="251"/>
      <c r="M881" s="289"/>
    </row>
    <row r="882" spans="1:13" ht="14.25" hidden="1" customHeight="1" x14ac:dyDescent="0.25">
      <c r="A882" s="289"/>
      <c r="F882" s="251"/>
      <c r="H882" s="251"/>
      <c r="I882" s="251"/>
      <c r="J882" s="289"/>
      <c r="L882" s="251"/>
      <c r="M882" s="289"/>
    </row>
    <row r="883" spans="1:13" ht="14.25" hidden="1" customHeight="1" x14ac:dyDescent="0.25">
      <c r="A883" s="289"/>
      <c r="F883" s="251"/>
      <c r="H883" s="251"/>
      <c r="I883" s="251"/>
      <c r="J883" s="289"/>
      <c r="L883" s="251"/>
      <c r="M883" s="289"/>
    </row>
    <row r="884" spans="1:13" ht="14.25" hidden="1" customHeight="1" x14ac:dyDescent="0.25">
      <c r="A884" s="289"/>
      <c r="F884" s="251"/>
      <c r="H884" s="251"/>
      <c r="I884" s="251"/>
      <c r="J884" s="289"/>
      <c r="L884" s="251"/>
      <c r="M884" s="289"/>
    </row>
    <row r="885" spans="1:13" ht="14.25" hidden="1" customHeight="1" x14ac:dyDescent="0.25">
      <c r="A885" s="289"/>
      <c r="F885" s="251"/>
      <c r="H885" s="251"/>
      <c r="I885" s="251"/>
      <c r="J885" s="289"/>
      <c r="L885" s="251"/>
      <c r="M885" s="289"/>
    </row>
    <row r="886" spans="1:13" ht="14.25" hidden="1" customHeight="1" x14ac:dyDescent="0.25">
      <c r="A886" s="289"/>
      <c r="F886" s="251"/>
      <c r="H886" s="251"/>
      <c r="I886" s="251"/>
      <c r="J886" s="289"/>
      <c r="L886" s="251"/>
      <c r="M886" s="289"/>
    </row>
    <row r="887" spans="1:13" ht="14.25" hidden="1" customHeight="1" x14ac:dyDescent="0.25">
      <c r="A887" s="289"/>
      <c r="F887" s="251"/>
      <c r="H887" s="251"/>
      <c r="I887" s="251"/>
      <c r="J887" s="289"/>
      <c r="L887" s="251"/>
      <c r="M887" s="289"/>
    </row>
    <row r="888" spans="1:13" ht="14.25" hidden="1" customHeight="1" x14ac:dyDescent="0.25">
      <c r="A888" s="289"/>
      <c r="F888" s="251"/>
      <c r="H888" s="251"/>
      <c r="I888" s="251"/>
      <c r="J888" s="289"/>
      <c r="L888" s="251"/>
      <c r="M888" s="289"/>
    </row>
    <row r="889" spans="1:13" ht="14.25" hidden="1" customHeight="1" x14ac:dyDescent="0.25">
      <c r="A889" s="289"/>
      <c r="F889" s="251"/>
      <c r="H889" s="251"/>
      <c r="I889" s="251"/>
      <c r="J889" s="289"/>
      <c r="L889" s="251"/>
      <c r="M889" s="289"/>
    </row>
    <row r="890" spans="1:13" ht="14.25" hidden="1" customHeight="1" x14ac:dyDescent="0.25">
      <c r="A890" s="289"/>
      <c r="F890" s="251"/>
      <c r="H890" s="251"/>
      <c r="I890" s="251"/>
      <c r="J890" s="289"/>
      <c r="L890" s="251"/>
      <c r="M890" s="289"/>
    </row>
    <row r="891" spans="1:13" ht="14.25" hidden="1" customHeight="1" x14ac:dyDescent="0.25">
      <c r="A891" s="289"/>
      <c r="F891" s="251"/>
      <c r="H891" s="251"/>
      <c r="I891" s="251"/>
      <c r="J891" s="289"/>
      <c r="L891" s="251"/>
      <c r="M891" s="289"/>
    </row>
    <row r="892" spans="1:13" ht="14.25" hidden="1" customHeight="1" x14ac:dyDescent="0.25">
      <c r="A892" s="289"/>
      <c r="F892" s="251"/>
      <c r="H892" s="251"/>
      <c r="I892" s="251"/>
      <c r="J892" s="289"/>
      <c r="L892" s="251"/>
      <c r="M892" s="289"/>
    </row>
    <row r="893" spans="1:13" ht="14.25" hidden="1" customHeight="1" x14ac:dyDescent="0.25">
      <c r="A893" s="289"/>
      <c r="F893" s="251"/>
      <c r="H893" s="251"/>
      <c r="I893" s="251"/>
      <c r="J893" s="289"/>
      <c r="L893" s="251"/>
      <c r="M893" s="289"/>
    </row>
    <row r="894" spans="1:13" ht="14.25" hidden="1" customHeight="1" x14ac:dyDescent="0.25">
      <c r="A894" s="289"/>
      <c r="F894" s="251"/>
      <c r="H894" s="251"/>
      <c r="I894" s="251"/>
      <c r="J894" s="289"/>
      <c r="L894" s="251"/>
      <c r="M894" s="289"/>
    </row>
    <row r="895" spans="1:13" ht="14.25" hidden="1" customHeight="1" x14ac:dyDescent="0.25">
      <c r="A895" s="289"/>
      <c r="F895" s="251"/>
      <c r="H895" s="251"/>
      <c r="I895" s="251"/>
      <c r="J895" s="289"/>
      <c r="L895" s="251"/>
      <c r="M895" s="289"/>
    </row>
    <row r="896" spans="1:13" ht="14.25" hidden="1" customHeight="1" x14ac:dyDescent="0.25">
      <c r="A896" s="289"/>
      <c r="F896" s="251"/>
      <c r="H896" s="251"/>
      <c r="I896" s="251"/>
      <c r="J896" s="289"/>
      <c r="L896" s="251"/>
      <c r="M896" s="289"/>
    </row>
    <row r="897" spans="1:13" ht="14.25" hidden="1" customHeight="1" x14ac:dyDescent="0.25">
      <c r="A897" s="289"/>
      <c r="F897" s="251"/>
      <c r="H897" s="251"/>
      <c r="I897" s="251"/>
      <c r="J897" s="289"/>
      <c r="L897" s="251"/>
      <c r="M897" s="289"/>
    </row>
    <row r="898" spans="1:13" ht="14.25" hidden="1" customHeight="1" x14ac:dyDescent="0.25">
      <c r="A898" s="289"/>
      <c r="F898" s="251"/>
      <c r="H898" s="251"/>
      <c r="I898" s="251"/>
      <c r="J898" s="289"/>
      <c r="L898" s="251"/>
      <c r="M898" s="289"/>
    </row>
    <row r="899" spans="1:13" ht="14.25" hidden="1" customHeight="1" x14ac:dyDescent="0.25">
      <c r="A899" s="289"/>
      <c r="F899" s="251"/>
      <c r="H899" s="251"/>
      <c r="I899" s="251"/>
      <c r="J899" s="289"/>
      <c r="L899" s="251"/>
      <c r="M899" s="289"/>
    </row>
    <row r="900" spans="1:13" ht="14.25" hidden="1" customHeight="1" x14ac:dyDescent="0.25">
      <c r="A900" s="289"/>
      <c r="F900" s="251"/>
      <c r="H900" s="251"/>
      <c r="I900" s="251"/>
      <c r="J900" s="289"/>
      <c r="L900" s="251"/>
      <c r="M900" s="289"/>
    </row>
    <row r="901" spans="1:13" ht="14.25" hidden="1" customHeight="1" x14ac:dyDescent="0.25">
      <c r="A901" s="289"/>
      <c r="F901" s="251"/>
      <c r="H901" s="251"/>
      <c r="I901" s="251"/>
      <c r="J901" s="289"/>
      <c r="L901" s="251"/>
      <c r="M901" s="289"/>
    </row>
    <row r="902" spans="1:13" ht="14.25" hidden="1" customHeight="1" x14ac:dyDescent="0.25">
      <c r="A902" s="289"/>
      <c r="F902" s="251"/>
      <c r="H902" s="251"/>
      <c r="I902" s="251"/>
      <c r="J902" s="289"/>
      <c r="L902" s="251"/>
      <c r="M902" s="289"/>
    </row>
    <row r="903" spans="1:13" ht="14.25" hidden="1" customHeight="1" x14ac:dyDescent="0.25">
      <c r="A903" s="289"/>
      <c r="F903" s="251"/>
      <c r="H903" s="251"/>
      <c r="I903" s="251"/>
      <c r="J903" s="289"/>
      <c r="L903" s="251"/>
      <c r="M903" s="289"/>
    </row>
    <row r="904" spans="1:13" ht="14.25" hidden="1" customHeight="1" x14ac:dyDescent="0.25">
      <c r="A904" s="289"/>
      <c r="F904" s="251"/>
      <c r="H904" s="251"/>
      <c r="I904" s="251"/>
      <c r="J904" s="289"/>
      <c r="L904" s="251"/>
      <c r="M904" s="289"/>
    </row>
    <row r="905" spans="1:13" ht="14.25" hidden="1" customHeight="1" x14ac:dyDescent="0.25">
      <c r="A905" s="289"/>
      <c r="F905" s="251"/>
      <c r="H905" s="251"/>
      <c r="I905" s="251"/>
      <c r="J905" s="289"/>
      <c r="L905" s="251"/>
      <c r="M905" s="289"/>
    </row>
    <row r="906" spans="1:13" ht="14.25" hidden="1" customHeight="1" x14ac:dyDescent="0.25">
      <c r="A906" s="289"/>
      <c r="F906" s="251"/>
      <c r="H906" s="251"/>
      <c r="I906" s="251"/>
      <c r="J906" s="289"/>
      <c r="L906" s="251"/>
      <c r="M906" s="289"/>
    </row>
    <row r="907" spans="1:13" ht="14.25" hidden="1" customHeight="1" x14ac:dyDescent="0.25">
      <c r="A907" s="289"/>
      <c r="F907" s="251"/>
      <c r="H907" s="251"/>
      <c r="I907" s="251"/>
      <c r="J907" s="289"/>
      <c r="L907" s="251"/>
      <c r="M907" s="289"/>
    </row>
    <row r="908" spans="1:13" ht="14.25" hidden="1" customHeight="1" x14ac:dyDescent="0.25">
      <c r="A908" s="289"/>
      <c r="F908" s="251"/>
      <c r="H908" s="251"/>
      <c r="I908" s="251"/>
      <c r="J908" s="289"/>
      <c r="L908" s="251"/>
      <c r="M908" s="289"/>
    </row>
    <row r="909" spans="1:13" ht="14.25" hidden="1" customHeight="1" x14ac:dyDescent="0.25">
      <c r="A909" s="289"/>
      <c r="F909" s="251"/>
      <c r="H909" s="251"/>
      <c r="I909" s="251"/>
      <c r="J909" s="289"/>
      <c r="L909" s="251"/>
      <c r="M909" s="289"/>
    </row>
    <row r="910" spans="1:13" ht="14.25" hidden="1" customHeight="1" x14ac:dyDescent="0.25">
      <c r="A910" s="289"/>
      <c r="F910" s="251"/>
      <c r="H910" s="251"/>
      <c r="I910" s="251"/>
      <c r="J910" s="289"/>
      <c r="L910" s="251"/>
      <c r="M910" s="289"/>
    </row>
    <row r="911" spans="1:13" ht="14.25" hidden="1" customHeight="1" x14ac:dyDescent="0.25">
      <c r="A911" s="289"/>
      <c r="F911" s="251"/>
      <c r="H911" s="251"/>
      <c r="I911" s="251"/>
      <c r="J911" s="289"/>
      <c r="L911" s="251"/>
      <c r="M911" s="289"/>
    </row>
    <row r="912" spans="1:13" ht="14.25" hidden="1" customHeight="1" x14ac:dyDescent="0.25">
      <c r="A912" s="289"/>
      <c r="F912" s="251"/>
      <c r="H912" s="251"/>
      <c r="I912" s="251"/>
      <c r="J912" s="289"/>
      <c r="L912" s="251"/>
      <c r="M912" s="289"/>
    </row>
    <row r="913" spans="1:13" ht="14.25" hidden="1" customHeight="1" x14ac:dyDescent="0.25">
      <c r="A913" s="289"/>
      <c r="F913" s="251"/>
      <c r="H913" s="251"/>
      <c r="I913" s="251"/>
      <c r="J913" s="289"/>
      <c r="L913" s="251"/>
      <c r="M913" s="289"/>
    </row>
    <row r="914" spans="1:13" ht="14.25" hidden="1" customHeight="1" x14ac:dyDescent="0.25">
      <c r="A914" s="289"/>
      <c r="F914" s="251"/>
      <c r="H914" s="251"/>
      <c r="I914" s="251"/>
      <c r="J914" s="289"/>
      <c r="L914" s="251"/>
      <c r="M914" s="289"/>
    </row>
    <row r="915" spans="1:13" ht="14.25" hidden="1" customHeight="1" x14ac:dyDescent="0.25">
      <c r="A915" s="289"/>
      <c r="F915" s="251"/>
      <c r="H915" s="251"/>
      <c r="I915" s="251"/>
      <c r="J915" s="289"/>
      <c r="L915" s="251"/>
      <c r="M915" s="289"/>
    </row>
    <row r="916" spans="1:13" ht="14.25" hidden="1" customHeight="1" x14ac:dyDescent="0.25">
      <c r="A916" s="289"/>
      <c r="F916" s="251"/>
      <c r="H916" s="251"/>
      <c r="I916" s="251"/>
      <c r="J916" s="289"/>
      <c r="L916" s="251"/>
      <c r="M916" s="289"/>
    </row>
    <row r="917" spans="1:13" ht="14.25" hidden="1" customHeight="1" x14ac:dyDescent="0.25">
      <c r="A917" s="289"/>
      <c r="F917" s="251"/>
      <c r="H917" s="251"/>
      <c r="I917" s="251"/>
      <c r="J917" s="289"/>
      <c r="L917" s="251"/>
      <c r="M917" s="289"/>
    </row>
    <row r="918" spans="1:13" ht="14.25" hidden="1" customHeight="1" x14ac:dyDescent="0.25">
      <c r="A918" s="289"/>
      <c r="F918" s="251"/>
      <c r="H918" s="251"/>
      <c r="I918" s="251"/>
      <c r="J918" s="289"/>
      <c r="L918" s="251"/>
      <c r="M918" s="289"/>
    </row>
    <row r="919" spans="1:13" ht="14.25" hidden="1" customHeight="1" x14ac:dyDescent="0.25">
      <c r="A919" s="289"/>
      <c r="F919" s="251"/>
      <c r="H919" s="251"/>
      <c r="I919" s="251"/>
      <c r="J919" s="289"/>
      <c r="L919" s="251"/>
      <c r="M919" s="289"/>
    </row>
    <row r="920" spans="1:13" ht="14.25" hidden="1" customHeight="1" x14ac:dyDescent="0.25">
      <c r="A920" s="289"/>
      <c r="F920" s="251"/>
      <c r="H920" s="251"/>
      <c r="I920" s="251"/>
      <c r="J920" s="289"/>
      <c r="L920" s="251"/>
      <c r="M920" s="289"/>
    </row>
    <row r="921" spans="1:13" ht="14.25" hidden="1" customHeight="1" x14ac:dyDescent="0.25">
      <c r="A921" s="289"/>
      <c r="F921" s="251"/>
      <c r="H921" s="251"/>
      <c r="I921" s="251"/>
      <c r="J921" s="289"/>
      <c r="L921" s="251"/>
      <c r="M921" s="289"/>
    </row>
    <row r="922" spans="1:13" ht="14.25" hidden="1" customHeight="1" x14ac:dyDescent="0.25">
      <c r="A922" s="289"/>
      <c r="F922" s="251"/>
      <c r="H922" s="251"/>
      <c r="I922" s="251"/>
      <c r="J922" s="289"/>
      <c r="L922" s="251"/>
      <c r="M922" s="289"/>
    </row>
    <row r="923" spans="1:13" ht="14.25" hidden="1" customHeight="1" x14ac:dyDescent="0.25">
      <c r="A923" s="289"/>
      <c r="F923" s="251"/>
      <c r="H923" s="251"/>
      <c r="I923" s="251"/>
      <c r="J923" s="289"/>
      <c r="L923" s="251"/>
      <c r="M923" s="289"/>
    </row>
    <row r="924" spans="1:13" ht="14.25" hidden="1" customHeight="1" x14ac:dyDescent="0.25">
      <c r="A924" s="289"/>
      <c r="F924" s="251"/>
      <c r="H924" s="251"/>
      <c r="I924" s="251"/>
      <c r="J924" s="289"/>
      <c r="L924" s="251"/>
      <c r="M924" s="289"/>
    </row>
    <row r="925" spans="1:13" ht="14.25" hidden="1" customHeight="1" x14ac:dyDescent="0.25">
      <c r="A925" s="289"/>
      <c r="F925" s="251"/>
      <c r="H925" s="251"/>
      <c r="I925" s="251"/>
      <c r="J925" s="289"/>
      <c r="L925" s="251"/>
      <c r="M925" s="289"/>
    </row>
    <row r="926" spans="1:13" ht="14.25" hidden="1" customHeight="1" x14ac:dyDescent="0.25">
      <c r="A926" s="289"/>
      <c r="F926" s="251"/>
      <c r="H926" s="251"/>
      <c r="I926" s="251"/>
      <c r="J926" s="289"/>
      <c r="L926" s="251"/>
      <c r="M926" s="289"/>
    </row>
    <row r="927" spans="1:13" ht="14.25" hidden="1" customHeight="1" x14ac:dyDescent="0.25">
      <c r="A927" s="289"/>
      <c r="F927" s="251"/>
      <c r="H927" s="251"/>
      <c r="I927" s="251"/>
      <c r="J927" s="289"/>
      <c r="L927" s="251"/>
      <c r="M927" s="289"/>
    </row>
    <row r="928" spans="1:13" ht="14.25" hidden="1" customHeight="1" x14ac:dyDescent="0.25">
      <c r="A928" s="289"/>
      <c r="F928" s="251"/>
      <c r="H928" s="251"/>
      <c r="I928" s="251"/>
      <c r="J928" s="289"/>
      <c r="L928" s="251"/>
      <c r="M928" s="289"/>
    </row>
    <row r="929" spans="1:13" ht="14.25" hidden="1" customHeight="1" x14ac:dyDescent="0.25">
      <c r="A929" s="289"/>
      <c r="F929" s="251"/>
      <c r="H929" s="251"/>
      <c r="I929" s="251"/>
      <c r="J929" s="289"/>
      <c r="L929" s="251"/>
      <c r="M929" s="289"/>
    </row>
    <row r="930" spans="1:13" ht="14.25" hidden="1" customHeight="1" x14ac:dyDescent="0.25">
      <c r="A930" s="289"/>
      <c r="F930" s="251"/>
      <c r="H930" s="251"/>
      <c r="I930" s="251"/>
      <c r="J930" s="289"/>
      <c r="L930" s="251"/>
      <c r="M930" s="289"/>
    </row>
    <row r="931" spans="1:13" ht="14.25" hidden="1" customHeight="1" x14ac:dyDescent="0.25">
      <c r="A931" s="289"/>
      <c r="F931" s="251"/>
      <c r="H931" s="251"/>
      <c r="I931" s="251"/>
      <c r="J931" s="289"/>
      <c r="L931" s="251"/>
      <c r="M931" s="289"/>
    </row>
    <row r="932" spans="1:13" ht="14.25" hidden="1" customHeight="1" x14ac:dyDescent="0.25">
      <c r="A932" s="289"/>
      <c r="F932" s="251"/>
      <c r="H932" s="251"/>
      <c r="I932" s="251"/>
      <c r="J932" s="289"/>
      <c r="L932" s="251"/>
      <c r="M932" s="289"/>
    </row>
    <row r="933" spans="1:13" ht="14.25" hidden="1" customHeight="1" x14ac:dyDescent="0.25">
      <c r="A933" s="289"/>
      <c r="F933" s="251"/>
      <c r="H933" s="251"/>
      <c r="I933" s="251"/>
      <c r="J933" s="289"/>
      <c r="L933" s="251"/>
      <c r="M933" s="289"/>
    </row>
    <row r="934" spans="1:13" ht="14.25" hidden="1" customHeight="1" x14ac:dyDescent="0.25">
      <c r="A934" s="289"/>
      <c r="F934" s="251"/>
      <c r="H934" s="251"/>
      <c r="I934" s="251"/>
      <c r="J934" s="289"/>
      <c r="L934" s="251"/>
      <c r="M934" s="289"/>
    </row>
    <row r="935" spans="1:13" ht="14.25" hidden="1" customHeight="1" x14ac:dyDescent="0.25">
      <c r="A935" s="289"/>
      <c r="F935" s="251"/>
      <c r="H935" s="251"/>
      <c r="I935" s="251"/>
      <c r="J935" s="289"/>
      <c r="L935" s="251"/>
      <c r="M935" s="289"/>
    </row>
    <row r="936" spans="1:13" ht="14.25" hidden="1" customHeight="1" x14ac:dyDescent="0.25">
      <c r="A936" s="289"/>
      <c r="F936" s="251"/>
      <c r="H936" s="251"/>
      <c r="I936" s="251"/>
      <c r="J936" s="289"/>
      <c r="L936" s="251"/>
      <c r="M936" s="289"/>
    </row>
    <row r="937" spans="1:13" ht="14.25" hidden="1" customHeight="1" x14ac:dyDescent="0.25">
      <c r="A937" s="289"/>
      <c r="F937" s="251"/>
      <c r="H937" s="251"/>
      <c r="I937" s="251"/>
      <c r="J937" s="289"/>
      <c r="L937" s="251"/>
      <c r="M937" s="289"/>
    </row>
    <row r="938" spans="1:13" ht="14.25" hidden="1" customHeight="1" x14ac:dyDescent="0.25">
      <c r="A938" s="289"/>
      <c r="F938" s="251"/>
      <c r="H938" s="251"/>
      <c r="I938" s="251"/>
      <c r="J938" s="289"/>
      <c r="L938" s="251"/>
      <c r="M938" s="289"/>
    </row>
    <row r="939" spans="1:13" ht="14.25" hidden="1" customHeight="1" x14ac:dyDescent="0.25">
      <c r="A939" s="289"/>
      <c r="F939" s="251"/>
      <c r="H939" s="251"/>
      <c r="I939" s="251"/>
      <c r="J939" s="289"/>
      <c r="L939" s="251"/>
      <c r="M939" s="289"/>
    </row>
    <row r="940" spans="1:13" ht="14.25" hidden="1" customHeight="1" x14ac:dyDescent="0.25">
      <c r="A940" s="289"/>
      <c r="F940" s="251"/>
      <c r="H940" s="251"/>
      <c r="I940" s="251"/>
      <c r="J940" s="289"/>
      <c r="L940" s="251"/>
      <c r="M940" s="289"/>
    </row>
    <row r="941" spans="1:13" ht="14.25" hidden="1" customHeight="1" x14ac:dyDescent="0.25">
      <c r="A941" s="289"/>
      <c r="F941" s="251"/>
      <c r="H941" s="251"/>
      <c r="I941" s="251"/>
      <c r="J941" s="289"/>
      <c r="L941" s="251"/>
      <c r="M941" s="289"/>
    </row>
    <row r="942" spans="1:13" ht="14.25" hidden="1" customHeight="1" x14ac:dyDescent="0.25">
      <c r="A942" s="289"/>
      <c r="F942" s="251"/>
      <c r="H942" s="251"/>
      <c r="I942" s="251"/>
      <c r="J942" s="289"/>
      <c r="L942" s="251"/>
      <c r="M942" s="289"/>
    </row>
    <row r="943" spans="1:13" ht="14.25" hidden="1" customHeight="1" x14ac:dyDescent="0.25">
      <c r="A943" s="289"/>
      <c r="F943" s="251"/>
      <c r="H943" s="251"/>
      <c r="I943" s="251"/>
      <c r="J943" s="289"/>
      <c r="L943" s="251"/>
      <c r="M943" s="289"/>
    </row>
    <row r="944" spans="1:13" ht="14.25" hidden="1" customHeight="1" x14ac:dyDescent="0.25">
      <c r="A944" s="289"/>
      <c r="F944" s="251"/>
      <c r="H944" s="251"/>
      <c r="I944" s="251"/>
      <c r="J944" s="289"/>
      <c r="L944" s="251"/>
      <c r="M944" s="289"/>
    </row>
    <row r="945" spans="1:13" ht="14.25" hidden="1" customHeight="1" x14ac:dyDescent="0.25">
      <c r="A945" s="289"/>
      <c r="F945" s="251"/>
      <c r="H945" s="251"/>
      <c r="I945" s="251"/>
      <c r="J945" s="289"/>
      <c r="L945" s="251"/>
      <c r="M945" s="289"/>
    </row>
    <row r="946" spans="1:13" ht="14.25" hidden="1" customHeight="1" x14ac:dyDescent="0.25">
      <c r="A946" s="289"/>
      <c r="F946" s="251"/>
      <c r="H946" s="251"/>
      <c r="I946" s="251"/>
      <c r="J946" s="289"/>
      <c r="L946" s="251"/>
      <c r="M946" s="289"/>
    </row>
    <row r="947" spans="1:13" ht="14.25" hidden="1" customHeight="1" x14ac:dyDescent="0.25">
      <c r="A947" s="289"/>
      <c r="F947" s="251"/>
      <c r="H947" s="251"/>
      <c r="I947" s="251"/>
      <c r="J947" s="289"/>
      <c r="L947" s="251"/>
      <c r="M947" s="289"/>
    </row>
    <row r="948" spans="1:13" ht="14.25" hidden="1" customHeight="1" x14ac:dyDescent="0.25">
      <c r="A948" s="289"/>
      <c r="F948" s="251"/>
      <c r="H948" s="251"/>
      <c r="I948" s="251"/>
      <c r="J948" s="289"/>
      <c r="L948" s="251"/>
      <c r="M948" s="289"/>
    </row>
    <row r="949" spans="1:13" ht="14.25" hidden="1" customHeight="1" x14ac:dyDescent="0.25">
      <c r="A949" s="289"/>
      <c r="F949" s="251"/>
      <c r="H949" s="251"/>
      <c r="I949" s="251"/>
      <c r="J949" s="289"/>
      <c r="L949" s="251"/>
      <c r="M949" s="289"/>
    </row>
    <row r="950" spans="1:13" ht="14.25" hidden="1" customHeight="1" x14ac:dyDescent="0.25">
      <c r="A950" s="289"/>
      <c r="F950" s="251"/>
      <c r="H950" s="251"/>
      <c r="I950" s="251"/>
      <c r="J950" s="289"/>
      <c r="L950" s="251"/>
      <c r="M950" s="289"/>
    </row>
    <row r="951" spans="1:13" ht="14.25" hidden="1" customHeight="1" x14ac:dyDescent="0.25">
      <c r="A951" s="289"/>
      <c r="F951" s="251"/>
      <c r="H951" s="251"/>
      <c r="I951" s="251"/>
      <c r="J951" s="289"/>
      <c r="L951" s="251"/>
      <c r="M951" s="289"/>
    </row>
    <row r="952" spans="1:13" ht="14.25" hidden="1" customHeight="1" x14ac:dyDescent="0.25">
      <c r="A952" s="289"/>
      <c r="F952" s="251"/>
      <c r="H952" s="251"/>
      <c r="I952" s="251"/>
      <c r="J952" s="289"/>
      <c r="L952" s="251"/>
      <c r="M952" s="289"/>
    </row>
    <row r="953" spans="1:13" ht="14.25" hidden="1" customHeight="1" x14ac:dyDescent="0.25">
      <c r="A953" s="289"/>
      <c r="F953" s="251"/>
      <c r="H953" s="251"/>
      <c r="I953" s="251"/>
      <c r="J953" s="289"/>
      <c r="L953" s="251"/>
      <c r="M953" s="289"/>
    </row>
    <row r="954" spans="1:13" ht="14.25" hidden="1" customHeight="1" x14ac:dyDescent="0.25">
      <c r="A954" s="289"/>
      <c r="F954" s="251"/>
      <c r="H954" s="251"/>
      <c r="I954" s="251"/>
      <c r="J954" s="289"/>
      <c r="L954" s="251"/>
      <c r="M954" s="289"/>
    </row>
    <row r="955" spans="1:13" ht="14.25" hidden="1" customHeight="1" x14ac:dyDescent="0.25">
      <c r="A955" s="289"/>
      <c r="F955" s="251"/>
      <c r="H955" s="251"/>
      <c r="I955" s="251"/>
      <c r="J955" s="289"/>
      <c r="L955" s="251"/>
      <c r="M955" s="289"/>
    </row>
    <row r="956" spans="1:13" ht="14.25" hidden="1" customHeight="1" x14ac:dyDescent="0.25">
      <c r="A956" s="289"/>
      <c r="F956" s="251"/>
      <c r="H956" s="251"/>
      <c r="I956" s="251"/>
      <c r="J956" s="289"/>
      <c r="L956" s="251"/>
      <c r="M956" s="289"/>
    </row>
    <row r="957" spans="1:13" ht="14.25" hidden="1" customHeight="1" x14ac:dyDescent="0.25">
      <c r="A957" s="289"/>
      <c r="F957" s="251"/>
      <c r="H957" s="251"/>
      <c r="I957" s="251"/>
      <c r="J957" s="289"/>
      <c r="L957" s="251"/>
      <c r="M957" s="289"/>
    </row>
    <row r="958" spans="1:13" ht="14.25" hidden="1" customHeight="1" x14ac:dyDescent="0.25">
      <c r="A958" s="289"/>
      <c r="F958" s="251"/>
      <c r="H958" s="251"/>
      <c r="I958" s="251"/>
      <c r="J958" s="289"/>
      <c r="L958" s="251"/>
      <c r="M958" s="289"/>
    </row>
    <row r="959" spans="1:13" ht="14.25" hidden="1" customHeight="1" x14ac:dyDescent="0.25">
      <c r="A959" s="289"/>
      <c r="F959" s="251"/>
      <c r="H959" s="251"/>
      <c r="I959" s="251"/>
      <c r="J959" s="289"/>
      <c r="L959" s="251"/>
      <c r="M959" s="289"/>
    </row>
    <row r="960" spans="1:13" ht="14.25" hidden="1" customHeight="1" x14ac:dyDescent="0.25">
      <c r="A960" s="289"/>
      <c r="F960" s="251"/>
      <c r="H960" s="251"/>
      <c r="I960" s="251"/>
      <c r="J960" s="289"/>
      <c r="L960" s="251"/>
      <c r="M960" s="289"/>
    </row>
    <row r="961" spans="1:13" ht="14.25" hidden="1" customHeight="1" x14ac:dyDescent="0.25">
      <c r="A961" s="289"/>
      <c r="F961" s="251"/>
      <c r="H961" s="251"/>
      <c r="I961" s="251"/>
      <c r="J961" s="289"/>
      <c r="L961" s="251"/>
      <c r="M961" s="289"/>
    </row>
    <row r="962" spans="1:13" ht="14.25" hidden="1" customHeight="1" x14ac:dyDescent="0.25">
      <c r="A962" s="289"/>
      <c r="F962" s="251"/>
      <c r="H962" s="251"/>
      <c r="I962" s="251"/>
      <c r="J962" s="289"/>
      <c r="L962" s="251"/>
      <c r="M962" s="289"/>
    </row>
    <row r="963" spans="1:13" ht="14.25" hidden="1" customHeight="1" x14ac:dyDescent="0.25">
      <c r="A963" s="289"/>
      <c r="F963" s="251"/>
      <c r="H963" s="251"/>
      <c r="I963" s="251"/>
      <c r="J963" s="289"/>
      <c r="L963" s="251"/>
      <c r="M963" s="289"/>
    </row>
    <row r="964" spans="1:13" ht="14.25" hidden="1" customHeight="1" x14ac:dyDescent="0.25">
      <c r="A964" s="289"/>
      <c r="F964" s="251"/>
      <c r="H964" s="251"/>
      <c r="I964" s="251"/>
      <c r="J964" s="289"/>
      <c r="L964" s="251"/>
      <c r="M964" s="289"/>
    </row>
    <row r="965" spans="1:13" ht="14.25" hidden="1" customHeight="1" x14ac:dyDescent="0.25">
      <c r="A965" s="289"/>
      <c r="F965" s="251"/>
      <c r="H965" s="251"/>
      <c r="I965" s="251"/>
      <c r="J965" s="289"/>
      <c r="L965" s="251"/>
      <c r="M965" s="289"/>
    </row>
    <row r="966" spans="1:13" ht="14.25" hidden="1" customHeight="1" x14ac:dyDescent="0.25">
      <c r="A966" s="289"/>
      <c r="F966" s="251"/>
      <c r="H966" s="251"/>
      <c r="I966" s="251"/>
      <c r="J966" s="289"/>
      <c r="L966" s="251"/>
      <c r="M966" s="289"/>
    </row>
    <row r="967" spans="1:13" ht="14.25" hidden="1" customHeight="1" x14ac:dyDescent="0.25">
      <c r="A967" s="289"/>
      <c r="F967" s="251"/>
      <c r="H967" s="251"/>
      <c r="I967" s="251"/>
      <c r="J967" s="289"/>
      <c r="L967" s="251"/>
      <c r="M967" s="289"/>
    </row>
    <row r="968" spans="1:13" ht="14.25" hidden="1" customHeight="1" x14ac:dyDescent="0.25">
      <c r="A968" s="289"/>
      <c r="F968" s="251"/>
      <c r="H968" s="251"/>
      <c r="I968" s="251"/>
      <c r="J968" s="289"/>
      <c r="L968" s="251"/>
      <c r="M968" s="289"/>
    </row>
    <row r="969" spans="1:13" ht="14.25" hidden="1" customHeight="1" x14ac:dyDescent="0.25">
      <c r="A969" s="289"/>
      <c r="F969" s="251"/>
      <c r="H969" s="251"/>
      <c r="I969" s="251"/>
      <c r="J969" s="289"/>
      <c r="L969" s="251"/>
      <c r="M969" s="289"/>
    </row>
    <row r="970" spans="1:13" ht="14.25" hidden="1" customHeight="1" x14ac:dyDescent="0.25">
      <c r="A970" s="289"/>
      <c r="F970" s="251"/>
      <c r="H970" s="251"/>
      <c r="I970" s="251"/>
      <c r="J970" s="289"/>
      <c r="L970" s="251"/>
      <c r="M970" s="289"/>
    </row>
    <row r="971" spans="1:13" ht="14.25" hidden="1" customHeight="1" x14ac:dyDescent="0.25">
      <c r="A971" s="289"/>
      <c r="F971" s="251"/>
      <c r="H971" s="251"/>
      <c r="I971" s="251"/>
      <c r="J971" s="289"/>
      <c r="L971" s="251"/>
      <c r="M971" s="289"/>
    </row>
    <row r="972" spans="1:13" ht="14.25" hidden="1" customHeight="1" x14ac:dyDescent="0.25">
      <c r="A972" s="289"/>
      <c r="F972" s="251"/>
      <c r="H972" s="251"/>
      <c r="I972" s="251"/>
      <c r="J972" s="289"/>
      <c r="L972" s="251"/>
      <c r="M972" s="289"/>
    </row>
    <row r="973" spans="1:13" ht="14.25" hidden="1" customHeight="1" x14ac:dyDescent="0.25">
      <c r="A973" s="289"/>
      <c r="F973" s="251"/>
      <c r="H973" s="251"/>
      <c r="I973" s="251"/>
      <c r="J973" s="289"/>
      <c r="L973" s="251"/>
      <c r="M973" s="289"/>
    </row>
    <row r="974" spans="1:13" ht="14.25" hidden="1" customHeight="1" x14ac:dyDescent="0.25">
      <c r="A974" s="289"/>
      <c r="F974" s="251"/>
      <c r="H974" s="251"/>
      <c r="I974" s="251"/>
      <c r="J974" s="289"/>
      <c r="L974" s="251"/>
      <c r="M974" s="289"/>
    </row>
    <row r="975" spans="1:13" ht="14.25" hidden="1" customHeight="1" x14ac:dyDescent="0.25">
      <c r="A975" s="289"/>
      <c r="F975" s="251"/>
      <c r="H975" s="251"/>
      <c r="I975" s="251"/>
      <c r="J975" s="289"/>
      <c r="L975" s="251"/>
      <c r="M975" s="289"/>
    </row>
    <row r="976" spans="1:13" ht="14.25" hidden="1" customHeight="1" x14ac:dyDescent="0.25">
      <c r="A976" s="289"/>
      <c r="F976" s="251"/>
      <c r="H976" s="251"/>
      <c r="I976" s="251"/>
      <c r="J976" s="289"/>
      <c r="L976" s="251"/>
      <c r="M976" s="289"/>
    </row>
    <row r="977" spans="1:13" ht="14.25" hidden="1" customHeight="1" x14ac:dyDescent="0.25">
      <c r="A977" s="289"/>
      <c r="F977" s="251"/>
      <c r="H977" s="251"/>
      <c r="I977" s="251"/>
      <c r="J977" s="289"/>
      <c r="L977" s="251"/>
      <c r="M977" s="289"/>
    </row>
    <row r="978" spans="1:13" ht="14.25" hidden="1" customHeight="1" x14ac:dyDescent="0.25">
      <c r="A978" s="289"/>
      <c r="F978" s="251"/>
      <c r="H978" s="251"/>
      <c r="I978" s="251"/>
      <c r="J978" s="289"/>
      <c r="L978" s="251"/>
      <c r="M978" s="289"/>
    </row>
    <row r="979" spans="1:13" ht="14.25" hidden="1" customHeight="1" x14ac:dyDescent="0.25">
      <c r="A979" s="289"/>
      <c r="F979" s="251"/>
      <c r="H979" s="251"/>
      <c r="I979" s="251"/>
      <c r="J979" s="289"/>
      <c r="L979" s="251"/>
      <c r="M979" s="289"/>
    </row>
    <row r="980" spans="1:13" ht="14.25" hidden="1" customHeight="1" x14ac:dyDescent="0.25">
      <c r="A980" s="289"/>
      <c r="F980" s="251"/>
      <c r="H980" s="251"/>
      <c r="I980" s="251"/>
      <c r="J980" s="289"/>
      <c r="L980" s="251"/>
      <c r="M980" s="289"/>
    </row>
    <row r="981" spans="1:13" ht="14.25" hidden="1" customHeight="1" x14ac:dyDescent="0.25">
      <c r="A981" s="289"/>
      <c r="F981" s="251"/>
      <c r="H981" s="251"/>
      <c r="I981" s="251"/>
      <c r="J981" s="289"/>
      <c r="L981" s="251"/>
      <c r="M981" s="289"/>
    </row>
    <row r="982" spans="1:13" ht="14.25" hidden="1" customHeight="1" x14ac:dyDescent="0.25">
      <c r="A982" s="289"/>
      <c r="F982" s="251"/>
      <c r="H982" s="251"/>
      <c r="I982" s="251"/>
      <c r="J982" s="289"/>
      <c r="L982" s="251"/>
      <c r="M982" s="289"/>
    </row>
    <row r="983" spans="1:13" ht="14.25" hidden="1" customHeight="1" x14ac:dyDescent="0.25">
      <c r="A983" s="289"/>
      <c r="F983" s="251"/>
      <c r="H983" s="251"/>
      <c r="I983" s="251"/>
      <c r="J983" s="289"/>
      <c r="L983" s="251"/>
      <c r="M983" s="289"/>
    </row>
    <row r="984" spans="1:13" ht="14.25" hidden="1" customHeight="1" x14ac:dyDescent="0.25">
      <c r="A984" s="289"/>
      <c r="F984" s="251"/>
      <c r="H984" s="251"/>
      <c r="I984" s="251"/>
      <c r="J984" s="289"/>
      <c r="L984" s="251"/>
      <c r="M984" s="289"/>
    </row>
    <row r="985" spans="1:13" ht="14.25" hidden="1" customHeight="1" x14ac:dyDescent="0.25">
      <c r="A985" s="289"/>
      <c r="F985" s="251"/>
      <c r="H985" s="251"/>
      <c r="I985" s="251"/>
      <c r="J985" s="289"/>
      <c r="L985" s="251"/>
      <c r="M985" s="289"/>
    </row>
    <row r="986" spans="1:13" ht="14.25" hidden="1" customHeight="1" x14ac:dyDescent="0.25">
      <c r="A986" s="289"/>
      <c r="F986" s="251"/>
      <c r="H986" s="251"/>
      <c r="I986" s="251"/>
      <c r="J986" s="289"/>
      <c r="L986" s="251"/>
      <c r="M986" s="289"/>
    </row>
    <row r="987" spans="1:13" ht="14.25" hidden="1" customHeight="1" x14ac:dyDescent="0.25">
      <c r="A987" s="289"/>
      <c r="F987" s="251"/>
      <c r="H987" s="251"/>
      <c r="I987" s="251"/>
      <c r="J987" s="289"/>
      <c r="L987" s="251"/>
      <c r="M987" s="289"/>
    </row>
    <row r="988" spans="1:13" ht="14.25" hidden="1" customHeight="1" x14ac:dyDescent="0.25">
      <c r="A988" s="289"/>
      <c r="F988" s="251"/>
      <c r="H988" s="251"/>
      <c r="I988" s="251"/>
      <c r="J988" s="289"/>
      <c r="L988" s="251"/>
      <c r="M988" s="289"/>
    </row>
    <row r="989" spans="1:13" ht="14.25" hidden="1" customHeight="1" x14ac:dyDescent="0.25">
      <c r="A989" s="289"/>
      <c r="F989" s="251"/>
      <c r="H989" s="251"/>
      <c r="I989" s="251"/>
      <c r="J989" s="289"/>
      <c r="L989" s="251"/>
      <c r="M989" s="289"/>
    </row>
    <row r="990" spans="1:13" ht="14.25" hidden="1" customHeight="1" x14ac:dyDescent="0.25">
      <c r="A990" s="289"/>
      <c r="F990" s="251"/>
      <c r="H990" s="251"/>
      <c r="I990" s="251"/>
      <c r="J990" s="289"/>
      <c r="L990" s="251"/>
      <c r="M990" s="289"/>
    </row>
    <row r="991" spans="1:13" ht="14.25" hidden="1" customHeight="1" x14ac:dyDescent="0.25">
      <c r="A991" s="289"/>
      <c r="F991" s="251"/>
      <c r="H991" s="251"/>
      <c r="I991" s="251"/>
      <c r="J991" s="289"/>
      <c r="L991" s="251"/>
      <c r="M991" s="289"/>
    </row>
    <row r="992" spans="1:13" ht="14.25" hidden="1" customHeight="1" x14ac:dyDescent="0.25">
      <c r="A992" s="289"/>
      <c r="F992" s="251"/>
      <c r="H992" s="251"/>
      <c r="I992" s="251"/>
      <c r="J992" s="289"/>
      <c r="L992" s="251"/>
      <c r="M992" s="289"/>
    </row>
    <row r="993" spans="1:13" ht="14.25" hidden="1" customHeight="1" x14ac:dyDescent="0.25">
      <c r="A993" s="289"/>
      <c r="F993" s="251"/>
      <c r="H993" s="251"/>
      <c r="I993" s="251"/>
      <c r="J993" s="289"/>
      <c r="L993" s="251"/>
      <c r="M993" s="289"/>
    </row>
    <row r="994" spans="1:13" ht="14.25" hidden="1" customHeight="1" x14ac:dyDescent="0.25">
      <c r="A994" s="289"/>
      <c r="F994" s="251"/>
      <c r="H994" s="251"/>
      <c r="I994" s="251"/>
      <c r="J994" s="289"/>
      <c r="L994" s="251"/>
      <c r="M994" s="289"/>
    </row>
    <row r="995" spans="1:13" ht="14.25" hidden="1" customHeight="1" x14ac:dyDescent="0.25">
      <c r="A995" s="289"/>
      <c r="F995" s="251"/>
      <c r="H995" s="251"/>
      <c r="I995" s="251"/>
      <c r="J995" s="289"/>
      <c r="L995" s="251"/>
      <c r="M995" s="289"/>
    </row>
    <row r="996" spans="1:13" ht="14.25" hidden="1" customHeight="1" x14ac:dyDescent="0.25">
      <c r="A996" s="289"/>
      <c r="F996" s="251"/>
      <c r="H996" s="251"/>
      <c r="I996" s="251"/>
      <c r="J996" s="289"/>
      <c r="L996" s="251"/>
      <c r="M996" s="289"/>
    </row>
    <row r="997" spans="1:13" ht="14.25" hidden="1" customHeight="1" x14ac:dyDescent="0.25">
      <c r="A997" s="289"/>
      <c r="F997" s="251"/>
      <c r="H997" s="251"/>
      <c r="I997" s="251"/>
      <c r="J997" s="289"/>
      <c r="L997" s="251"/>
      <c r="M997" s="289"/>
    </row>
    <row r="998" spans="1:13" ht="14.25" hidden="1" customHeight="1" x14ac:dyDescent="0.25">
      <c r="A998" s="289"/>
      <c r="F998" s="251"/>
      <c r="H998" s="251"/>
      <c r="I998" s="251"/>
      <c r="J998" s="289"/>
      <c r="L998" s="251"/>
      <c r="M998" s="289"/>
    </row>
    <row r="999" spans="1:13" ht="14.25" hidden="1" customHeight="1" x14ac:dyDescent="0.25">
      <c r="A999" s="289"/>
      <c r="F999" s="251"/>
      <c r="H999" s="251"/>
      <c r="I999" s="251"/>
      <c r="J999" s="289"/>
      <c r="L999" s="251"/>
      <c r="M999" s="289"/>
    </row>
    <row r="1000" spans="1:13" ht="14.25" hidden="1" customHeight="1" x14ac:dyDescent="0.25">
      <c r="A1000" s="289"/>
      <c r="F1000" s="251"/>
      <c r="H1000" s="251"/>
      <c r="I1000" s="251"/>
      <c r="J1000" s="289"/>
      <c r="L1000" s="251"/>
      <c r="M1000" s="289"/>
    </row>
    <row r="1001" spans="1:13" ht="14.25" hidden="1" customHeight="1" x14ac:dyDescent="0.25">
      <c r="A1001" s="289"/>
      <c r="F1001" s="251"/>
      <c r="H1001" s="251"/>
      <c r="I1001" s="251"/>
      <c r="J1001" s="289"/>
      <c r="L1001" s="251"/>
      <c r="M1001" s="289"/>
    </row>
    <row r="1002" spans="1:13" ht="14.25" hidden="1" customHeight="1" x14ac:dyDescent="0.25">
      <c r="A1002" s="289"/>
      <c r="F1002" s="251"/>
      <c r="H1002" s="251"/>
      <c r="I1002" s="251"/>
      <c r="J1002" s="289"/>
      <c r="L1002" s="251"/>
      <c r="M1002" s="289"/>
    </row>
    <row r="1003" spans="1:13" ht="14.25" hidden="1" customHeight="1" x14ac:dyDescent="0.25">
      <c r="A1003" s="289"/>
      <c r="F1003" s="251"/>
      <c r="H1003" s="251"/>
      <c r="I1003" s="251"/>
      <c r="J1003" s="289"/>
      <c r="L1003" s="251"/>
      <c r="M1003" s="289"/>
    </row>
    <row r="1004" spans="1:13" ht="14.25" hidden="1" customHeight="1" x14ac:dyDescent="0.25">
      <c r="A1004" s="289"/>
      <c r="F1004" s="251"/>
      <c r="H1004" s="251"/>
      <c r="I1004" s="251"/>
      <c r="J1004" s="289"/>
      <c r="L1004" s="251"/>
      <c r="M1004" s="289"/>
    </row>
    <row r="1005" spans="1:13" ht="14.25" hidden="1" customHeight="1" x14ac:dyDescent="0.25">
      <c r="A1005" s="289"/>
      <c r="F1005" s="251"/>
      <c r="H1005" s="251"/>
      <c r="I1005" s="251"/>
      <c r="J1005" s="289"/>
      <c r="L1005" s="251"/>
      <c r="M1005" s="289"/>
    </row>
    <row r="1006" spans="1:13" ht="14.25" hidden="1" customHeight="1" x14ac:dyDescent="0.25">
      <c r="A1006" s="289"/>
      <c r="F1006" s="251"/>
      <c r="H1006" s="251"/>
      <c r="I1006" s="251"/>
      <c r="J1006" s="289"/>
      <c r="L1006" s="251"/>
      <c r="M1006" s="289"/>
    </row>
    <row r="1007" spans="1:13" ht="14.25" hidden="1" customHeight="1" x14ac:dyDescent="0.25">
      <c r="A1007" s="289"/>
      <c r="F1007" s="251"/>
      <c r="H1007" s="251"/>
      <c r="I1007" s="251"/>
      <c r="J1007" s="289"/>
      <c r="L1007" s="251"/>
      <c r="M1007" s="289"/>
    </row>
    <row r="1008" spans="1:13" ht="14.25" hidden="1" customHeight="1" x14ac:dyDescent="0.25">
      <c r="A1008" s="289"/>
      <c r="F1008" s="251"/>
      <c r="H1008" s="251"/>
      <c r="I1008" s="251"/>
      <c r="J1008" s="289"/>
      <c r="L1008" s="251"/>
      <c r="M1008" s="289"/>
    </row>
    <row r="1009" spans="1:13" ht="14.25" hidden="1" customHeight="1" x14ac:dyDescent="0.25">
      <c r="A1009" s="289"/>
      <c r="F1009" s="251"/>
      <c r="H1009" s="251"/>
      <c r="I1009" s="251"/>
      <c r="J1009" s="289"/>
      <c r="L1009" s="251"/>
      <c r="M1009" s="289"/>
    </row>
    <row r="1010" spans="1:13" ht="14.25" hidden="1" customHeight="1" x14ac:dyDescent="0.25">
      <c r="A1010" s="289"/>
      <c r="F1010" s="251"/>
      <c r="H1010" s="251"/>
      <c r="I1010" s="251"/>
      <c r="J1010" s="289"/>
      <c r="L1010" s="251"/>
      <c r="M1010" s="289"/>
    </row>
    <row r="1011" spans="1:13" ht="14.25" hidden="1" customHeight="1" x14ac:dyDescent="0.25">
      <c r="A1011" s="289"/>
      <c r="F1011" s="251"/>
      <c r="H1011" s="251"/>
      <c r="I1011" s="251"/>
      <c r="J1011" s="289"/>
      <c r="L1011" s="251"/>
      <c r="M1011" s="289"/>
    </row>
    <row r="1012" spans="1:13" ht="14.25" hidden="1" customHeight="1" x14ac:dyDescent="0.25">
      <c r="A1012" s="289"/>
      <c r="F1012" s="251"/>
      <c r="H1012" s="251"/>
      <c r="I1012" s="251"/>
      <c r="J1012" s="289"/>
      <c r="L1012" s="251"/>
      <c r="M1012" s="289"/>
    </row>
    <row r="1013" spans="1:13" ht="14.25" hidden="1" customHeight="1" x14ac:dyDescent="0.25">
      <c r="A1013" s="289"/>
      <c r="F1013" s="251"/>
      <c r="H1013" s="251"/>
      <c r="I1013" s="251"/>
      <c r="J1013" s="289"/>
      <c r="L1013" s="251"/>
      <c r="M1013" s="289"/>
    </row>
    <row r="1014" spans="1:13" ht="14.25" hidden="1" customHeight="1" x14ac:dyDescent="0.25">
      <c r="A1014" s="289"/>
      <c r="F1014" s="251"/>
      <c r="H1014" s="251"/>
      <c r="I1014" s="251"/>
      <c r="J1014" s="289"/>
      <c r="M1014" s="289"/>
    </row>
    <row r="1015" spans="1:13" ht="15" customHeight="1" x14ac:dyDescent="0.25">
      <c r="F1015" s="251"/>
      <c r="H1015" s="251"/>
      <c r="I1015" s="251"/>
    </row>
  </sheetData>
  <autoFilter ref="A10:W1014" xr:uid="{1E78B0CF-4527-4C3B-87EB-C6D71FD221F1}">
    <filterColumn colId="3">
      <filters>
        <filter val="A.S."/>
        <filter val="BANHO (SUPERIOR)"/>
        <filter val="BANHO 1"/>
        <filter val="BANHO 2"/>
        <filter val="BANHO 2 (SUPERIOR)"/>
        <filter val="BANHO 3"/>
        <filter val="BANHO 3 (SUPERIOR)"/>
        <filter val="BANHO MASTER"/>
        <filter val="BANHO MASTER (SUPERIOR)"/>
        <filter val="BANHO SERV."/>
        <filter val="BANHO SERV. (SUPERIOR)"/>
        <filter val="SAUNA"/>
        <filter val="WC PNE"/>
        <filter val="WC PORTARIA"/>
      </filters>
    </filterColumn>
  </autoFilter>
  <mergeCells count="5">
    <mergeCell ref="K14:L14"/>
    <mergeCell ref="A5:M5"/>
    <mergeCell ref="A7:M7"/>
    <mergeCell ref="B9:I9"/>
    <mergeCell ref="K9:L9"/>
  </mergeCells>
  <pageMargins left="0.511811024" right="0.511811024" top="0.78740157499999996" bottom="0.78740157499999996" header="0" footer="0"/>
  <pageSetup paperSize="9" orientation="portrait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A50CA-B7FA-4232-B0D1-FC4158993E5F}">
  <sheetPr filterMode="1">
    <tabColor rgb="FF0070C0"/>
  </sheetPr>
  <dimension ref="A1:N1000"/>
  <sheetViews>
    <sheetView showGridLines="0" topLeftCell="B4" zoomScale="85" zoomScaleNormal="85" workbookViewId="0">
      <selection activeCell="M11" sqref="L11:M12"/>
    </sheetView>
  </sheetViews>
  <sheetFormatPr defaultColWidth="14.42578125" defaultRowHeight="15" customHeight="1" x14ac:dyDescent="0.25"/>
  <cols>
    <col min="1" max="1" width="11" customWidth="1"/>
    <col min="2" max="2" width="14.5703125" customWidth="1"/>
    <col min="3" max="3" width="18.42578125" customWidth="1"/>
    <col min="4" max="4" width="31" customWidth="1"/>
    <col min="5" max="6" width="25.7109375" customWidth="1"/>
    <col min="7" max="7" width="20.7109375" customWidth="1"/>
    <col min="8" max="8" width="21.140625" customWidth="1"/>
    <col min="9" max="9" width="20" customWidth="1"/>
    <col min="10" max="10" width="15.7109375" customWidth="1"/>
    <col min="11" max="11" width="8.85546875" customWidth="1"/>
    <col min="12" max="13" width="20.7109375" customWidth="1"/>
    <col min="14" max="14" width="24.42578125" customWidth="1"/>
  </cols>
  <sheetData>
    <row r="1" spans="1:14" ht="15" customHeight="1" x14ac:dyDescent="0.25">
      <c r="A1" s="553" t="s">
        <v>0</v>
      </c>
      <c r="B1" s="554"/>
      <c r="C1" s="555"/>
      <c r="D1" s="556"/>
      <c r="E1" s="557"/>
      <c r="F1" s="557"/>
      <c r="G1" s="558"/>
      <c r="H1" s="557"/>
      <c r="I1" s="558"/>
      <c r="J1" s="558"/>
      <c r="K1" s="557"/>
      <c r="L1" s="557"/>
      <c r="M1" s="558"/>
      <c r="N1" s="559"/>
    </row>
    <row r="2" spans="1:14" ht="15" customHeight="1" x14ac:dyDescent="0.25">
      <c r="A2" s="560" t="s">
        <v>113</v>
      </c>
      <c r="B2" s="404"/>
      <c r="C2" s="519"/>
      <c r="D2" s="405"/>
      <c r="E2" s="407"/>
      <c r="F2" s="407"/>
      <c r="G2" s="406"/>
      <c r="H2" s="407"/>
      <c r="I2" s="406"/>
      <c r="J2" s="406"/>
      <c r="K2" s="407"/>
      <c r="L2" s="407"/>
      <c r="M2" s="406"/>
      <c r="N2" s="561"/>
    </row>
    <row r="3" spans="1:14" ht="15" customHeight="1" x14ac:dyDescent="0.25">
      <c r="A3" s="560" t="s">
        <v>1</v>
      </c>
      <c r="B3" s="404"/>
      <c r="C3" s="519"/>
      <c r="D3" s="405"/>
      <c r="E3" s="407"/>
      <c r="F3" s="407"/>
      <c r="G3" s="406"/>
      <c r="H3" s="407"/>
      <c r="I3" s="406"/>
      <c r="J3" s="406"/>
      <c r="K3" s="407"/>
      <c r="L3" s="407"/>
      <c r="M3" s="406"/>
      <c r="N3" s="561"/>
    </row>
    <row r="4" spans="1:14" ht="15" customHeight="1" x14ac:dyDescent="0.25">
      <c r="A4" s="562" t="s">
        <v>160</v>
      </c>
      <c r="B4" s="410"/>
      <c r="C4" s="520"/>
      <c r="D4" s="405"/>
      <c r="E4" s="412"/>
      <c r="F4" s="412"/>
      <c r="G4" s="411"/>
      <c r="H4" s="412"/>
      <c r="I4" s="411"/>
      <c r="J4" s="411"/>
      <c r="K4" s="412"/>
      <c r="L4" s="412"/>
      <c r="M4" s="411"/>
      <c r="N4" s="561"/>
    </row>
    <row r="5" spans="1:14" ht="26.25" customHeight="1" x14ac:dyDescent="0.25">
      <c r="A5" s="1070" t="s">
        <v>283</v>
      </c>
      <c r="B5" s="1062"/>
      <c r="C5" s="1062"/>
      <c r="D5" s="1062"/>
      <c r="E5" s="1062"/>
      <c r="F5" s="1062"/>
      <c r="G5" s="1062"/>
      <c r="H5" s="1062"/>
      <c r="I5" s="1062"/>
      <c r="J5" s="1062"/>
      <c r="K5" s="1062"/>
      <c r="L5" s="1062"/>
      <c r="M5" s="1062"/>
      <c r="N5" s="1071"/>
    </row>
    <row r="6" spans="1:14" ht="14.25" customHeight="1" x14ac:dyDescent="0.25">
      <c r="A6" s="563"/>
      <c r="B6" s="289"/>
      <c r="C6" s="289"/>
      <c r="D6" s="289"/>
      <c r="E6" s="289"/>
      <c r="F6" s="289"/>
      <c r="G6" s="413"/>
      <c r="H6" s="289"/>
      <c r="I6" s="413"/>
      <c r="J6" s="413"/>
      <c r="K6" s="289"/>
      <c r="L6" s="289"/>
      <c r="M6" s="413"/>
      <c r="N6" s="564"/>
    </row>
    <row r="7" spans="1:14" ht="26.25" customHeight="1" x14ac:dyDescent="0.25">
      <c r="A7" s="1072" t="s">
        <v>703</v>
      </c>
      <c r="B7" s="1062"/>
      <c r="C7" s="1062"/>
      <c r="D7" s="1062"/>
      <c r="E7" s="1062"/>
      <c r="F7" s="1062"/>
      <c r="G7" s="1062"/>
      <c r="H7" s="1062"/>
      <c r="I7" s="1062"/>
      <c r="J7" s="1062"/>
      <c r="K7" s="1062"/>
      <c r="L7" s="1062"/>
      <c r="M7" s="1062"/>
      <c r="N7" s="1071"/>
    </row>
    <row r="8" spans="1:14" ht="14.25" customHeight="1" thickBot="1" x14ac:dyDescent="0.3">
      <c r="A8" s="563"/>
      <c r="B8" s="289"/>
      <c r="C8" s="289"/>
      <c r="D8" s="289"/>
      <c r="E8" s="289"/>
      <c r="F8" s="289"/>
      <c r="G8" s="413"/>
      <c r="H8" s="289"/>
      <c r="I8" s="413"/>
      <c r="J8" s="413"/>
      <c r="K8" s="289"/>
      <c r="L8" s="289"/>
      <c r="M8" s="413"/>
      <c r="N8" s="564"/>
    </row>
    <row r="9" spans="1:14" ht="14.25" customHeight="1" thickBot="1" x14ac:dyDescent="0.3">
      <c r="A9" s="563"/>
      <c r="B9" s="1065" t="s">
        <v>521</v>
      </c>
      <c r="C9" s="1066"/>
      <c r="D9" s="1067"/>
      <c r="E9" s="1067"/>
      <c r="F9" s="1067"/>
      <c r="G9" s="1067"/>
      <c r="H9" s="1067"/>
      <c r="I9" s="1067"/>
      <c r="J9" s="1060"/>
      <c r="K9" s="289"/>
      <c r="L9" s="1068" t="s">
        <v>704</v>
      </c>
      <c r="M9" s="1069"/>
      <c r="N9" s="564"/>
    </row>
    <row r="10" spans="1:14" ht="14.25" customHeight="1" x14ac:dyDescent="0.45">
      <c r="A10" s="563"/>
      <c r="B10" s="525" t="s">
        <v>522</v>
      </c>
      <c r="C10" s="521" t="s">
        <v>700</v>
      </c>
      <c r="D10" s="415" t="s">
        <v>528</v>
      </c>
      <c r="E10" s="415" t="s">
        <v>529</v>
      </c>
      <c r="F10" s="415" t="s">
        <v>724</v>
      </c>
      <c r="G10" s="435" t="s">
        <v>537</v>
      </c>
      <c r="H10" s="436" t="s">
        <v>530</v>
      </c>
      <c r="I10" s="417" t="s">
        <v>524</v>
      </c>
      <c r="J10" s="526" t="s">
        <v>520</v>
      </c>
      <c r="K10" s="289"/>
      <c r="L10" s="545" t="s">
        <v>531</v>
      </c>
      <c r="M10" s="546" t="s">
        <v>525</v>
      </c>
      <c r="N10" s="564"/>
    </row>
    <row r="11" spans="1:14" ht="14.25" customHeight="1" x14ac:dyDescent="0.25">
      <c r="A11" s="563"/>
      <c r="B11" s="527" t="s">
        <v>607</v>
      </c>
      <c r="C11" s="522" t="s">
        <v>635</v>
      </c>
      <c r="D11" s="420" t="s">
        <v>608</v>
      </c>
      <c r="E11" s="420" t="s">
        <v>197</v>
      </c>
      <c r="F11" s="420"/>
      <c r="G11" s="437"/>
      <c r="H11" s="438"/>
      <c r="I11" s="422">
        <v>1</v>
      </c>
      <c r="J11" s="528">
        <f>G11*I11</f>
        <v>0</v>
      </c>
      <c r="K11" s="289"/>
      <c r="L11" s="540"/>
      <c r="M11" s="547"/>
      <c r="N11" s="564"/>
    </row>
    <row r="12" spans="1:14" ht="14.25" customHeight="1" thickBot="1" x14ac:dyDescent="0.3">
      <c r="A12" s="563"/>
      <c r="B12" s="529" t="s">
        <v>607</v>
      </c>
      <c r="C12" s="523" t="s">
        <v>635</v>
      </c>
      <c r="D12" s="426" t="s">
        <v>609</v>
      </c>
      <c r="E12" s="426"/>
      <c r="F12" s="426"/>
      <c r="G12" s="440"/>
      <c r="H12" s="441"/>
      <c r="I12" s="428">
        <v>1</v>
      </c>
      <c r="J12" s="530">
        <f t="shared" ref="J12:J75" si="0">G12*I12</f>
        <v>0</v>
      </c>
      <c r="K12" s="289"/>
      <c r="L12" s="541"/>
      <c r="M12" s="548"/>
      <c r="N12" s="564"/>
    </row>
    <row r="13" spans="1:14" ht="14.25" customHeight="1" thickBot="1" x14ac:dyDescent="0.3">
      <c r="A13" s="563"/>
      <c r="B13" s="529" t="s">
        <v>607</v>
      </c>
      <c r="C13" s="523" t="s">
        <v>635</v>
      </c>
      <c r="D13" s="426" t="s">
        <v>610</v>
      </c>
      <c r="E13" s="426" t="s">
        <v>186</v>
      </c>
      <c r="F13" s="426"/>
      <c r="G13" s="440"/>
      <c r="H13" s="441"/>
      <c r="I13" s="428">
        <v>1</v>
      </c>
      <c r="J13" s="530">
        <f t="shared" si="0"/>
        <v>0</v>
      </c>
      <c r="K13" s="289"/>
      <c r="L13" s="549"/>
      <c r="M13" s="550"/>
      <c r="N13" s="564"/>
    </row>
    <row r="14" spans="1:14" ht="14.25" customHeight="1" thickBot="1" x14ac:dyDescent="0.3">
      <c r="A14" s="563"/>
      <c r="B14" s="529" t="s">
        <v>607</v>
      </c>
      <c r="C14" s="523" t="s">
        <v>635</v>
      </c>
      <c r="D14" s="426" t="s">
        <v>611</v>
      </c>
      <c r="E14" s="426" t="s">
        <v>195</v>
      </c>
      <c r="F14" s="426"/>
      <c r="G14" s="440"/>
      <c r="H14" s="441"/>
      <c r="I14" s="428">
        <v>1</v>
      </c>
      <c r="J14" s="530">
        <f t="shared" si="0"/>
        <v>0</v>
      </c>
      <c r="K14" s="289"/>
      <c r="L14" s="1059" t="s">
        <v>527</v>
      </c>
      <c r="M14" s="1060"/>
      <c r="N14" s="564"/>
    </row>
    <row r="15" spans="1:14" ht="14.25" customHeight="1" x14ac:dyDescent="0.25">
      <c r="A15" s="563"/>
      <c r="B15" s="529" t="s">
        <v>612</v>
      </c>
      <c r="C15" s="523" t="s">
        <v>613</v>
      </c>
      <c r="D15" s="426" t="s">
        <v>614</v>
      </c>
      <c r="E15" s="426" t="s">
        <v>186</v>
      </c>
      <c r="F15" s="426"/>
      <c r="G15" s="440"/>
      <c r="H15" s="441"/>
      <c r="I15" s="428">
        <v>1</v>
      </c>
      <c r="J15" s="530">
        <f t="shared" si="0"/>
        <v>0</v>
      </c>
      <c r="K15" s="289"/>
      <c r="L15" s="542" t="s">
        <v>529</v>
      </c>
      <c r="M15" s="526" t="s">
        <v>525</v>
      </c>
      <c r="N15" s="564"/>
    </row>
    <row r="16" spans="1:14" ht="14.25" customHeight="1" x14ac:dyDescent="0.25">
      <c r="A16" s="563"/>
      <c r="B16" s="529" t="s">
        <v>612</v>
      </c>
      <c r="C16" s="523" t="s">
        <v>613</v>
      </c>
      <c r="D16" s="426" t="s">
        <v>615</v>
      </c>
      <c r="E16" s="426" t="s">
        <v>186</v>
      </c>
      <c r="F16" s="426"/>
      <c r="G16" s="440"/>
      <c r="H16" s="441"/>
      <c r="I16" s="428">
        <v>1</v>
      </c>
      <c r="J16" s="530">
        <f t="shared" si="0"/>
        <v>0</v>
      </c>
      <c r="K16" s="289"/>
      <c r="L16" s="543" t="s">
        <v>197</v>
      </c>
      <c r="M16" s="539">
        <f t="shared" ref="M16:M35" si="1">SUMIF(E:E,L16,J:J)</f>
        <v>0</v>
      </c>
      <c r="N16" s="564"/>
    </row>
    <row r="17" spans="1:14" ht="14.25" customHeight="1" x14ac:dyDescent="0.25">
      <c r="A17" s="563"/>
      <c r="B17" s="529" t="s">
        <v>612</v>
      </c>
      <c r="C17" s="523" t="s">
        <v>613</v>
      </c>
      <c r="D17" s="426" t="s">
        <v>616</v>
      </c>
      <c r="E17" s="426" t="s">
        <v>186</v>
      </c>
      <c r="F17" s="426"/>
      <c r="G17" s="440"/>
      <c r="H17" s="441"/>
      <c r="I17" s="428">
        <v>1</v>
      </c>
      <c r="J17" s="530">
        <f t="shared" si="0"/>
        <v>0</v>
      </c>
      <c r="K17" s="289"/>
      <c r="L17" s="544" t="s">
        <v>186</v>
      </c>
      <c r="M17" s="530">
        <f t="shared" si="1"/>
        <v>0</v>
      </c>
      <c r="N17" s="564"/>
    </row>
    <row r="18" spans="1:14" ht="14.25" customHeight="1" x14ac:dyDescent="0.25">
      <c r="A18" s="563"/>
      <c r="B18" s="529" t="s">
        <v>612</v>
      </c>
      <c r="C18" s="523" t="s">
        <v>613</v>
      </c>
      <c r="D18" s="426" t="s">
        <v>618</v>
      </c>
      <c r="E18" s="426" t="s">
        <v>693</v>
      </c>
      <c r="F18" s="426"/>
      <c r="G18" s="440"/>
      <c r="H18" s="441"/>
      <c r="I18" s="428">
        <v>1</v>
      </c>
      <c r="J18" s="530">
        <f t="shared" si="0"/>
        <v>0</v>
      </c>
      <c r="K18" s="289"/>
      <c r="L18" s="544" t="s">
        <v>195</v>
      </c>
      <c r="M18" s="530">
        <f t="shared" si="1"/>
        <v>0</v>
      </c>
      <c r="N18" s="564"/>
    </row>
    <row r="19" spans="1:14" ht="14.25" customHeight="1" x14ac:dyDescent="0.25">
      <c r="A19" s="563"/>
      <c r="B19" s="529" t="s">
        <v>612</v>
      </c>
      <c r="C19" s="523" t="s">
        <v>613</v>
      </c>
      <c r="D19" s="426" t="s">
        <v>689</v>
      </c>
      <c r="E19" s="426" t="s">
        <v>694</v>
      </c>
      <c r="F19" s="426">
        <v>13.69</v>
      </c>
      <c r="G19" s="440">
        <v>1.2</v>
      </c>
      <c r="H19" s="441" t="s">
        <v>701</v>
      </c>
      <c r="I19" s="428">
        <v>1</v>
      </c>
      <c r="J19" s="530">
        <f>F19*G19</f>
        <v>16.427999999999997</v>
      </c>
      <c r="K19" s="289"/>
      <c r="L19" s="544" t="s">
        <v>693</v>
      </c>
      <c r="M19" s="530">
        <f t="shared" si="1"/>
        <v>0</v>
      </c>
      <c r="N19" s="564"/>
    </row>
    <row r="20" spans="1:14" ht="14.25" customHeight="1" x14ac:dyDescent="0.25">
      <c r="A20" s="563"/>
      <c r="B20" s="529" t="s">
        <v>612</v>
      </c>
      <c r="C20" s="523" t="s">
        <v>613</v>
      </c>
      <c r="D20" s="426" t="s">
        <v>619</v>
      </c>
      <c r="E20" s="426" t="s">
        <v>186</v>
      </c>
      <c r="F20" s="426"/>
      <c r="G20" s="440"/>
      <c r="H20" s="441"/>
      <c r="I20" s="428">
        <v>1</v>
      </c>
      <c r="J20" s="530">
        <f t="shared" si="0"/>
        <v>0</v>
      </c>
      <c r="K20" s="289"/>
      <c r="L20" s="544" t="s">
        <v>694</v>
      </c>
      <c r="M20" s="530">
        <f t="shared" si="1"/>
        <v>677.34799999999973</v>
      </c>
      <c r="N20" s="564"/>
    </row>
    <row r="21" spans="1:14" ht="14.25" customHeight="1" x14ac:dyDescent="0.25">
      <c r="A21" s="563"/>
      <c r="B21" s="529" t="s">
        <v>612</v>
      </c>
      <c r="C21" s="523" t="s">
        <v>613</v>
      </c>
      <c r="D21" s="426" t="s">
        <v>620</v>
      </c>
      <c r="E21" s="426" t="s">
        <v>186</v>
      </c>
      <c r="F21" s="426"/>
      <c r="G21" s="440"/>
      <c r="H21" s="441"/>
      <c r="I21" s="428">
        <v>1</v>
      </c>
      <c r="J21" s="530">
        <f t="shared" si="0"/>
        <v>0</v>
      </c>
      <c r="K21" s="289"/>
      <c r="L21" s="544" t="s">
        <v>686</v>
      </c>
      <c r="M21" s="530">
        <f t="shared" si="1"/>
        <v>0</v>
      </c>
      <c r="N21" s="564"/>
    </row>
    <row r="22" spans="1:14" ht="14.25" customHeight="1" x14ac:dyDescent="0.25">
      <c r="A22" s="563"/>
      <c r="B22" s="529" t="s">
        <v>612</v>
      </c>
      <c r="C22" s="523" t="s">
        <v>613</v>
      </c>
      <c r="D22" s="426" t="s">
        <v>621</v>
      </c>
      <c r="E22" s="426" t="s">
        <v>186</v>
      </c>
      <c r="F22" s="426"/>
      <c r="G22" s="440"/>
      <c r="H22" s="441"/>
      <c r="I22" s="428">
        <v>1</v>
      </c>
      <c r="J22" s="530">
        <f t="shared" si="0"/>
        <v>0</v>
      </c>
      <c r="K22" s="289"/>
      <c r="L22" s="544" t="s">
        <v>695</v>
      </c>
      <c r="M22" s="530">
        <f t="shared" si="1"/>
        <v>0</v>
      </c>
      <c r="N22" s="564"/>
    </row>
    <row r="23" spans="1:14" ht="14.25" customHeight="1" x14ac:dyDescent="0.25">
      <c r="A23" s="563"/>
      <c r="B23" s="529" t="s">
        <v>612</v>
      </c>
      <c r="C23" s="523" t="s">
        <v>613</v>
      </c>
      <c r="D23" s="426" t="s">
        <v>617</v>
      </c>
      <c r="E23" s="426" t="s">
        <v>186</v>
      </c>
      <c r="F23" s="426"/>
      <c r="G23" s="440"/>
      <c r="H23" s="441"/>
      <c r="I23" s="428">
        <v>1</v>
      </c>
      <c r="J23" s="530">
        <f t="shared" si="0"/>
        <v>0</v>
      </c>
      <c r="K23" s="289"/>
      <c r="L23" s="544" t="s">
        <v>189</v>
      </c>
      <c r="M23" s="530">
        <f t="shared" si="1"/>
        <v>0</v>
      </c>
      <c r="N23" s="564"/>
    </row>
    <row r="24" spans="1:14" ht="14.25" customHeight="1" x14ac:dyDescent="0.25">
      <c r="A24" s="563"/>
      <c r="B24" s="529" t="s">
        <v>612</v>
      </c>
      <c r="C24" s="523" t="s">
        <v>613</v>
      </c>
      <c r="D24" s="426" t="s">
        <v>622</v>
      </c>
      <c r="E24" s="426" t="s">
        <v>686</v>
      </c>
      <c r="F24" s="426"/>
      <c r="G24" s="440"/>
      <c r="H24" s="441"/>
      <c r="I24" s="428">
        <v>1</v>
      </c>
      <c r="J24" s="530">
        <f t="shared" si="0"/>
        <v>0</v>
      </c>
      <c r="K24" s="289"/>
      <c r="L24" s="544" t="s">
        <v>188</v>
      </c>
      <c r="M24" s="530">
        <f t="shared" si="1"/>
        <v>0</v>
      </c>
      <c r="N24" s="564"/>
    </row>
    <row r="25" spans="1:14" ht="14.25" customHeight="1" x14ac:dyDescent="0.25">
      <c r="A25" s="563"/>
      <c r="B25" s="529" t="s">
        <v>612</v>
      </c>
      <c r="C25" s="523" t="s">
        <v>613</v>
      </c>
      <c r="D25" s="426" t="s">
        <v>623</v>
      </c>
      <c r="E25" s="426" t="s">
        <v>186</v>
      </c>
      <c r="F25" s="426"/>
      <c r="G25" s="440"/>
      <c r="H25" s="441"/>
      <c r="I25" s="428">
        <v>1</v>
      </c>
      <c r="J25" s="530">
        <f t="shared" si="0"/>
        <v>0</v>
      </c>
      <c r="K25" s="289"/>
      <c r="L25" s="544"/>
      <c r="M25" s="530">
        <f t="shared" si="1"/>
        <v>0</v>
      </c>
      <c r="N25" s="564"/>
    </row>
    <row r="26" spans="1:14" ht="14.25" customHeight="1" x14ac:dyDescent="0.25">
      <c r="A26" s="563"/>
      <c r="B26" s="529" t="s">
        <v>612</v>
      </c>
      <c r="C26" s="523" t="s">
        <v>613</v>
      </c>
      <c r="D26" s="426" t="s">
        <v>624</v>
      </c>
      <c r="E26" s="426" t="s">
        <v>686</v>
      </c>
      <c r="F26" s="426"/>
      <c r="G26" s="440"/>
      <c r="H26" s="441"/>
      <c r="I26" s="428">
        <v>1</v>
      </c>
      <c r="J26" s="530">
        <f t="shared" si="0"/>
        <v>0</v>
      </c>
      <c r="K26" s="289"/>
      <c r="L26" s="544"/>
      <c r="M26" s="530">
        <f t="shared" si="1"/>
        <v>0</v>
      </c>
      <c r="N26" s="564"/>
    </row>
    <row r="27" spans="1:14" ht="14.25" customHeight="1" x14ac:dyDescent="0.25">
      <c r="A27" s="563"/>
      <c r="B27" s="529" t="s">
        <v>612</v>
      </c>
      <c r="C27" s="523" t="s">
        <v>613</v>
      </c>
      <c r="D27" s="426" t="s">
        <v>625</v>
      </c>
      <c r="E27" s="426" t="s">
        <v>186</v>
      </c>
      <c r="F27" s="426"/>
      <c r="G27" s="440"/>
      <c r="H27" s="441"/>
      <c r="I27" s="428">
        <v>1</v>
      </c>
      <c r="J27" s="530">
        <f t="shared" si="0"/>
        <v>0</v>
      </c>
      <c r="K27" s="289"/>
      <c r="L27" s="544"/>
      <c r="M27" s="530">
        <f t="shared" si="1"/>
        <v>0</v>
      </c>
      <c r="N27" s="564"/>
    </row>
    <row r="28" spans="1:14" ht="14.25" customHeight="1" x14ac:dyDescent="0.25">
      <c r="A28" s="563"/>
      <c r="B28" s="529" t="s">
        <v>612</v>
      </c>
      <c r="C28" s="523" t="s">
        <v>613</v>
      </c>
      <c r="D28" s="426" t="s">
        <v>626</v>
      </c>
      <c r="E28" s="426" t="s">
        <v>686</v>
      </c>
      <c r="F28" s="426"/>
      <c r="G28" s="440"/>
      <c r="H28" s="441"/>
      <c r="I28" s="428">
        <v>1</v>
      </c>
      <c r="J28" s="530">
        <f t="shared" si="0"/>
        <v>0</v>
      </c>
      <c r="K28" s="289"/>
      <c r="L28" s="544"/>
      <c r="M28" s="530">
        <f t="shared" si="1"/>
        <v>0</v>
      </c>
      <c r="N28" s="564"/>
    </row>
    <row r="29" spans="1:14" ht="14.25" customHeight="1" x14ac:dyDescent="0.25">
      <c r="A29" s="563"/>
      <c r="B29" s="529" t="s">
        <v>612</v>
      </c>
      <c r="C29" s="523" t="s">
        <v>613</v>
      </c>
      <c r="D29" s="426" t="s">
        <v>627</v>
      </c>
      <c r="E29" s="426" t="s">
        <v>186</v>
      </c>
      <c r="F29" s="426"/>
      <c r="G29" s="440"/>
      <c r="H29" s="441"/>
      <c r="I29" s="428">
        <v>1</v>
      </c>
      <c r="J29" s="530">
        <f t="shared" si="0"/>
        <v>0</v>
      </c>
      <c r="K29" s="289"/>
      <c r="L29" s="544"/>
      <c r="M29" s="530">
        <f t="shared" si="1"/>
        <v>0</v>
      </c>
      <c r="N29" s="564"/>
    </row>
    <row r="30" spans="1:14" ht="14.25" customHeight="1" x14ac:dyDescent="0.25">
      <c r="A30" s="563"/>
      <c r="B30" s="529" t="s">
        <v>612</v>
      </c>
      <c r="C30" s="523" t="s">
        <v>635</v>
      </c>
      <c r="D30" s="426" t="s">
        <v>628</v>
      </c>
      <c r="E30" s="426" t="s">
        <v>197</v>
      </c>
      <c r="F30" s="426"/>
      <c r="G30" s="440"/>
      <c r="H30" s="441"/>
      <c r="I30" s="428">
        <v>1</v>
      </c>
      <c r="J30" s="530">
        <f t="shared" si="0"/>
        <v>0</v>
      </c>
      <c r="K30" s="289"/>
      <c r="L30" s="544"/>
      <c r="M30" s="530">
        <f t="shared" si="1"/>
        <v>0</v>
      </c>
      <c r="N30" s="564"/>
    </row>
    <row r="31" spans="1:14" ht="14.25" customHeight="1" x14ac:dyDescent="0.25">
      <c r="A31" s="563"/>
      <c r="B31" s="529" t="s">
        <v>612</v>
      </c>
      <c r="C31" s="523" t="s">
        <v>635</v>
      </c>
      <c r="D31" s="426" t="s">
        <v>642</v>
      </c>
      <c r="E31" s="426" t="s">
        <v>186</v>
      </c>
      <c r="F31" s="426"/>
      <c r="G31" s="440"/>
      <c r="H31" s="441"/>
      <c r="I31" s="428">
        <v>1</v>
      </c>
      <c r="J31" s="530">
        <f t="shared" si="0"/>
        <v>0</v>
      </c>
      <c r="K31" s="289"/>
      <c r="L31" s="544"/>
      <c r="M31" s="530">
        <f t="shared" si="1"/>
        <v>0</v>
      </c>
      <c r="N31" s="564"/>
    </row>
    <row r="32" spans="1:14" ht="14.25" customHeight="1" x14ac:dyDescent="0.25">
      <c r="A32" s="563"/>
      <c r="B32" s="529" t="s">
        <v>612</v>
      </c>
      <c r="C32" s="523" t="s">
        <v>635</v>
      </c>
      <c r="D32" s="426" t="s">
        <v>688</v>
      </c>
      <c r="E32" s="426" t="s">
        <v>695</v>
      </c>
      <c r="F32" s="426"/>
      <c r="G32" s="440"/>
      <c r="H32" s="441"/>
      <c r="I32" s="428">
        <v>1</v>
      </c>
      <c r="J32" s="530">
        <f t="shared" si="0"/>
        <v>0</v>
      </c>
      <c r="K32" s="289"/>
      <c r="L32" s="544"/>
      <c r="M32" s="530">
        <f t="shared" si="1"/>
        <v>0</v>
      </c>
      <c r="N32" s="564"/>
    </row>
    <row r="33" spans="1:14" ht="14.25" customHeight="1" x14ac:dyDescent="0.25">
      <c r="A33" s="563"/>
      <c r="B33" s="529" t="s">
        <v>612</v>
      </c>
      <c r="C33" s="523" t="s">
        <v>632</v>
      </c>
      <c r="D33" s="426" t="s">
        <v>614</v>
      </c>
      <c r="E33" s="426" t="s">
        <v>186</v>
      </c>
      <c r="F33" s="426"/>
      <c r="G33" s="440"/>
      <c r="H33" s="441"/>
      <c r="I33" s="428">
        <v>1</v>
      </c>
      <c r="J33" s="530">
        <f t="shared" si="0"/>
        <v>0</v>
      </c>
      <c r="K33" s="289"/>
      <c r="L33" s="544"/>
      <c r="M33" s="530">
        <f t="shared" si="1"/>
        <v>0</v>
      </c>
      <c r="N33" s="564"/>
    </row>
    <row r="34" spans="1:14" ht="14.25" customHeight="1" x14ac:dyDescent="0.25">
      <c r="A34" s="563"/>
      <c r="B34" s="529" t="s">
        <v>612</v>
      </c>
      <c r="C34" s="523" t="s">
        <v>632</v>
      </c>
      <c r="D34" s="426" t="s">
        <v>615</v>
      </c>
      <c r="E34" s="426" t="s">
        <v>186</v>
      </c>
      <c r="F34" s="426"/>
      <c r="G34" s="440"/>
      <c r="H34" s="441"/>
      <c r="I34" s="428">
        <v>1</v>
      </c>
      <c r="J34" s="530">
        <f t="shared" si="0"/>
        <v>0</v>
      </c>
      <c r="K34" s="289"/>
      <c r="L34" s="544"/>
      <c r="M34" s="530">
        <f t="shared" si="1"/>
        <v>0</v>
      </c>
      <c r="N34" s="564"/>
    </row>
    <row r="35" spans="1:14" ht="14.25" customHeight="1" x14ac:dyDescent="0.25">
      <c r="A35" s="563"/>
      <c r="B35" s="529" t="s">
        <v>612</v>
      </c>
      <c r="C35" s="523" t="s">
        <v>632</v>
      </c>
      <c r="D35" s="426" t="s">
        <v>616</v>
      </c>
      <c r="E35" s="426" t="s">
        <v>186</v>
      </c>
      <c r="F35" s="426"/>
      <c r="G35" s="440"/>
      <c r="H35" s="441"/>
      <c r="I35" s="428">
        <v>1</v>
      </c>
      <c r="J35" s="530">
        <f t="shared" si="0"/>
        <v>0</v>
      </c>
      <c r="K35" s="289"/>
      <c r="L35" s="544"/>
      <c r="M35" s="530">
        <f t="shared" si="1"/>
        <v>0</v>
      </c>
      <c r="N35" s="564"/>
    </row>
    <row r="36" spans="1:14" ht="14.25" customHeight="1" x14ac:dyDescent="0.25">
      <c r="A36" s="563"/>
      <c r="B36" s="529" t="s">
        <v>612</v>
      </c>
      <c r="C36" s="523" t="s">
        <v>632</v>
      </c>
      <c r="D36" s="426" t="s">
        <v>618</v>
      </c>
      <c r="E36" s="426" t="s">
        <v>693</v>
      </c>
      <c r="F36" s="426"/>
      <c r="G36" s="440"/>
      <c r="H36" s="441"/>
      <c r="I36" s="428">
        <v>1</v>
      </c>
      <c r="J36" s="530">
        <f t="shared" si="0"/>
        <v>0</v>
      </c>
      <c r="K36" s="289"/>
      <c r="L36" s="540"/>
      <c r="M36" s="530"/>
      <c r="N36" s="564"/>
    </row>
    <row r="37" spans="1:14" ht="14.25" customHeight="1" x14ac:dyDescent="0.25">
      <c r="A37" s="563"/>
      <c r="B37" s="529" t="s">
        <v>612</v>
      </c>
      <c r="C37" s="523" t="s">
        <v>632</v>
      </c>
      <c r="D37" s="426" t="s">
        <v>689</v>
      </c>
      <c r="E37" s="426" t="s">
        <v>694</v>
      </c>
      <c r="F37" s="426">
        <v>13.72</v>
      </c>
      <c r="G37" s="440">
        <v>1.2</v>
      </c>
      <c r="H37" s="441" t="s">
        <v>701</v>
      </c>
      <c r="I37" s="428">
        <v>1</v>
      </c>
      <c r="J37" s="530">
        <f>F37*G37</f>
        <v>16.463999999999999</v>
      </c>
      <c r="K37" s="289"/>
      <c r="L37" s="540"/>
      <c r="M37" s="530"/>
      <c r="N37" s="564"/>
    </row>
    <row r="38" spans="1:14" ht="14.25" customHeight="1" x14ac:dyDescent="0.25">
      <c r="A38" s="563"/>
      <c r="B38" s="529" t="s">
        <v>612</v>
      </c>
      <c r="C38" s="523" t="s">
        <v>632</v>
      </c>
      <c r="D38" s="426" t="s">
        <v>619</v>
      </c>
      <c r="E38" s="426" t="s">
        <v>186</v>
      </c>
      <c r="F38" s="426"/>
      <c r="G38" s="440"/>
      <c r="H38" s="441"/>
      <c r="I38" s="428">
        <v>1</v>
      </c>
      <c r="J38" s="530">
        <f t="shared" si="0"/>
        <v>0</v>
      </c>
      <c r="K38" s="289"/>
      <c r="L38" s="540"/>
      <c r="M38" s="530"/>
      <c r="N38" s="564"/>
    </row>
    <row r="39" spans="1:14" ht="14.25" customHeight="1" x14ac:dyDescent="0.25">
      <c r="A39" s="563"/>
      <c r="B39" s="529" t="s">
        <v>612</v>
      </c>
      <c r="C39" s="523" t="s">
        <v>632</v>
      </c>
      <c r="D39" s="426" t="s">
        <v>629</v>
      </c>
      <c r="E39" s="426" t="s">
        <v>186</v>
      </c>
      <c r="F39" s="426"/>
      <c r="G39" s="440"/>
      <c r="H39" s="441"/>
      <c r="I39" s="428">
        <v>1</v>
      </c>
      <c r="J39" s="530">
        <f t="shared" si="0"/>
        <v>0</v>
      </c>
      <c r="K39" s="289"/>
      <c r="L39" s="540"/>
      <c r="M39" s="530"/>
      <c r="N39" s="564"/>
    </row>
    <row r="40" spans="1:14" ht="14.25" customHeight="1" x14ac:dyDescent="0.25">
      <c r="A40" s="563"/>
      <c r="B40" s="529" t="s">
        <v>612</v>
      </c>
      <c r="C40" s="523" t="s">
        <v>632</v>
      </c>
      <c r="D40" s="426" t="s">
        <v>620</v>
      </c>
      <c r="E40" s="426" t="s">
        <v>186</v>
      </c>
      <c r="F40" s="426"/>
      <c r="G40" s="440"/>
      <c r="H40" s="441"/>
      <c r="I40" s="428">
        <v>1</v>
      </c>
      <c r="J40" s="530">
        <f t="shared" si="0"/>
        <v>0</v>
      </c>
      <c r="K40" s="289"/>
      <c r="L40" s="540"/>
      <c r="M40" s="530"/>
      <c r="N40" s="564"/>
    </row>
    <row r="41" spans="1:14" ht="14.25" customHeight="1" x14ac:dyDescent="0.25">
      <c r="A41" s="563"/>
      <c r="B41" s="529" t="s">
        <v>612</v>
      </c>
      <c r="C41" s="523" t="s">
        <v>632</v>
      </c>
      <c r="D41" s="426" t="s">
        <v>640</v>
      </c>
      <c r="E41" s="426" t="s">
        <v>186</v>
      </c>
      <c r="F41" s="426"/>
      <c r="G41" s="440"/>
      <c r="H41" s="441"/>
      <c r="I41" s="428">
        <v>1</v>
      </c>
      <c r="J41" s="530">
        <f t="shared" si="0"/>
        <v>0</v>
      </c>
      <c r="K41" s="289"/>
      <c r="L41" s="540"/>
      <c r="M41" s="530"/>
      <c r="N41" s="564"/>
    </row>
    <row r="42" spans="1:14" ht="14.25" customHeight="1" x14ac:dyDescent="0.25">
      <c r="A42" s="563"/>
      <c r="B42" s="529" t="s">
        <v>612</v>
      </c>
      <c r="C42" s="523" t="s">
        <v>632</v>
      </c>
      <c r="D42" s="426" t="s">
        <v>621</v>
      </c>
      <c r="E42" s="426" t="s">
        <v>186</v>
      </c>
      <c r="F42" s="426"/>
      <c r="G42" s="440"/>
      <c r="H42" s="441"/>
      <c r="I42" s="428">
        <v>1</v>
      </c>
      <c r="J42" s="530">
        <f t="shared" si="0"/>
        <v>0</v>
      </c>
      <c r="K42" s="289"/>
      <c r="L42" s="540"/>
      <c r="M42" s="530"/>
      <c r="N42" s="564"/>
    </row>
    <row r="43" spans="1:14" ht="14.25" customHeight="1" x14ac:dyDescent="0.25">
      <c r="A43" s="563"/>
      <c r="B43" s="529" t="s">
        <v>612</v>
      </c>
      <c r="C43" s="523" t="s">
        <v>632</v>
      </c>
      <c r="D43" s="426" t="s">
        <v>617</v>
      </c>
      <c r="E43" s="426" t="s">
        <v>186</v>
      </c>
      <c r="F43" s="426"/>
      <c r="G43" s="440"/>
      <c r="H43" s="441"/>
      <c r="I43" s="428">
        <v>1</v>
      </c>
      <c r="J43" s="530">
        <f t="shared" si="0"/>
        <v>0</v>
      </c>
      <c r="K43" s="289"/>
      <c r="L43" s="540"/>
      <c r="M43" s="530"/>
      <c r="N43" s="564"/>
    </row>
    <row r="44" spans="1:14" ht="14.25" customHeight="1" x14ac:dyDescent="0.25">
      <c r="A44" s="563"/>
      <c r="B44" s="529" t="s">
        <v>612</v>
      </c>
      <c r="C44" s="523" t="s">
        <v>632</v>
      </c>
      <c r="D44" s="426" t="s">
        <v>622</v>
      </c>
      <c r="E44" s="426" t="s">
        <v>686</v>
      </c>
      <c r="F44" s="426"/>
      <c r="G44" s="440"/>
      <c r="H44" s="441"/>
      <c r="I44" s="428">
        <v>1</v>
      </c>
      <c r="J44" s="530">
        <f t="shared" si="0"/>
        <v>0</v>
      </c>
      <c r="K44" s="289"/>
      <c r="L44" s="540"/>
      <c r="M44" s="530"/>
      <c r="N44" s="564"/>
    </row>
    <row r="45" spans="1:14" ht="14.25" customHeight="1" x14ac:dyDescent="0.25">
      <c r="A45" s="563"/>
      <c r="B45" s="529" t="s">
        <v>612</v>
      </c>
      <c r="C45" s="523" t="s">
        <v>632</v>
      </c>
      <c r="D45" s="426" t="s">
        <v>623</v>
      </c>
      <c r="E45" s="426" t="s">
        <v>186</v>
      </c>
      <c r="F45" s="426"/>
      <c r="G45" s="440"/>
      <c r="H45" s="441"/>
      <c r="I45" s="428">
        <v>1</v>
      </c>
      <c r="J45" s="530">
        <f t="shared" si="0"/>
        <v>0</v>
      </c>
      <c r="K45" s="289"/>
      <c r="L45" s="540"/>
      <c r="M45" s="530"/>
      <c r="N45" s="564"/>
    </row>
    <row r="46" spans="1:14" ht="14.25" customHeight="1" x14ac:dyDescent="0.25">
      <c r="A46" s="563"/>
      <c r="B46" s="531" t="s">
        <v>612</v>
      </c>
      <c r="C46" s="524" t="s">
        <v>632</v>
      </c>
      <c r="D46" s="431" t="s">
        <v>630</v>
      </c>
      <c r="E46" s="431" t="s">
        <v>686</v>
      </c>
      <c r="F46" s="431"/>
      <c r="G46" s="440"/>
      <c r="H46" s="441"/>
      <c r="I46" s="428">
        <v>1</v>
      </c>
      <c r="J46" s="530">
        <f t="shared" si="0"/>
        <v>0</v>
      </c>
      <c r="K46" s="289"/>
      <c r="L46" s="540"/>
      <c r="M46" s="530"/>
      <c r="N46" s="564"/>
    </row>
    <row r="47" spans="1:14" ht="14.25" customHeight="1" x14ac:dyDescent="0.25">
      <c r="A47" s="563"/>
      <c r="B47" s="529" t="s">
        <v>612</v>
      </c>
      <c r="C47" s="523" t="s">
        <v>632</v>
      </c>
      <c r="D47" s="426" t="s">
        <v>631</v>
      </c>
      <c r="E47" s="426" t="s">
        <v>186</v>
      </c>
      <c r="F47" s="426"/>
      <c r="G47" s="440"/>
      <c r="H47" s="441"/>
      <c r="I47" s="428">
        <v>1</v>
      </c>
      <c r="J47" s="530">
        <f t="shared" si="0"/>
        <v>0</v>
      </c>
      <c r="K47" s="289"/>
      <c r="L47" s="540"/>
      <c r="M47" s="530"/>
      <c r="N47" s="564"/>
    </row>
    <row r="48" spans="1:14" ht="14.25" customHeight="1" x14ac:dyDescent="0.25">
      <c r="A48" s="563"/>
      <c r="B48" s="529" t="s">
        <v>612</v>
      </c>
      <c r="C48" s="523" t="s">
        <v>632</v>
      </c>
      <c r="D48" s="426" t="s">
        <v>624</v>
      </c>
      <c r="E48" s="426" t="s">
        <v>686</v>
      </c>
      <c r="F48" s="426"/>
      <c r="G48" s="440"/>
      <c r="H48" s="441"/>
      <c r="I48" s="428">
        <v>1</v>
      </c>
      <c r="J48" s="530">
        <f t="shared" si="0"/>
        <v>0</v>
      </c>
      <c r="K48" s="289"/>
      <c r="L48" s="540"/>
      <c r="M48" s="530"/>
      <c r="N48" s="564"/>
    </row>
    <row r="49" spans="1:14" ht="14.25" customHeight="1" x14ac:dyDescent="0.25">
      <c r="A49" s="563"/>
      <c r="B49" s="529" t="s">
        <v>612</v>
      </c>
      <c r="C49" s="523" t="s">
        <v>632</v>
      </c>
      <c r="D49" s="426" t="s">
        <v>625</v>
      </c>
      <c r="E49" s="426" t="s">
        <v>186</v>
      </c>
      <c r="F49" s="426"/>
      <c r="G49" s="440"/>
      <c r="H49" s="441"/>
      <c r="I49" s="428">
        <v>1</v>
      </c>
      <c r="J49" s="530">
        <f t="shared" si="0"/>
        <v>0</v>
      </c>
      <c r="K49" s="289"/>
      <c r="L49" s="540"/>
      <c r="M49" s="530"/>
      <c r="N49" s="564"/>
    </row>
    <row r="50" spans="1:14" ht="14.25" customHeight="1" x14ac:dyDescent="0.25">
      <c r="A50" s="563"/>
      <c r="B50" s="529" t="s">
        <v>612</v>
      </c>
      <c r="C50" s="523" t="s">
        <v>632</v>
      </c>
      <c r="D50" s="426" t="s">
        <v>626</v>
      </c>
      <c r="E50" s="426" t="s">
        <v>686</v>
      </c>
      <c r="F50" s="426"/>
      <c r="G50" s="440"/>
      <c r="H50" s="441"/>
      <c r="I50" s="428">
        <v>1</v>
      </c>
      <c r="J50" s="530">
        <f t="shared" si="0"/>
        <v>0</v>
      </c>
      <c r="K50" s="289"/>
      <c r="L50" s="540"/>
      <c r="M50" s="530"/>
      <c r="N50" s="564"/>
    </row>
    <row r="51" spans="1:14" ht="14.25" customHeight="1" x14ac:dyDescent="0.25">
      <c r="A51" s="563"/>
      <c r="B51" s="529" t="s">
        <v>612</v>
      </c>
      <c r="C51" s="523" t="s">
        <v>632</v>
      </c>
      <c r="D51" s="426" t="s">
        <v>627</v>
      </c>
      <c r="E51" s="426" t="s">
        <v>186</v>
      </c>
      <c r="F51" s="426"/>
      <c r="G51" s="440"/>
      <c r="H51" s="441"/>
      <c r="I51" s="428">
        <v>1</v>
      </c>
      <c r="J51" s="530">
        <f t="shared" si="0"/>
        <v>0</v>
      </c>
      <c r="K51" s="289"/>
      <c r="L51" s="540"/>
      <c r="M51" s="530"/>
      <c r="N51" s="564"/>
    </row>
    <row r="52" spans="1:14" ht="14.25" customHeight="1" x14ac:dyDescent="0.25">
      <c r="A52" s="563"/>
      <c r="B52" s="529" t="s">
        <v>612</v>
      </c>
      <c r="C52" s="523" t="s">
        <v>633</v>
      </c>
      <c r="D52" s="426" t="s">
        <v>614</v>
      </c>
      <c r="E52" s="426" t="s">
        <v>186</v>
      </c>
      <c r="F52" s="426"/>
      <c r="G52" s="440"/>
      <c r="H52" s="441"/>
      <c r="I52" s="428">
        <v>1</v>
      </c>
      <c r="J52" s="530">
        <f t="shared" si="0"/>
        <v>0</v>
      </c>
      <c r="K52" s="289"/>
      <c r="L52" s="540"/>
      <c r="M52" s="530"/>
      <c r="N52" s="564"/>
    </row>
    <row r="53" spans="1:14" ht="14.25" customHeight="1" x14ac:dyDescent="0.25">
      <c r="A53" s="563"/>
      <c r="B53" s="529" t="s">
        <v>612</v>
      </c>
      <c r="C53" s="523" t="s">
        <v>633</v>
      </c>
      <c r="D53" s="426" t="s">
        <v>615</v>
      </c>
      <c r="E53" s="426" t="s">
        <v>186</v>
      </c>
      <c r="F53" s="426"/>
      <c r="G53" s="440"/>
      <c r="H53" s="441"/>
      <c r="I53" s="428">
        <v>1</v>
      </c>
      <c r="J53" s="530">
        <f t="shared" si="0"/>
        <v>0</v>
      </c>
      <c r="K53" s="289"/>
      <c r="L53" s="540"/>
      <c r="M53" s="530"/>
      <c r="N53" s="564"/>
    </row>
    <row r="54" spans="1:14" ht="14.25" customHeight="1" x14ac:dyDescent="0.25">
      <c r="A54" s="563"/>
      <c r="B54" s="529" t="s">
        <v>612</v>
      </c>
      <c r="C54" s="523" t="s">
        <v>633</v>
      </c>
      <c r="D54" s="426" t="s">
        <v>616</v>
      </c>
      <c r="E54" s="426" t="s">
        <v>186</v>
      </c>
      <c r="F54" s="426"/>
      <c r="G54" s="440"/>
      <c r="H54" s="441"/>
      <c r="I54" s="428">
        <v>1</v>
      </c>
      <c r="J54" s="530">
        <f t="shared" si="0"/>
        <v>0</v>
      </c>
      <c r="K54" s="289"/>
      <c r="L54" s="540"/>
      <c r="M54" s="530"/>
      <c r="N54" s="564"/>
    </row>
    <row r="55" spans="1:14" ht="14.25" customHeight="1" x14ac:dyDescent="0.25">
      <c r="A55" s="563"/>
      <c r="B55" s="529" t="s">
        <v>612</v>
      </c>
      <c r="C55" s="523" t="s">
        <v>633</v>
      </c>
      <c r="D55" s="426" t="s">
        <v>618</v>
      </c>
      <c r="E55" s="426" t="s">
        <v>693</v>
      </c>
      <c r="F55" s="426"/>
      <c r="G55" s="440"/>
      <c r="H55" s="441"/>
      <c r="I55" s="428">
        <v>1</v>
      </c>
      <c r="J55" s="530">
        <f t="shared" si="0"/>
        <v>0</v>
      </c>
      <c r="K55" s="289"/>
      <c r="L55" s="540"/>
      <c r="M55" s="530"/>
      <c r="N55" s="564"/>
    </row>
    <row r="56" spans="1:14" ht="14.25" customHeight="1" x14ac:dyDescent="0.25">
      <c r="A56" s="563"/>
      <c r="B56" s="529" t="s">
        <v>612</v>
      </c>
      <c r="C56" s="523" t="s">
        <v>633</v>
      </c>
      <c r="D56" s="426" t="s">
        <v>689</v>
      </c>
      <c r="E56" s="426" t="s">
        <v>694</v>
      </c>
      <c r="F56" s="426">
        <v>13.75</v>
      </c>
      <c r="G56" s="440">
        <v>1.2</v>
      </c>
      <c r="H56" s="441" t="s">
        <v>701</v>
      </c>
      <c r="I56" s="428">
        <v>1</v>
      </c>
      <c r="J56" s="530">
        <f>F56*G56</f>
        <v>16.5</v>
      </c>
      <c r="K56" s="289"/>
      <c r="L56" s="540"/>
      <c r="M56" s="530"/>
      <c r="N56" s="564"/>
    </row>
    <row r="57" spans="1:14" ht="14.25" customHeight="1" x14ac:dyDescent="0.25">
      <c r="A57" s="563"/>
      <c r="B57" s="529" t="s">
        <v>612</v>
      </c>
      <c r="C57" s="523" t="s">
        <v>633</v>
      </c>
      <c r="D57" s="426" t="s">
        <v>619</v>
      </c>
      <c r="E57" s="426" t="s">
        <v>186</v>
      </c>
      <c r="F57" s="426"/>
      <c r="G57" s="440"/>
      <c r="H57" s="441"/>
      <c r="I57" s="428">
        <v>1</v>
      </c>
      <c r="J57" s="530">
        <f t="shared" si="0"/>
        <v>0</v>
      </c>
      <c r="K57" s="289"/>
      <c r="L57" s="540"/>
      <c r="M57" s="530"/>
      <c r="N57" s="564"/>
    </row>
    <row r="58" spans="1:14" ht="14.25" customHeight="1" x14ac:dyDescent="0.25">
      <c r="A58" s="563"/>
      <c r="B58" s="529" t="s">
        <v>612</v>
      </c>
      <c r="C58" s="523" t="s">
        <v>633</v>
      </c>
      <c r="D58" s="426" t="s">
        <v>620</v>
      </c>
      <c r="E58" s="426" t="s">
        <v>186</v>
      </c>
      <c r="F58" s="426"/>
      <c r="G58" s="440"/>
      <c r="H58" s="441"/>
      <c r="I58" s="428">
        <v>1</v>
      </c>
      <c r="J58" s="530">
        <f t="shared" si="0"/>
        <v>0</v>
      </c>
      <c r="K58" s="289"/>
      <c r="L58" s="540"/>
      <c r="M58" s="530"/>
      <c r="N58" s="564"/>
    </row>
    <row r="59" spans="1:14" ht="14.25" customHeight="1" x14ac:dyDescent="0.25">
      <c r="A59" s="563"/>
      <c r="B59" s="529" t="s">
        <v>612</v>
      </c>
      <c r="C59" s="523" t="s">
        <v>633</v>
      </c>
      <c r="D59" s="426" t="s">
        <v>621</v>
      </c>
      <c r="E59" s="426" t="s">
        <v>186</v>
      </c>
      <c r="F59" s="426"/>
      <c r="G59" s="440"/>
      <c r="H59" s="441"/>
      <c r="I59" s="428">
        <v>1</v>
      </c>
      <c r="J59" s="530">
        <f t="shared" si="0"/>
        <v>0</v>
      </c>
      <c r="K59" s="289"/>
      <c r="L59" s="540"/>
      <c r="M59" s="530"/>
      <c r="N59" s="564"/>
    </row>
    <row r="60" spans="1:14" ht="14.25" customHeight="1" x14ac:dyDescent="0.25">
      <c r="A60" s="563"/>
      <c r="B60" s="529" t="s">
        <v>612</v>
      </c>
      <c r="C60" s="523" t="s">
        <v>633</v>
      </c>
      <c r="D60" s="426" t="s">
        <v>617</v>
      </c>
      <c r="E60" s="426" t="s">
        <v>186</v>
      </c>
      <c r="F60" s="426"/>
      <c r="G60" s="440"/>
      <c r="H60" s="441"/>
      <c r="I60" s="428">
        <v>1</v>
      </c>
      <c r="J60" s="530">
        <f t="shared" si="0"/>
        <v>0</v>
      </c>
      <c r="K60" s="289"/>
      <c r="L60" s="540"/>
      <c r="M60" s="530"/>
      <c r="N60" s="564"/>
    </row>
    <row r="61" spans="1:14" ht="14.25" customHeight="1" x14ac:dyDescent="0.25">
      <c r="A61" s="563"/>
      <c r="B61" s="529" t="s">
        <v>612</v>
      </c>
      <c r="C61" s="523" t="s">
        <v>633</v>
      </c>
      <c r="D61" s="426" t="s">
        <v>622</v>
      </c>
      <c r="E61" s="426" t="s">
        <v>686</v>
      </c>
      <c r="F61" s="426"/>
      <c r="G61" s="440"/>
      <c r="H61" s="441"/>
      <c r="I61" s="428">
        <v>1</v>
      </c>
      <c r="J61" s="530">
        <f t="shared" si="0"/>
        <v>0</v>
      </c>
      <c r="K61" s="289"/>
      <c r="L61" s="540"/>
      <c r="M61" s="530"/>
      <c r="N61" s="564"/>
    </row>
    <row r="62" spans="1:14" ht="14.25" customHeight="1" x14ac:dyDescent="0.25">
      <c r="A62" s="563"/>
      <c r="B62" s="529" t="s">
        <v>612</v>
      </c>
      <c r="C62" s="523" t="s">
        <v>633</v>
      </c>
      <c r="D62" s="426" t="s">
        <v>623</v>
      </c>
      <c r="E62" s="426" t="s">
        <v>186</v>
      </c>
      <c r="F62" s="426"/>
      <c r="G62" s="440"/>
      <c r="H62" s="441"/>
      <c r="I62" s="428">
        <v>1</v>
      </c>
      <c r="J62" s="530">
        <f t="shared" si="0"/>
        <v>0</v>
      </c>
      <c r="K62" s="289"/>
      <c r="L62" s="540"/>
      <c r="M62" s="530"/>
      <c r="N62" s="564"/>
    </row>
    <row r="63" spans="1:14" ht="14.25" customHeight="1" x14ac:dyDescent="0.25">
      <c r="A63" s="563"/>
      <c r="B63" s="529" t="s">
        <v>612</v>
      </c>
      <c r="C63" s="523" t="s">
        <v>633</v>
      </c>
      <c r="D63" s="426" t="s">
        <v>624</v>
      </c>
      <c r="E63" s="426" t="s">
        <v>686</v>
      </c>
      <c r="F63" s="426"/>
      <c r="G63" s="440"/>
      <c r="H63" s="441"/>
      <c r="I63" s="428">
        <v>1</v>
      </c>
      <c r="J63" s="530">
        <f t="shared" si="0"/>
        <v>0</v>
      </c>
      <c r="K63" s="289"/>
      <c r="L63" s="540"/>
      <c r="M63" s="530"/>
      <c r="N63" s="564"/>
    </row>
    <row r="64" spans="1:14" ht="14.25" customHeight="1" x14ac:dyDescent="0.25">
      <c r="A64" s="563"/>
      <c r="B64" s="529" t="s">
        <v>612</v>
      </c>
      <c r="C64" s="523" t="s">
        <v>633</v>
      </c>
      <c r="D64" s="426" t="s">
        <v>625</v>
      </c>
      <c r="E64" s="426" t="s">
        <v>186</v>
      </c>
      <c r="F64" s="426"/>
      <c r="G64" s="440"/>
      <c r="H64" s="441"/>
      <c r="I64" s="428">
        <v>1</v>
      </c>
      <c r="J64" s="530">
        <f t="shared" si="0"/>
        <v>0</v>
      </c>
      <c r="K64" s="289"/>
      <c r="L64" s="540"/>
      <c r="M64" s="530"/>
      <c r="N64" s="564"/>
    </row>
    <row r="65" spans="1:14" ht="14.25" customHeight="1" x14ac:dyDescent="0.25">
      <c r="A65" s="563"/>
      <c r="B65" s="529" t="s">
        <v>612</v>
      </c>
      <c r="C65" s="523" t="s">
        <v>633</v>
      </c>
      <c r="D65" s="426" t="s">
        <v>626</v>
      </c>
      <c r="E65" s="426" t="s">
        <v>686</v>
      </c>
      <c r="F65" s="426"/>
      <c r="G65" s="440"/>
      <c r="H65" s="441"/>
      <c r="I65" s="428">
        <v>1</v>
      </c>
      <c r="J65" s="530">
        <f t="shared" si="0"/>
        <v>0</v>
      </c>
      <c r="K65" s="289"/>
      <c r="L65" s="540"/>
      <c r="M65" s="530"/>
      <c r="N65" s="564"/>
    </row>
    <row r="66" spans="1:14" ht="14.25" customHeight="1" x14ac:dyDescent="0.25">
      <c r="A66" s="563"/>
      <c r="B66" s="529" t="s">
        <v>612</v>
      </c>
      <c r="C66" s="523" t="s">
        <v>633</v>
      </c>
      <c r="D66" s="426" t="s">
        <v>627</v>
      </c>
      <c r="E66" s="426" t="s">
        <v>186</v>
      </c>
      <c r="F66" s="426"/>
      <c r="G66" s="440"/>
      <c r="H66" s="441"/>
      <c r="I66" s="428">
        <v>1</v>
      </c>
      <c r="J66" s="530">
        <f t="shared" si="0"/>
        <v>0</v>
      </c>
      <c r="K66" s="289"/>
      <c r="L66" s="540"/>
      <c r="M66" s="530"/>
      <c r="N66" s="564"/>
    </row>
    <row r="67" spans="1:14" ht="14.25" customHeight="1" x14ac:dyDescent="0.25">
      <c r="A67" s="563"/>
      <c r="B67" s="529" t="s">
        <v>612</v>
      </c>
      <c r="C67" s="523" t="s">
        <v>634</v>
      </c>
      <c r="D67" s="426" t="s">
        <v>614</v>
      </c>
      <c r="E67" s="426" t="s">
        <v>186</v>
      </c>
      <c r="F67" s="426"/>
      <c r="G67" s="440"/>
      <c r="H67" s="441"/>
      <c r="I67" s="428">
        <v>1</v>
      </c>
      <c r="J67" s="530">
        <f t="shared" si="0"/>
        <v>0</v>
      </c>
      <c r="K67" s="289"/>
      <c r="L67" s="540"/>
      <c r="M67" s="530"/>
      <c r="N67" s="564"/>
    </row>
    <row r="68" spans="1:14" ht="14.25" customHeight="1" x14ac:dyDescent="0.25">
      <c r="A68" s="563"/>
      <c r="B68" s="529" t="s">
        <v>612</v>
      </c>
      <c r="C68" s="523" t="s">
        <v>634</v>
      </c>
      <c r="D68" s="426" t="s">
        <v>615</v>
      </c>
      <c r="E68" s="426" t="s">
        <v>186</v>
      </c>
      <c r="F68" s="426"/>
      <c r="G68" s="440"/>
      <c r="H68" s="441"/>
      <c r="I68" s="428">
        <v>1</v>
      </c>
      <c r="J68" s="530">
        <f t="shared" si="0"/>
        <v>0</v>
      </c>
      <c r="K68" s="289"/>
      <c r="L68" s="540"/>
      <c r="M68" s="530"/>
      <c r="N68" s="564"/>
    </row>
    <row r="69" spans="1:14" ht="14.25" customHeight="1" x14ac:dyDescent="0.25">
      <c r="A69" s="563"/>
      <c r="B69" s="529" t="s">
        <v>612</v>
      </c>
      <c r="C69" s="523" t="s">
        <v>634</v>
      </c>
      <c r="D69" s="426" t="s">
        <v>616</v>
      </c>
      <c r="E69" s="426" t="s">
        <v>186</v>
      </c>
      <c r="F69" s="426"/>
      <c r="G69" s="440"/>
      <c r="H69" s="441"/>
      <c r="I69" s="428">
        <v>1</v>
      </c>
      <c r="J69" s="530">
        <f t="shared" si="0"/>
        <v>0</v>
      </c>
      <c r="K69" s="289"/>
      <c r="L69" s="540"/>
      <c r="M69" s="530"/>
      <c r="N69" s="564"/>
    </row>
    <row r="70" spans="1:14" ht="14.25" customHeight="1" x14ac:dyDescent="0.25">
      <c r="A70" s="563"/>
      <c r="B70" s="529" t="s">
        <v>612</v>
      </c>
      <c r="C70" s="523" t="s">
        <v>634</v>
      </c>
      <c r="D70" s="426" t="s">
        <v>618</v>
      </c>
      <c r="E70" s="426" t="s">
        <v>693</v>
      </c>
      <c r="F70" s="426"/>
      <c r="G70" s="440"/>
      <c r="H70" s="441"/>
      <c r="I70" s="428">
        <v>1</v>
      </c>
      <c r="J70" s="530">
        <f t="shared" si="0"/>
        <v>0</v>
      </c>
      <c r="K70" s="289"/>
      <c r="L70" s="540"/>
      <c r="M70" s="530"/>
      <c r="N70" s="564"/>
    </row>
    <row r="71" spans="1:14" ht="14.25" customHeight="1" x14ac:dyDescent="0.25">
      <c r="A71" s="563"/>
      <c r="B71" s="529" t="s">
        <v>612</v>
      </c>
      <c r="C71" s="523" t="s">
        <v>634</v>
      </c>
      <c r="D71" s="426" t="s">
        <v>689</v>
      </c>
      <c r="E71" s="426" t="s">
        <v>694</v>
      </c>
      <c r="F71" s="426">
        <v>14.28</v>
      </c>
      <c r="G71" s="440">
        <v>1.2</v>
      </c>
      <c r="H71" s="441" t="s">
        <v>701</v>
      </c>
      <c r="I71" s="428">
        <v>1</v>
      </c>
      <c r="J71" s="530">
        <f>F71*G71</f>
        <v>17.135999999999999</v>
      </c>
      <c r="K71" s="289"/>
      <c r="L71" s="540"/>
      <c r="M71" s="530"/>
      <c r="N71" s="564"/>
    </row>
    <row r="72" spans="1:14" ht="14.25" customHeight="1" x14ac:dyDescent="0.25">
      <c r="A72" s="563"/>
      <c r="B72" s="529" t="s">
        <v>612</v>
      </c>
      <c r="C72" s="523" t="s">
        <v>634</v>
      </c>
      <c r="D72" s="426" t="s">
        <v>619</v>
      </c>
      <c r="E72" s="426" t="s">
        <v>186</v>
      </c>
      <c r="F72" s="426"/>
      <c r="G72" s="440"/>
      <c r="H72" s="441"/>
      <c r="I72" s="428">
        <v>1</v>
      </c>
      <c r="J72" s="530">
        <f t="shared" si="0"/>
        <v>0</v>
      </c>
      <c r="K72" s="289"/>
      <c r="L72" s="540"/>
      <c r="M72" s="530"/>
      <c r="N72" s="564"/>
    </row>
    <row r="73" spans="1:14" ht="14.25" customHeight="1" x14ac:dyDescent="0.25">
      <c r="A73" s="563"/>
      <c r="B73" s="529" t="s">
        <v>612</v>
      </c>
      <c r="C73" s="523" t="s">
        <v>634</v>
      </c>
      <c r="D73" s="426" t="s">
        <v>620</v>
      </c>
      <c r="E73" s="426" t="s">
        <v>186</v>
      </c>
      <c r="F73" s="426"/>
      <c r="G73" s="440"/>
      <c r="H73" s="441"/>
      <c r="I73" s="428">
        <v>1</v>
      </c>
      <c r="J73" s="530">
        <f t="shared" si="0"/>
        <v>0</v>
      </c>
      <c r="K73" s="289"/>
      <c r="L73" s="540"/>
      <c r="M73" s="530"/>
      <c r="N73" s="564"/>
    </row>
    <row r="74" spans="1:14" ht="14.25" customHeight="1" x14ac:dyDescent="0.25">
      <c r="A74" s="563"/>
      <c r="B74" s="529" t="s">
        <v>612</v>
      </c>
      <c r="C74" s="523" t="s">
        <v>634</v>
      </c>
      <c r="D74" s="426" t="s">
        <v>640</v>
      </c>
      <c r="E74" s="426" t="s">
        <v>186</v>
      </c>
      <c r="F74" s="426"/>
      <c r="G74" s="440"/>
      <c r="H74" s="441"/>
      <c r="I74" s="428">
        <v>1</v>
      </c>
      <c r="J74" s="530">
        <f t="shared" si="0"/>
        <v>0</v>
      </c>
      <c r="K74" s="289"/>
      <c r="L74" s="540"/>
      <c r="M74" s="530"/>
      <c r="N74" s="564"/>
    </row>
    <row r="75" spans="1:14" ht="14.25" customHeight="1" x14ac:dyDescent="0.25">
      <c r="A75" s="563"/>
      <c r="B75" s="529" t="s">
        <v>612</v>
      </c>
      <c r="C75" s="523" t="s">
        <v>634</v>
      </c>
      <c r="D75" s="426" t="s">
        <v>621</v>
      </c>
      <c r="E75" s="426" t="s">
        <v>186</v>
      </c>
      <c r="F75" s="426"/>
      <c r="G75" s="440"/>
      <c r="H75" s="441"/>
      <c r="I75" s="428">
        <v>1</v>
      </c>
      <c r="J75" s="530">
        <f t="shared" si="0"/>
        <v>0</v>
      </c>
      <c r="K75" s="289"/>
      <c r="L75" s="540"/>
      <c r="M75" s="530"/>
      <c r="N75" s="564"/>
    </row>
    <row r="76" spans="1:14" ht="14.25" customHeight="1" x14ac:dyDescent="0.25">
      <c r="A76" s="563"/>
      <c r="B76" s="529" t="s">
        <v>612</v>
      </c>
      <c r="C76" s="523" t="s">
        <v>634</v>
      </c>
      <c r="D76" s="426" t="s">
        <v>617</v>
      </c>
      <c r="E76" s="426" t="s">
        <v>186</v>
      </c>
      <c r="F76" s="426"/>
      <c r="G76" s="440"/>
      <c r="H76" s="441"/>
      <c r="I76" s="428">
        <v>1</v>
      </c>
      <c r="J76" s="530">
        <f t="shared" ref="J76:J139" si="2">G76*I76</f>
        <v>0</v>
      </c>
      <c r="K76" s="289"/>
      <c r="L76" s="540"/>
      <c r="M76" s="530"/>
      <c r="N76" s="564"/>
    </row>
    <row r="77" spans="1:14" ht="14.25" customHeight="1" x14ac:dyDescent="0.25">
      <c r="A77" s="563"/>
      <c r="B77" s="529" t="s">
        <v>612</v>
      </c>
      <c r="C77" s="523" t="s">
        <v>634</v>
      </c>
      <c r="D77" s="426" t="s">
        <v>622</v>
      </c>
      <c r="E77" s="426" t="s">
        <v>686</v>
      </c>
      <c r="F77" s="426"/>
      <c r="G77" s="440"/>
      <c r="H77" s="441"/>
      <c r="I77" s="428">
        <v>1</v>
      </c>
      <c r="J77" s="530">
        <f t="shared" si="2"/>
        <v>0</v>
      </c>
      <c r="K77" s="289"/>
      <c r="L77" s="540"/>
      <c r="M77" s="530"/>
      <c r="N77" s="564"/>
    </row>
    <row r="78" spans="1:14" ht="14.25" customHeight="1" x14ac:dyDescent="0.25">
      <c r="A78" s="563"/>
      <c r="B78" s="529" t="s">
        <v>612</v>
      </c>
      <c r="C78" s="523" t="s">
        <v>634</v>
      </c>
      <c r="D78" s="426" t="s">
        <v>623</v>
      </c>
      <c r="E78" s="426" t="s">
        <v>186</v>
      </c>
      <c r="F78" s="426"/>
      <c r="G78" s="440"/>
      <c r="H78" s="441"/>
      <c r="I78" s="428">
        <v>1</v>
      </c>
      <c r="J78" s="530">
        <f t="shared" si="2"/>
        <v>0</v>
      </c>
      <c r="K78" s="289"/>
      <c r="L78" s="540"/>
      <c r="M78" s="530"/>
      <c r="N78" s="564"/>
    </row>
    <row r="79" spans="1:14" ht="14.25" customHeight="1" x14ac:dyDescent="0.25">
      <c r="A79" s="563"/>
      <c r="B79" s="529" t="s">
        <v>612</v>
      </c>
      <c r="C79" s="523" t="s">
        <v>634</v>
      </c>
      <c r="D79" s="426" t="s">
        <v>630</v>
      </c>
      <c r="E79" s="426" t="s">
        <v>686</v>
      </c>
      <c r="F79" s="426"/>
      <c r="G79" s="440"/>
      <c r="H79" s="441"/>
      <c r="I79" s="428">
        <v>1</v>
      </c>
      <c r="J79" s="530">
        <f t="shared" si="2"/>
        <v>0</v>
      </c>
      <c r="K79" s="289"/>
      <c r="L79" s="540"/>
      <c r="M79" s="530"/>
      <c r="N79" s="564"/>
    </row>
    <row r="80" spans="1:14" ht="14.25" customHeight="1" x14ac:dyDescent="0.25">
      <c r="A80" s="563"/>
      <c r="B80" s="529" t="s">
        <v>612</v>
      </c>
      <c r="C80" s="523" t="s">
        <v>634</v>
      </c>
      <c r="D80" s="426" t="s">
        <v>631</v>
      </c>
      <c r="E80" s="426" t="s">
        <v>186</v>
      </c>
      <c r="F80" s="426"/>
      <c r="G80" s="440"/>
      <c r="H80" s="441"/>
      <c r="I80" s="428">
        <v>1</v>
      </c>
      <c r="J80" s="530">
        <f t="shared" si="2"/>
        <v>0</v>
      </c>
      <c r="K80" s="289"/>
      <c r="L80" s="540"/>
      <c r="M80" s="530"/>
      <c r="N80" s="564"/>
    </row>
    <row r="81" spans="1:14" ht="14.25" customHeight="1" x14ac:dyDescent="0.25">
      <c r="A81" s="563"/>
      <c r="B81" s="529" t="s">
        <v>612</v>
      </c>
      <c r="C81" s="523" t="s">
        <v>634</v>
      </c>
      <c r="D81" s="426" t="s">
        <v>624</v>
      </c>
      <c r="E81" s="426" t="s">
        <v>686</v>
      </c>
      <c r="F81" s="426"/>
      <c r="G81" s="440"/>
      <c r="H81" s="441"/>
      <c r="I81" s="428">
        <v>1</v>
      </c>
      <c r="J81" s="530">
        <f t="shared" si="2"/>
        <v>0</v>
      </c>
      <c r="K81" s="289"/>
      <c r="L81" s="540"/>
      <c r="M81" s="530"/>
      <c r="N81" s="564"/>
    </row>
    <row r="82" spans="1:14" ht="14.25" customHeight="1" x14ac:dyDescent="0.25">
      <c r="A82" s="563"/>
      <c r="B82" s="529" t="s">
        <v>612</v>
      </c>
      <c r="C82" s="523" t="s">
        <v>634</v>
      </c>
      <c r="D82" s="426" t="s">
        <v>625</v>
      </c>
      <c r="E82" s="426" t="s">
        <v>186</v>
      </c>
      <c r="F82" s="426"/>
      <c r="G82" s="440"/>
      <c r="H82" s="441"/>
      <c r="I82" s="428">
        <v>1</v>
      </c>
      <c r="J82" s="530">
        <f t="shared" si="2"/>
        <v>0</v>
      </c>
      <c r="K82" s="289"/>
      <c r="L82" s="540"/>
      <c r="M82" s="530"/>
      <c r="N82" s="564"/>
    </row>
    <row r="83" spans="1:14" ht="14.25" customHeight="1" x14ac:dyDescent="0.25">
      <c r="A83" s="563"/>
      <c r="B83" s="529" t="s">
        <v>612</v>
      </c>
      <c r="C83" s="523" t="s">
        <v>634</v>
      </c>
      <c r="D83" s="426" t="s">
        <v>626</v>
      </c>
      <c r="E83" s="426" t="s">
        <v>686</v>
      </c>
      <c r="F83" s="426"/>
      <c r="G83" s="440"/>
      <c r="H83" s="441"/>
      <c r="I83" s="428">
        <v>1</v>
      </c>
      <c r="J83" s="530">
        <f t="shared" si="2"/>
        <v>0</v>
      </c>
      <c r="K83" s="289"/>
      <c r="L83" s="540"/>
      <c r="M83" s="530"/>
      <c r="N83" s="564"/>
    </row>
    <row r="84" spans="1:14" ht="14.25" customHeight="1" x14ac:dyDescent="0.25">
      <c r="A84" s="563"/>
      <c r="B84" s="529" t="s">
        <v>612</v>
      </c>
      <c r="C84" s="523" t="s">
        <v>634</v>
      </c>
      <c r="D84" s="426" t="s">
        <v>627</v>
      </c>
      <c r="E84" s="426" t="s">
        <v>186</v>
      </c>
      <c r="F84" s="426"/>
      <c r="G84" s="440"/>
      <c r="H84" s="441"/>
      <c r="I84" s="428">
        <v>1</v>
      </c>
      <c r="J84" s="530">
        <f t="shared" si="2"/>
        <v>0</v>
      </c>
      <c r="K84" s="289"/>
      <c r="L84" s="540"/>
      <c r="M84" s="530"/>
      <c r="N84" s="564"/>
    </row>
    <row r="85" spans="1:14" ht="14.25" customHeight="1" x14ac:dyDescent="0.25">
      <c r="A85" s="563"/>
      <c r="B85" s="529" t="s">
        <v>612</v>
      </c>
      <c r="C85" s="523" t="s">
        <v>635</v>
      </c>
      <c r="D85" s="426" t="s">
        <v>611</v>
      </c>
      <c r="E85" s="426" t="s">
        <v>195</v>
      </c>
      <c r="F85" s="426"/>
      <c r="G85" s="440"/>
      <c r="H85" s="441"/>
      <c r="I85" s="428">
        <v>1</v>
      </c>
      <c r="J85" s="530">
        <f t="shared" si="2"/>
        <v>0</v>
      </c>
      <c r="K85" s="289"/>
      <c r="L85" s="540"/>
      <c r="M85" s="530"/>
      <c r="N85" s="564"/>
    </row>
    <row r="86" spans="1:14" ht="14.25" customHeight="1" x14ac:dyDescent="0.25">
      <c r="A86" s="563"/>
      <c r="B86" s="529" t="s">
        <v>612</v>
      </c>
      <c r="C86" s="523" t="s">
        <v>635</v>
      </c>
      <c r="D86" s="426" t="s">
        <v>637</v>
      </c>
      <c r="E86" s="426" t="s">
        <v>197</v>
      </c>
      <c r="F86" s="426"/>
      <c r="G86" s="440"/>
      <c r="H86" s="441"/>
      <c r="I86" s="428">
        <v>1</v>
      </c>
      <c r="J86" s="530">
        <f t="shared" si="2"/>
        <v>0</v>
      </c>
      <c r="K86" s="289"/>
      <c r="L86" s="540"/>
      <c r="M86" s="530"/>
      <c r="N86" s="564"/>
    </row>
    <row r="87" spans="1:14" ht="14.25" customHeight="1" x14ac:dyDescent="0.25">
      <c r="A87" s="563"/>
      <c r="B87" s="529" t="s">
        <v>612</v>
      </c>
      <c r="C87" s="523" t="s">
        <v>635</v>
      </c>
      <c r="D87" s="426" t="s">
        <v>638</v>
      </c>
      <c r="E87" s="426" t="s">
        <v>186</v>
      </c>
      <c r="F87" s="426"/>
      <c r="G87" s="440"/>
      <c r="H87" s="441"/>
      <c r="I87" s="428">
        <v>1</v>
      </c>
      <c r="J87" s="530">
        <f t="shared" si="2"/>
        <v>0</v>
      </c>
      <c r="K87" s="289"/>
      <c r="L87" s="540"/>
      <c r="M87" s="530"/>
      <c r="N87" s="564"/>
    </row>
    <row r="88" spans="1:14" ht="14.25" customHeight="1" x14ac:dyDescent="0.25">
      <c r="A88" s="563"/>
      <c r="B88" s="529" t="s">
        <v>612</v>
      </c>
      <c r="C88" s="523" t="s">
        <v>635</v>
      </c>
      <c r="D88" s="426" t="s">
        <v>610</v>
      </c>
      <c r="E88" s="426" t="s">
        <v>186</v>
      </c>
      <c r="F88" s="426"/>
      <c r="G88" s="440"/>
      <c r="H88" s="441"/>
      <c r="I88" s="428">
        <v>1</v>
      </c>
      <c r="J88" s="530">
        <f t="shared" si="2"/>
        <v>0</v>
      </c>
      <c r="K88" s="289"/>
      <c r="L88" s="540"/>
      <c r="M88" s="530"/>
      <c r="N88" s="564"/>
    </row>
    <row r="89" spans="1:14" ht="14.25" customHeight="1" x14ac:dyDescent="0.25">
      <c r="A89" s="563"/>
      <c r="B89" s="529" t="s">
        <v>612</v>
      </c>
      <c r="C89" s="523" t="s">
        <v>635</v>
      </c>
      <c r="D89" s="426" t="s">
        <v>705</v>
      </c>
      <c r="E89" s="426" t="s">
        <v>694</v>
      </c>
      <c r="F89" s="426">
        <v>39.22</v>
      </c>
      <c r="G89" s="440">
        <v>1.4</v>
      </c>
      <c r="H89" s="441" t="s">
        <v>701</v>
      </c>
      <c r="I89" s="428">
        <v>1</v>
      </c>
      <c r="J89" s="530">
        <f>F89*G89</f>
        <v>54.907999999999994</v>
      </c>
      <c r="K89" s="289"/>
      <c r="L89" s="540"/>
      <c r="M89" s="530"/>
      <c r="N89" s="564"/>
    </row>
    <row r="90" spans="1:14" ht="14.25" customHeight="1" x14ac:dyDescent="0.25">
      <c r="A90" s="563"/>
      <c r="B90" s="529" t="s">
        <v>612</v>
      </c>
      <c r="C90" s="523" t="s">
        <v>635</v>
      </c>
      <c r="D90" s="426" t="s">
        <v>609</v>
      </c>
      <c r="E90" s="426"/>
      <c r="F90" s="426"/>
      <c r="G90" s="440"/>
      <c r="H90" s="441"/>
      <c r="I90" s="428">
        <v>1</v>
      </c>
      <c r="J90" s="530">
        <f t="shared" si="2"/>
        <v>0</v>
      </c>
      <c r="K90" s="289"/>
      <c r="L90" s="540"/>
      <c r="M90" s="530"/>
      <c r="N90" s="564"/>
    </row>
    <row r="91" spans="1:14" ht="14.25" customHeight="1" x14ac:dyDescent="0.25">
      <c r="A91" s="563"/>
      <c r="B91" s="529" t="s">
        <v>612</v>
      </c>
      <c r="C91" s="523" t="s">
        <v>635</v>
      </c>
      <c r="D91" s="426" t="s">
        <v>636</v>
      </c>
      <c r="E91" s="426" t="s">
        <v>186</v>
      </c>
      <c r="F91" s="426"/>
      <c r="G91" s="440"/>
      <c r="H91" s="441"/>
      <c r="I91" s="428">
        <v>1</v>
      </c>
      <c r="J91" s="530">
        <f t="shared" si="2"/>
        <v>0</v>
      </c>
      <c r="K91" s="289"/>
      <c r="L91" s="540"/>
      <c r="M91" s="530"/>
      <c r="N91" s="564"/>
    </row>
    <row r="92" spans="1:14" ht="14.25" customHeight="1" x14ac:dyDescent="0.25">
      <c r="A92" s="563"/>
      <c r="B92" s="529" t="s">
        <v>612</v>
      </c>
      <c r="C92" s="523" t="s">
        <v>613</v>
      </c>
      <c r="D92" s="426" t="s">
        <v>614</v>
      </c>
      <c r="E92" s="426" t="s">
        <v>186</v>
      </c>
      <c r="F92" s="426"/>
      <c r="G92" s="440"/>
      <c r="H92" s="441"/>
      <c r="I92" s="428">
        <v>1</v>
      </c>
      <c r="J92" s="530">
        <f t="shared" si="2"/>
        <v>0</v>
      </c>
      <c r="K92" s="289"/>
      <c r="L92" s="540"/>
      <c r="M92" s="530"/>
      <c r="N92" s="564"/>
    </row>
    <row r="93" spans="1:14" ht="14.25" customHeight="1" x14ac:dyDescent="0.25">
      <c r="A93" s="563"/>
      <c r="B93" s="529" t="s">
        <v>612</v>
      </c>
      <c r="C93" s="523" t="s">
        <v>613</v>
      </c>
      <c r="D93" s="426" t="s">
        <v>615</v>
      </c>
      <c r="E93" s="426" t="s">
        <v>186</v>
      </c>
      <c r="F93" s="426"/>
      <c r="G93" s="440"/>
      <c r="H93" s="441"/>
      <c r="I93" s="428">
        <v>1</v>
      </c>
      <c r="J93" s="530">
        <f t="shared" si="2"/>
        <v>0</v>
      </c>
      <c r="K93" s="289"/>
      <c r="L93" s="540"/>
      <c r="M93" s="530"/>
      <c r="N93" s="564"/>
    </row>
    <row r="94" spans="1:14" ht="14.25" customHeight="1" x14ac:dyDescent="0.25">
      <c r="A94" s="563"/>
      <c r="B94" s="529" t="s">
        <v>612</v>
      </c>
      <c r="C94" s="523" t="s">
        <v>613</v>
      </c>
      <c r="D94" s="426" t="s">
        <v>616</v>
      </c>
      <c r="E94" s="426" t="s">
        <v>186</v>
      </c>
      <c r="F94" s="426"/>
      <c r="G94" s="440"/>
      <c r="H94" s="441"/>
      <c r="I94" s="428">
        <v>1</v>
      </c>
      <c r="J94" s="530">
        <f t="shared" si="2"/>
        <v>0</v>
      </c>
      <c r="K94" s="289"/>
      <c r="L94" s="540"/>
      <c r="M94" s="530"/>
      <c r="N94" s="564"/>
    </row>
    <row r="95" spans="1:14" ht="14.25" customHeight="1" x14ac:dyDescent="0.25">
      <c r="A95" s="563"/>
      <c r="B95" s="529" t="s">
        <v>612</v>
      </c>
      <c r="C95" s="523" t="s">
        <v>613</v>
      </c>
      <c r="D95" s="426" t="s">
        <v>618</v>
      </c>
      <c r="E95" s="426" t="s">
        <v>693</v>
      </c>
      <c r="F95" s="426"/>
      <c r="G95" s="440"/>
      <c r="H95" s="441"/>
      <c r="I95" s="428">
        <v>1</v>
      </c>
      <c r="J95" s="530">
        <f t="shared" si="2"/>
        <v>0</v>
      </c>
      <c r="K95" s="289"/>
      <c r="L95" s="540"/>
      <c r="M95" s="530"/>
      <c r="N95" s="564"/>
    </row>
    <row r="96" spans="1:14" ht="14.25" customHeight="1" x14ac:dyDescent="0.25">
      <c r="A96" s="563"/>
      <c r="B96" s="529" t="s">
        <v>612</v>
      </c>
      <c r="C96" s="523" t="s">
        <v>613</v>
      </c>
      <c r="D96" s="426" t="s">
        <v>689</v>
      </c>
      <c r="E96" s="426" t="s">
        <v>694</v>
      </c>
      <c r="F96" s="426">
        <v>14.66</v>
      </c>
      <c r="G96" s="440">
        <v>1.2</v>
      </c>
      <c r="H96" s="441" t="s">
        <v>701</v>
      </c>
      <c r="I96" s="428">
        <v>1</v>
      </c>
      <c r="J96" s="530">
        <f>F96*G96</f>
        <v>17.591999999999999</v>
      </c>
      <c r="K96" s="289"/>
      <c r="L96" s="540"/>
      <c r="M96" s="530"/>
      <c r="N96" s="564"/>
    </row>
    <row r="97" spans="1:14" ht="14.25" customHeight="1" x14ac:dyDescent="0.25">
      <c r="A97" s="563"/>
      <c r="B97" s="529" t="s">
        <v>612</v>
      </c>
      <c r="C97" s="523" t="s">
        <v>613</v>
      </c>
      <c r="D97" s="426" t="s">
        <v>619</v>
      </c>
      <c r="E97" s="426" t="s">
        <v>186</v>
      </c>
      <c r="F97" s="426"/>
      <c r="G97" s="440"/>
      <c r="H97" s="441"/>
      <c r="I97" s="428">
        <v>1</v>
      </c>
      <c r="J97" s="530">
        <f t="shared" si="2"/>
        <v>0</v>
      </c>
      <c r="K97" s="289"/>
      <c r="L97" s="540"/>
      <c r="M97" s="530"/>
      <c r="N97" s="564"/>
    </row>
    <row r="98" spans="1:14" ht="14.25" customHeight="1" x14ac:dyDescent="0.25">
      <c r="A98" s="563"/>
      <c r="B98" s="529" t="s">
        <v>612</v>
      </c>
      <c r="C98" s="523" t="s">
        <v>613</v>
      </c>
      <c r="D98" s="426" t="s">
        <v>620</v>
      </c>
      <c r="E98" s="426" t="s">
        <v>186</v>
      </c>
      <c r="F98" s="426"/>
      <c r="G98" s="440"/>
      <c r="H98" s="441"/>
      <c r="I98" s="428">
        <v>1</v>
      </c>
      <c r="J98" s="530">
        <f t="shared" si="2"/>
        <v>0</v>
      </c>
      <c r="K98" s="289"/>
      <c r="L98" s="540"/>
      <c r="M98" s="530"/>
      <c r="N98" s="564"/>
    </row>
    <row r="99" spans="1:14" ht="14.25" customHeight="1" x14ac:dyDescent="0.25">
      <c r="A99" s="563"/>
      <c r="B99" s="529" t="s">
        <v>612</v>
      </c>
      <c r="C99" s="523" t="s">
        <v>613</v>
      </c>
      <c r="D99" s="426" t="s">
        <v>621</v>
      </c>
      <c r="E99" s="426" t="s">
        <v>186</v>
      </c>
      <c r="F99" s="426"/>
      <c r="G99" s="440"/>
      <c r="H99" s="441"/>
      <c r="I99" s="428">
        <v>1</v>
      </c>
      <c r="J99" s="530">
        <f t="shared" si="2"/>
        <v>0</v>
      </c>
      <c r="K99" s="289"/>
      <c r="L99" s="540"/>
      <c r="M99" s="530"/>
      <c r="N99" s="564"/>
    </row>
    <row r="100" spans="1:14" ht="14.25" customHeight="1" x14ac:dyDescent="0.25">
      <c r="A100" s="563"/>
      <c r="B100" s="529" t="s">
        <v>612</v>
      </c>
      <c r="C100" s="523" t="s">
        <v>613</v>
      </c>
      <c r="D100" s="426" t="s">
        <v>617</v>
      </c>
      <c r="E100" s="426" t="s">
        <v>186</v>
      </c>
      <c r="F100" s="426"/>
      <c r="G100" s="440"/>
      <c r="H100" s="441"/>
      <c r="I100" s="428">
        <v>1</v>
      </c>
      <c r="J100" s="530">
        <f t="shared" si="2"/>
        <v>0</v>
      </c>
      <c r="K100" s="289"/>
      <c r="L100" s="540"/>
      <c r="M100" s="530"/>
      <c r="N100" s="564"/>
    </row>
    <row r="101" spans="1:14" ht="14.25" customHeight="1" x14ac:dyDescent="0.25">
      <c r="A101" s="563"/>
      <c r="B101" s="529" t="s">
        <v>612</v>
      </c>
      <c r="C101" s="523" t="s">
        <v>613</v>
      </c>
      <c r="D101" s="426" t="s">
        <v>622</v>
      </c>
      <c r="E101" s="426" t="s">
        <v>686</v>
      </c>
      <c r="F101" s="426"/>
      <c r="G101" s="440"/>
      <c r="H101" s="441"/>
      <c r="I101" s="428">
        <v>1</v>
      </c>
      <c r="J101" s="530">
        <f t="shared" si="2"/>
        <v>0</v>
      </c>
      <c r="K101" s="289"/>
      <c r="L101" s="540"/>
      <c r="M101" s="530"/>
      <c r="N101" s="564"/>
    </row>
    <row r="102" spans="1:14" ht="14.25" customHeight="1" x14ac:dyDescent="0.25">
      <c r="A102" s="563"/>
      <c r="B102" s="529" t="s">
        <v>612</v>
      </c>
      <c r="C102" s="523" t="s">
        <v>613</v>
      </c>
      <c r="D102" s="426" t="s">
        <v>623</v>
      </c>
      <c r="E102" s="426" t="s">
        <v>186</v>
      </c>
      <c r="F102" s="426"/>
      <c r="G102" s="440"/>
      <c r="H102" s="441"/>
      <c r="I102" s="428">
        <v>1</v>
      </c>
      <c r="J102" s="530">
        <f t="shared" si="2"/>
        <v>0</v>
      </c>
      <c r="K102" s="289"/>
      <c r="L102" s="540"/>
      <c r="M102" s="530"/>
      <c r="N102" s="564"/>
    </row>
    <row r="103" spans="1:14" ht="14.25" customHeight="1" x14ac:dyDescent="0.25">
      <c r="A103" s="563"/>
      <c r="B103" s="529" t="s">
        <v>612</v>
      </c>
      <c r="C103" s="523" t="s">
        <v>613</v>
      </c>
      <c r="D103" s="426" t="s">
        <v>624</v>
      </c>
      <c r="E103" s="426" t="s">
        <v>686</v>
      </c>
      <c r="F103" s="426"/>
      <c r="G103" s="440"/>
      <c r="H103" s="441"/>
      <c r="I103" s="428">
        <v>1</v>
      </c>
      <c r="J103" s="530">
        <f t="shared" si="2"/>
        <v>0</v>
      </c>
      <c r="K103" s="289"/>
      <c r="L103" s="540"/>
      <c r="M103" s="530"/>
      <c r="N103" s="564"/>
    </row>
    <row r="104" spans="1:14" ht="14.25" customHeight="1" x14ac:dyDescent="0.25">
      <c r="A104" s="563"/>
      <c r="B104" s="529" t="s">
        <v>612</v>
      </c>
      <c r="C104" s="523" t="s">
        <v>613</v>
      </c>
      <c r="D104" s="426" t="s">
        <v>625</v>
      </c>
      <c r="E104" s="426" t="s">
        <v>186</v>
      </c>
      <c r="F104" s="426"/>
      <c r="G104" s="440"/>
      <c r="H104" s="441"/>
      <c r="I104" s="428">
        <v>1</v>
      </c>
      <c r="J104" s="530">
        <f t="shared" si="2"/>
        <v>0</v>
      </c>
      <c r="K104" s="289"/>
      <c r="L104" s="540"/>
      <c r="M104" s="530"/>
      <c r="N104" s="564"/>
    </row>
    <row r="105" spans="1:14" ht="14.25" customHeight="1" x14ac:dyDescent="0.25">
      <c r="A105" s="563"/>
      <c r="B105" s="529" t="s">
        <v>612</v>
      </c>
      <c r="C105" s="523" t="s">
        <v>613</v>
      </c>
      <c r="D105" s="426" t="s">
        <v>626</v>
      </c>
      <c r="E105" s="426" t="s">
        <v>686</v>
      </c>
      <c r="F105" s="426"/>
      <c r="G105" s="440"/>
      <c r="H105" s="441"/>
      <c r="I105" s="428">
        <v>1</v>
      </c>
      <c r="J105" s="530">
        <f t="shared" si="2"/>
        <v>0</v>
      </c>
      <c r="K105" s="289"/>
      <c r="L105" s="540"/>
      <c r="M105" s="530"/>
      <c r="N105" s="564"/>
    </row>
    <row r="106" spans="1:14" ht="14.25" customHeight="1" x14ac:dyDescent="0.25">
      <c r="A106" s="563"/>
      <c r="B106" s="529" t="s">
        <v>612</v>
      </c>
      <c r="C106" s="523" t="s">
        <v>613</v>
      </c>
      <c r="D106" s="426" t="s">
        <v>627</v>
      </c>
      <c r="E106" s="426" t="s">
        <v>186</v>
      </c>
      <c r="F106" s="426"/>
      <c r="G106" s="440"/>
      <c r="H106" s="441"/>
      <c r="I106" s="428">
        <v>1</v>
      </c>
      <c r="J106" s="530">
        <f t="shared" si="2"/>
        <v>0</v>
      </c>
      <c r="K106" s="289"/>
      <c r="L106" s="540"/>
      <c r="M106" s="530"/>
      <c r="N106" s="564"/>
    </row>
    <row r="107" spans="1:14" ht="14.25" customHeight="1" x14ac:dyDescent="0.25">
      <c r="A107" s="563"/>
      <c r="B107" s="529" t="s">
        <v>612</v>
      </c>
      <c r="C107" s="523" t="s">
        <v>634</v>
      </c>
      <c r="D107" s="426" t="s">
        <v>614</v>
      </c>
      <c r="E107" s="426" t="s">
        <v>186</v>
      </c>
      <c r="F107" s="426"/>
      <c r="G107" s="440"/>
      <c r="H107" s="441"/>
      <c r="I107" s="428">
        <v>1</v>
      </c>
      <c r="J107" s="530">
        <f t="shared" si="2"/>
        <v>0</v>
      </c>
      <c r="K107" s="289"/>
      <c r="L107" s="540"/>
      <c r="M107" s="530"/>
      <c r="N107" s="564"/>
    </row>
    <row r="108" spans="1:14" ht="14.25" customHeight="1" x14ac:dyDescent="0.25">
      <c r="A108" s="563"/>
      <c r="B108" s="529" t="s">
        <v>612</v>
      </c>
      <c r="C108" s="523" t="s">
        <v>634</v>
      </c>
      <c r="D108" s="426" t="s">
        <v>615</v>
      </c>
      <c r="E108" s="426" t="s">
        <v>186</v>
      </c>
      <c r="F108" s="426"/>
      <c r="G108" s="440"/>
      <c r="H108" s="441"/>
      <c r="I108" s="428">
        <v>1</v>
      </c>
      <c r="J108" s="530">
        <f t="shared" si="2"/>
        <v>0</v>
      </c>
      <c r="K108" s="289"/>
      <c r="L108" s="540"/>
      <c r="M108" s="530"/>
      <c r="N108" s="564"/>
    </row>
    <row r="109" spans="1:14" ht="14.25" customHeight="1" x14ac:dyDescent="0.25">
      <c r="A109" s="563"/>
      <c r="B109" s="529" t="s">
        <v>612</v>
      </c>
      <c r="C109" s="523" t="s">
        <v>634</v>
      </c>
      <c r="D109" s="426" t="s">
        <v>616</v>
      </c>
      <c r="E109" s="426" t="s">
        <v>186</v>
      </c>
      <c r="F109" s="426"/>
      <c r="G109" s="440"/>
      <c r="H109" s="441"/>
      <c r="I109" s="428">
        <v>1</v>
      </c>
      <c r="J109" s="530">
        <f t="shared" si="2"/>
        <v>0</v>
      </c>
      <c r="K109" s="289"/>
      <c r="L109" s="540"/>
      <c r="M109" s="530"/>
      <c r="N109" s="564"/>
    </row>
    <row r="110" spans="1:14" ht="14.25" customHeight="1" x14ac:dyDescent="0.25">
      <c r="A110" s="563"/>
      <c r="B110" s="529" t="s">
        <v>612</v>
      </c>
      <c r="C110" s="523" t="s">
        <v>634</v>
      </c>
      <c r="D110" s="426" t="s">
        <v>618</v>
      </c>
      <c r="E110" s="426" t="s">
        <v>693</v>
      </c>
      <c r="F110" s="426"/>
      <c r="G110" s="440"/>
      <c r="H110" s="441"/>
      <c r="I110" s="428">
        <v>1</v>
      </c>
      <c r="J110" s="530">
        <f t="shared" si="2"/>
        <v>0</v>
      </c>
      <c r="K110" s="289"/>
      <c r="L110" s="540"/>
      <c r="M110" s="530"/>
      <c r="N110" s="564"/>
    </row>
    <row r="111" spans="1:14" ht="14.25" customHeight="1" x14ac:dyDescent="0.25">
      <c r="A111" s="563"/>
      <c r="B111" s="529" t="s">
        <v>612</v>
      </c>
      <c r="C111" s="523" t="s">
        <v>634</v>
      </c>
      <c r="D111" s="426" t="s">
        <v>689</v>
      </c>
      <c r="E111" s="426" t="s">
        <v>694</v>
      </c>
      <c r="F111" s="426">
        <v>12.63</v>
      </c>
      <c r="G111" s="440">
        <v>1.2</v>
      </c>
      <c r="H111" s="441" t="s">
        <v>701</v>
      </c>
      <c r="I111" s="428">
        <v>1</v>
      </c>
      <c r="J111" s="530">
        <f>F111*G111</f>
        <v>15.156000000000001</v>
      </c>
      <c r="K111" s="289"/>
      <c r="L111" s="540"/>
      <c r="M111" s="530"/>
      <c r="N111" s="564"/>
    </row>
    <row r="112" spans="1:14" ht="14.25" customHeight="1" x14ac:dyDescent="0.25">
      <c r="A112" s="563"/>
      <c r="B112" s="529" t="s">
        <v>612</v>
      </c>
      <c r="C112" s="523" t="s">
        <v>634</v>
      </c>
      <c r="D112" s="426" t="s">
        <v>619</v>
      </c>
      <c r="E112" s="426" t="s">
        <v>186</v>
      </c>
      <c r="F112" s="426"/>
      <c r="G112" s="440"/>
      <c r="H112" s="441"/>
      <c r="I112" s="428">
        <v>1</v>
      </c>
      <c r="J112" s="530">
        <f t="shared" si="2"/>
        <v>0</v>
      </c>
      <c r="K112" s="289"/>
      <c r="L112" s="540"/>
      <c r="M112" s="530"/>
      <c r="N112" s="564"/>
    </row>
    <row r="113" spans="1:14" ht="14.25" customHeight="1" x14ac:dyDescent="0.25">
      <c r="A113" s="563"/>
      <c r="B113" s="529" t="s">
        <v>612</v>
      </c>
      <c r="C113" s="523" t="s">
        <v>634</v>
      </c>
      <c r="D113" s="426" t="s">
        <v>620</v>
      </c>
      <c r="E113" s="426" t="s">
        <v>186</v>
      </c>
      <c r="F113" s="426"/>
      <c r="G113" s="440"/>
      <c r="H113" s="441"/>
      <c r="I113" s="428">
        <v>1</v>
      </c>
      <c r="J113" s="530">
        <f t="shared" si="2"/>
        <v>0</v>
      </c>
      <c r="K113" s="289"/>
      <c r="L113" s="540"/>
      <c r="M113" s="530"/>
      <c r="N113" s="564"/>
    </row>
    <row r="114" spans="1:14" ht="14.25" customHeight="1" x14ac:dyDescent="0.25">
      <c r="A114" s="563"/>
      <c r="B114" s="529" t="s">
        <v>612</v>
      </c>
      <c r="C114" s="523" t="s">
        <v>634</v>
      </c>
      <c r="D114" s="426" t="s">
        <v>639</v>
      </c>
      <c r="E114" s="426" t="s">
        <v>186</v>
      </c>
      <c r="F114" s="426"/>
      <c r="G114" s="440"/>
      <c r="H114" s="441"/>
      <c r="I114" s="428">
        <v>1</v>
      </c>
      <c r="J114" s="530">
        <f t="shared" si="2"/>
        <v>0</v>
      </c>
      <c r="K114" s="289"/>
      <c r="L114" s="540"/>
      <c r="M114" s="530"/>
      <c r="N114" s="564"/>
    </row>
    <row r="115" spans="1:14" ht="14.25" customHeight="1" x14ac:dyDescent="0.25">
      <c r="A115" s="563"/>
      <c r="B115" s="529" t="s">
        <v>612</v>
      </c>
      <c r="C115" s="523" t="s">
        <v>634</v>
      </c>
      <c r="D115" s="426" t="s">
        <v>640</v>
      </c>
      <c r="E115" s="426" t="s">
        <v>186</v>
      </c>
      <c r="F115" s="426"/>
      <c r="G115" s="440"/>
      <c r="H115" s="441"/>
      <c r="I115" s="428">
        <v>1</v>
      </c>
      <c r="J115" s="530">
        <f t="shared" si="2"/>
        <v>0</v>
      </c>
      <c r="K115" s="289"/>
      <c r="L115" s="540"/>
      <c r="M115" s="530"/>
      <c r="N115" s="564"/>
    </row>
    <row r="116" spans="1:14" ht="14.25" customHeight="1" x14ac:dyDescent="0.25">
      <c r="A116" s="563"/>
      <c r="B116" s="529" t="s">
        <v>612</v>
      </c>
      <c r="C116" s="523" t="s">
        <v>634</v>
      </c>
      <c r="D116" s="426" t="s">
        <v>617</v>
      </c>
      <c r="E116" s="426" t="s">
        <v>186</v>
      </c>
      <c r="F116" s="426"/>
      <c r="G116" s="440"/>
      <c r="H116" s="441"/>
      <c r="I116" s="428">
        <v>1</v>
      </c>
      <c r="J116" s="530">
        <f t="shared" si="2"/>
        <v>0</v>
      </c>
      <c r="K116" s="289"/>
      <c r="L116" s="540"/>
      <c r="M116" s="530"/>
      <c r="N116" s="564"/>
    </row>
    <row r="117" spans="1:14" ht="14.25" customHeight="1" x14ac:dyDescent="0.25">
      <c r="A117" s="563"/>
      <c r="B117" s="529" t="s">
        <v>612</v>
      </c>
      <c r="C117" s="523" t="s">
        <v>634</v>
      </c>
      <c r="D117" s="426" t="s">
        <v>626</v>
      </c>
      <c r="E117" s="426" t="s">
        <v>686</v>
      </c>
      <c r="F117" s="426"/>
      <c r="G117" s="440"/>
      <c r="H117" s="441"/>
      <c r="I117" s="428">
        <v>1</v>
      </c>
      <c r="J117" s="530">
        <f t="shared" si="2"/>
        <v>0</v>
      </c>
      <c r="K117" s="289"/>
      <c r="L117" s="540"/>
      <c r="M117" s="530"/>
      <c r="N117" s="564"/>
    </row>
    <row r="118" spans="1:14" ht="14.25" customHeight="1" x14ac:dyDescent="0.25">
      <c r="A118" s="563"/>
      <c r="B118" s="529" t="s">
        <v>612</v>
      </c>
      <c r="C118" s="523" t="s">
        <v>634</v>
      </c>
      <c r="D118" s="426" t="s">
        <v>627</v>
      </c>
      <c r="E118" s="426" t="s">
        <v>186</v>
      </c>
      <c r="F118" s="426"/>
      <c r="G118" s="440"/>
      <c r="H118" s="441"/>
      <c r="I118" s="428">
        <v>1</v>
      </c>
      <c r="J118" s="530">
        <f t="shared" si="2"/>
        <v>0</v>
      </c>
      <c r="K118" s="289"/>
      <c r="L118" s="540"/>
      <c r="M118" s="530"/>
      <c r="N118" s="564"/>
    </row>
    <row r="119" spans="1:14" ht="14.25" customHeight="1" x14ac:dyDescent="0.25">
      <c r="A119" s="563"/>
      <c r="B119" s="529" t="s">
        <v>641</v>
      </c>
      <c r="C119" s="523" t="s">
        <v>658</v>
      </c>
      <c r="D119" s="426" t="s">
        <v>614</v>
      </c>
      <c r="E119" s="426" t="s">
        <v>186</v>
      </c>
      <c r="F119" s="426"/>
      <c r="G119" s="440"/>
      <c r="H119" s="441"/>
      <c r="I119" s="428">
        <v>1</v>
      </c>
      <c r="J119" s="530">
        <f t="shared" si="2"/>
        <v>0</v>
      </c>
      <c r="K119" s="289"/>
      <c r="L119" s="540"/>
      <c r="M119" s="530"/>
      <c r="N119" s="564"/>
    </row>
    <row r="120" spans="1:14" ht="14.25" customHeight="1" x14ac:dyDescent="0.25">
      <c r="A120" s="563"/>
      <c r="B120" s="529" t="s">
        <v>641</v>
      </c>
      <c r="C120" s="523" t="s">
        <v>658</v>
      </c>
      <c r="D120" s="426" t="s">
        <v>615</v>
      </c>
      <c r="E120" s="426" t="s">
        <v>186</v>
      </c>
      <c r="F120" s="426"/>
      <c r="G120" s="440"/>
      <c r="H120" s="441"/>
      <c r="I120" s="428">
        <v>1</v>
      </c>
      <c r="J120" s="530">
        <f t="shared" si="2"/>
        <v>0</v>
      </c>
      <c r="K120" s="289"/>
      <c r="L120" s="540"/>
      <c r="M120" s="530"/>
      <c r="N120" s="564"/>
    </row>
    <row r="121" spans="1:14" ht="14.25" customHeight="1" x14ac:dyDescent="0.25">
      <c r="A121" s="563"/>
      <c r="B121" s="529" t="s">
        <v>641</v>
      </c>
      <c r="C121" s="523" t="s">
        <v>658</v>
      </c>
      <c r="D121" s="426" t="s">
        <v>616</v>
      </c>
      <c r="E121" s="426" t="s">
        <v>186</v>
      </c>
      <c r="F121" s="426"/>
      <c r="G121" s="440"/>
      <c r="H121" s="441"/>
      <c r="I121" s="428">
        <v>1</v>
      </c>
      <c r="J121" s="530">
        <f t="shared" si="2"/>
        <v>0</v>
      </c>
      <c r="K121" s="289"/>
      <c r="L121" s="540"/>
      <c r="M121" s="530"/>
      <c r="N121" s="564"/>
    </row>
    <row r="122" spans="1:14" ht="14.25" customHeight="1" x14ac:dyDescent="0.25">
      <c r="A122" s="563"/>
      <c r="B122" s="529" t="s">
        <v>641</v>
      </c>
      <c r="C122" s="523" t="s">
        <v>658</v>
      </c>
      <c r="D122" s="426" t="s">
        <v>618</v>
      </c>
      <c r="E122" s="426" t="s">
        <v>693</v>
      </c>
      <c r="F122" s="426"/>
      <c r="G122" s="440"/>
      <c r="H122" s="441"/>
      <c r="I122" s="428">
        <v>1</v>
      </c>
      <c r="J122" s="530">
        <f t="shared" si="2"/>
        <v>0</v>
      </c>
      <c r="K122" s="289"/>
      <c r="L122" s="540"/>
      <c r="M122" s="530"/>
      <c r="N122" s="564"/>
    </row>
    <row r="123" spans="1:14" ht="14.25" customHeight="1" x14ac:dyDescent="0.25">
      <c r="A123" s="563"/>
      <c r="B123" s="529" t="s">
        <v>641</v>
      </c>
      <c r="C123" s="523" t="s">
        <v>658</v>
      </c>
      <c r="D123" s="426" t="s">
        <v>689</v>
      </c>
      <c r="E123" s="426" t="s">
        <v>694</v>
      </c>
      <c r="F123" s="426">
        <v>14.45</v>
      </c>
      <c r="G123" s="440">
        <v>1.2</v>
      </c>
      <c r="H123" s="441" t="s">
        <v>701</v>
      </c>
      <c r="I123" s="428">
        <v>1</v>
      </c>
      <c r="J123" s="530">
        <f>F123*G123</f>
        <v>17.34</v>
      </c>
      <c r="K123" s="289"/>
      <c r="L123" s="540"/>
      <c r="M123" s="530"/>
      <c r="N123" s="564"/>
    </row>
    <row r="124" spans="1:14" ht="14.25" customHeight="1" x14ac:dyDescent="0.25">
      <c r="A124" s="563"/>
      <c r="B124" s="529" t="s">
        <v>641</v>
      </c>
      <c r="C124" s="523" t="s">
        <v>658</v>
      </c>
      <c r="D124" s="426" t="s">
        <v>619</v>
      </c>
      <c r="E124" s="426" t="s">
        <v>186</v>
      </c>
      <c r="F124" s="426"/>
      <c r="G124" s="440"/>
      <c r="H124" s="441"/>
      <c r="I124" s="428">
        <v>1</v>
      </c>
      <c r="J124" s="530">
        <f t="shared" si="2"/>
        <v>0</v>
      </c>
      <c r="K124" s="289"/>
      <c r="L124" s="540"/>
      <c r="M124" s="530"/>
      <c r="N124" s="564"/>
    </row>
    <row r="125" spans="1:14" ht="14.25" customHeight="1" x14ac:dyDescent="0.25">
      <c r="A125" s="563"/>
      <c r="B125" s="529" t="s">
        <v>641</v>
      </c>
      <c r="C125" s="523" t="s">
        <v>658</v>
      </c>
      <c r="D125" s="426" t="s">
        <v>620</v>
      </c>
      <c r="E125" s="426" t="s">
        <v>186</v>
      </c>
      <c r="F125" s="426"/>
      <c r="G125" s="440"/>
      <c r="H125" s="441"/>
      <c r="I125" s="428">
        <v>1</v>
      </c>
      <c r="J125" s="530">
        <f t="shared" si="2"/>
        <v>0</v>
      </c>
      <c r="K125" s="289"/>
      <c r="L125" s="540"/>
      <c r="M125" s="530"/>
      <c r="N125" s="564"/>
    </row>
    <row r="126" spans="1:14" ht="14.25" customHeight="1" x14ac:dyDescent="0.25">
      <c r="A126" s="563"/>
      <c r="B126" s="529" t="s">
        <v>641</v>
      </c>
      <c r="C126" s="523" t="s">
        <v>658</v>
      </c>
      <c r="D126" s="426" t="s">
        <v>621</v>
      </c>
      <c r="E126" s="426" t="s">
        <v>186</v>
      </c>
      <c r="F126" s="426"/>
      <c r="G126" s="440"/>
      <c r="H126" s="441"/>
      <c r="I126" s="428">
        <v>1</v>
      </c>
      <c r="J126" s="530">
        <f t="shared" si="2"/>
        <v>0</v>
      </c>
      <c r="K126" s="289"/>
      <c r="L126" s="540"/>
      <c r="M126" s="530"/>
      <c r="N126" s="564"/>
    </row>
    <row r="127" spans="1:14" ht="14.25" customHeight="1" x14ac:dyDescent="0.25">
      <c r="A127" s="563"/>
      <c r="B127" s="529" t="s">
        <v>641</v>
      </c>
      <c r="C127" s="523" t="s">
        <v>658</v>
      </c>
      <c r="D127" s="426" t="s">
        <v>617</v>
      </c>
      <c r="E127" s="426" t="s">
        <v>186</v>
      </c>
      <c r="F127" s="426"/>
      <c r="G127" s="440"/>
      <c r="H127" s="441"/>
      <c r="I127" s="428">
        <v>1</v>
      </c>
      <c r="J127" s="530">
        <f t="shared" si="2"/>
        <v>0</v>
      </c>
      <c r="K127" s="289"/>
      <c r="L127" s="540"/>
      <c r="M127" s="530"/>
      <c r="N127" s="564"/>
    </row>
    <row r="128" spans="1:14" ht="14.25" customHeight="1" x14ac:dyDescent="0.25">
      <c r="A128" s="563"/>
      <c r="B128" s="529" t="s">
        <v>641</v>
      </c>
      <c r="C128" s="523" t="s">
        <v>658</v>
      </c>
      <c r="D128" s="426" t="s">
        <v>622</v>
      </c>
      <c r="E128" s="426" t="s">
        <v>686</v>
      </c>
      <c r="F128" s="426"/>
      <c r="G128" s="440"/>
      <c r="H128" s="441"/>
      <c r="I128" s="428">
        <v>1</v>
      </c>
      <c r="J128" s="530">
        <f t="shared" si="2"/>
        <v>0</v>
      </c>
      <c r="K128" s="289"/>
      <c r="L128" s="540"/>
      <c r="M128" s="530"/>
      <c r="N128" s="564"/>
    </row>
    <row r="129" spans="1:14" ht="14.25" customHeight="1" x14ac:dyDescent="0.25">
      <c r="A129" s="563"/>
      <c r="B129" s="529" t="s">
        <v>641</v>
      </c>
      <c r="C129" s="523" t="s">
        <v>658</v>
      </c>
      <c r="D129" s="426" t="s">
        <v>623</v>
      </c>
      <c r="E129" s="426" t="s">
        <v>186</v>
      </c>
      <c r="F129" s="426"/>
      <c r="G129" s="440"/>
      <c r="H129" s="441"/>
      <c r="I129" s="428">
        <v>1</v>
      </c>
      <c r="J129" s="530">
        <f t="shared" si="2"/>
        <v>0</v>
      </c>
      <c r="K129" s="289"/>
      <c r="L129" s="540"/>
      <c r="M129" s="530"/>
      <c r="N129" s="564"/>
    </row>
    <row r="130" spans="1:14" ht="14.25" customHeight="1" x14ac:dyDescent="0.25">
      <c r="A130" s="563"/>
      <c r="B130" s="529" t="s">
        <v>641</v>
      </c>
      <c r="C130" s="523" t="s">
        <v>658</v>
      </c>
      <c r="D130" s="426" t="s">
        <v>624</v>
      </c>
      <c r="E130" s="426" t="s">
        <v>686</v>
      </c>
      <c r="F130" s="426"/>
      <c r="G130" s="440"/>
      <c r="H130" s="441"/>
      <c r="I130" s="428">
        <v>1</v>
      </c>
      <c r="J130" s="530">
        <f t="shared" si="2"/>
        <v>0</v>
      </c>
      <c r="K130" s="289"/>
      <c r="L130" s="540"/>
      <c r="M130" s="530"/>
      <c r="N130" s="564"/>
    </row>
    <row r="131" spans="1:14" ht="14.25" customHeight="1" x14ac:dyDescent="0.25">
      <c r="A131" s="563"/>
      <c r="B131" s="529" t="s">
        <v>641</v>
      </c>
      <c r="C131" s="523" t="s">
        <v>658</v>
      </c>
      <c r="D131" s="426" t="s">
        <v>625</v>
      </c>
      <c r="E131" s="426" t="s">
        <v>186</v>
      </c>
      <c r="F131" s="426"/>
      <c r="G131" s="440"/>
      <c r="H131" s="441"/>
      <c r="I131" s="428">
        <v>1</v>
      </c>
      <c r="J131" s="530">
        <f t="shared" si="2"/>
        <v>0</v>
      </c>
      <c r="K131" s="289"/>
      <c r="L131" s="540"/>
      <c r="M131" s="530"/>
      <c r="N131" s="564"/>
    </row>
    <row r="132" spans="1:14" ht="14.25" customHeight="1" x14ac:dyDescent="0.25">
      <c r="A132" s="563"/>
      <c r="B132" s="529" t="s">
        <v>641</v>
      </c>
      <c r="C132" s="523" t="s">
        <v>658</v>
      </c>
      <c r="D132" s="426" t="s">
        <v>626</v>
      </c>
      <c r="E132" s="426" t="s">
        <v>686</v>
      </c>
      <c r="F132" s="426"/>
      <c r="G132" s="440"/>
      <c r="H132" s="441"/>
      <c r="I132" s="428">
        <v>1</v>
      </c>
      <c r="J132" s="530">
        <f t="shared" si="2"/>
        <v>0</v>
      </c>
      <c r="K132" s="289"/>
      <c r="L132" s="540"/>
      <c r="M132" s="530"/>
      <c r="N132" s="564"/>
    </row>
    <row r="133" spans="1:14" ht="14.25" customHeight="1" x14ac:dyDescent="0.25">
      <c r="A133" s="563"/>
      <c r="B133" s="529" t="s">
        <v>641</v>
      </c>
      <c r="C133" s="523" t="s">
        <v>658</v>
      </c>
      <c r="D133" s="426" t="s">
        <v>627</v>
      </c>
      <c r="E133" s="426" t="s">
        <v>186</v>
      </c>
      <c r="F133" s="426"/>
      <c r="G133" s="440"/>
      <c r="H133" s="441"/>
      <c r="I133" s="428">
        <v>1</v>
      </c>
      <c r="J133" s="530">
        <f t="shared" si="2"/>
        <v>0</v>
      </c>
      <c r="K133" s="289"/>
      <c r="L133" s="540"/>
      <c r="M133" s="530"/>
      <c r="N133" s="564"/>
    </row>
    <row r="134" spans="1:14" ht="14.25" customHeight="1" x14ac:dyDescent="0.25">
      <c r="A134" s="563"/>
      <c r="B134" s="529" t="s">
        <v>641</v>
      </c>
      <c r="C134" s="523" t="s">
        <v>635</v>
      </c>
      <c r="D134" s="426" t="s">
        <v>628</v>
      </c>
      <c r="E134" s="426" t="s">
        <v>197</v>
      </c>
      <c r="F134" s="426"/>
      <c r="G134" s="440"/>
      <c r="H134" s="441"/>
      <c r="I134" s="428">
        <v>1</v>
      </c>
      <c r="J134" s="530">
        <f t="shared" si="2"/>
        <v>0</v>
      </c>
      <c r="K134" s="289"/>
      <c r="L134" s="540"/>
      <c r="M134" s="530"/>
      <c r="N134" s="564"/>
    </row>
    <row r="135" spans="1:14" ht="14.25" customHeight="1" x14ac:dyDescent="0.25">
      <c r="A135" s="563"/>
      <c r="B135" s="529" t="s">
        <v>641</v>
      </c>
      <c r="C135" s="523" t="s">
        <v>635</v>
      </c>
      <c r="D135" s="426" t="s">
        <v>642</v>
      </c>
      <c r="E135" s="426" t="s">
        <v>186</v>
      </c>
      <c r="F135" s="426"/>
      <c r="G135" s="440"/>
      <c r="H135" s="441"/>
      <c r="I135" s="428">
        <v>1</v>
      </c>
      <c r="J135" s="530">
        <f t="shared" si="2"/>
        <v>0</v>
      </c>
      <c r="K135" s="289"/>
      <c r="L135" s="540"/>
      <c r="M135" s="530"/>
      <c r="N135" s="564"/>
    </row>
    <row r="136" spans="1:14" ht="14.25" customHeight="1" x14ac:dyDescent="0.25">
      <c r="A136" s="563"/>
      <c r="B136" s="529" t="s">
        <v>641</v>
      </c>
      <c r="C136" s="523" t="s">
        <v>635</v>
      </c>
      <c r="D136" s="426" t="s">
        <v>643</v>
      </c>
      <c r="E136" s="426" t="s">
        <v>186</v>
      </c>
      <c r="F136" s="426"/>
      <c r="G136" s="440"/>
      <c r="H136" s="441"/>
      <c r="I136" s="428">
        <v>1</v>
      </c>
      <c r="J136" s="530">
        <f t="shared" si="2"/>
        <v>0</v>
      </c>
      <c r="K136" s="289"/>
      <c r="L136" s="540"/>
      <c r="M136" s="530"/>
      <c r="N136" s="564"/>
    </row>
    <row r="137" spans="1:14" ht="14.25" customHeight="1" x14ac:dyDescent="0.25">
      <c r="A137" s="563"/>
      <c r="B137" s="529" t="s">
        <v>641</v>
      </c>
      <c r="C137" s="523" t="s">
        <v>635</v>
      </c>
      <c r="D137" s="426" t="s">
        <v>644</v>
      </c>
      <c r="E137" s="426" t="s">
        <v>186</v>
      </c>
      <c r="F137" s="426"/>
      <c r="G137" s="440"/>
      <c r="H137" s="441"/>
      <c r="I137" s="428">
        <v>1</v>
      </c>
      <c r="J137" s="530">
        <f t="shared" si="2"/>
        <v>0</v>
      </c>
      <c r="K137" s="289"/>
      <c r="L137" s="540"/>
      <c r="M137" s="530"/>
      <c r="N137" s="564"/>
    </row>
    <row r="138" spans="1:14" ht="14.25" customHeight="1" x14ac:dyDescent="0.25">
      <c r="A138" s="563"/>
      <c r="B138" s="529" t="s">
        <v>641</v>
      </c>
      <c r="C138" s="523" t="s">
        <v>635</v>
      </c>
      <c r="D138" s="426" t="s">
        <v>655</v>
      </c>
      <c r="E138" s="426" t="s">
        <v>186</v>
      </c>
      <c r="F138" s="426"/>
      <c r="G138" s="440"/>
      <c r="H138" s="441"/>
      <c r="I138" s="428">
        <v>1</v>
      </c>
      <c r="J138" s="530">
        <f t="shared" si="2"/>
        <v>0</v>
      </c>
      <c r="K138" s="289"/>
      <c r="L138" s="540"/>
      <c r="M138" s="530"/>
      <c r="N138" s="564"/>
    </row>
    <row r="139" spans="1:14" ht="14.25" customHeight="1" x14ac:dyDescent="0.25">
      <c r="A139" s="563"/>
      <c r="B139" s="529" t="s">
        <v>641</v>
      </c>
      <c r="C139" s="523" t="s">
        <v>635</v>
      </c>
      <c r="D139" s="426" t="s">
        <v>643</v>
      </c>
      <c r="E139" s="426" t="s">
        <v>186</v>
      </c>
      <c r="F139" s="426"/>
      <c r="G139" s="440"/>
      <c r="H139" s="441"/>
      <c r="I139" s="428">
        <v>1</v>
      </c>
      <c r="J139" s="530">
        <f t="shared" si="2"/>
        <v>0</v>
      </c>
      <c r="K139" s="289"/>
      <c r="L139" s="540"/>
      <c r="M139" s="530"/>
      <c r="N139" s="564"/>
    </row>
    <row r="140" spans="1:14" ht="14.25" customHeight="1" x14ac:dyDescent="0.25">
      <c r="A140" s="563"/>
      <c r="B140" s="529" t="s">
        <v>641</v>
      </c>
      <c r="C140" s="523" t="s">
        <v>635</v>
      </c>
      <c r="D140" s="426" t="s">
        <v>645</v>
      </c>
      <c r="E140" s="426" t="s">
        <v>693</v>
      </c>
      <c r="F140" s="426"/>
      <c r="G140" s="440"/>
      <c r="H140" s="441"/>
      <c r="I140" s="428">
        <v>1</v>
      </c>
      <c r="J140" s="530">
        <f t="shared" ref="J140:J203" si="3">G140*I140</f>
        <v>0</v>
      </c>
      <c r="K140" s="289"/>
      <c r="L140" s="540"/>
      <c r="M140" s="530"/>
      <c r="N140" s="564"/>
    </row>
    <row r="141" spans="1:14" ht="14.25" customHeight="1" x14ac:dyDescent="0.25">
      <c r="A141" s="563"/>
      <c r="B141" s="529" t="s">
        <v>641</v>
      </c>
      <c r="C141" s="523" t="s">
        <v>657</v>
      </c>
      <c r="D141" s="426" t="s">
        <v>614</v>
      </c>
      <c r="E141" s="426" t="s">
        <v>186</v>
      </c>
      <c r="F141" s="426"/>
      <c r="G141" s="440"/>
      <c r="H141" s="441"/>
      <c r="I141" s="428">
        <v>1</v>
      </c>
      <c r="J141" s="530">
        <f t="shared" si="3"/>
        <v>0</v>
      </c>
      <c r="K141" s="289"/>
      <c r="L141" s="540"/>
      <c r="M141" s="530"/>
      <c r="N141" s="564"/>
    </row>
    <row r="142" spans="1:14" ht="14.25" customHeight="1" x14ac:dyDescent="0.25">
      <c r="A142" s="563"/>
      <c r="B142" s="529" t="s">
        <v>641</v>
      </c>
      <c r="C142" s="523" t="s">
        <v>657</v>
      </c>
      <c r="D142" s="426" t="s">
        <v>615</v>
      </c>
      <c r="E142" s="426" t="s">
        <v>186</v>
      </c>
      <c r="F142" s="426"/>
      <c r="G142" s="440"/>
      <c r="H142" s="441"/>
      <c r="I142" s="428">
        <v>1</v>
      </c>
      <c r="J142" s="530">
        <f t="shared" si="3"/>
        <v>0</v>
      </c>
      <c r="K142" s="289"/>
      <c r="L142" s="540"/>
      <c r="M142" s="530"/>
      <c r="N142" s="564"/>
    </row>
    <row r="143" spans="1:14" ht="14.25" customHeight="1" x14ac:dyDescent="0.25">
      <c r="A143" s="563"/>
      <c r="B143" s="529" t="s">
        <v>641</v>
      </c>
      <c r="C143" s="523" t="s">
        <v>657</v>
      </c>
      <c r="D143" s="426" t="s">
        <v>616</v>
      </c>
      <c r="E143" s="426" t="s">
        <v>186</v>
      </c>
      <c r="F143" s="426"/>
      <c r="G143" s="440"/>
      <c r="H143" s="441"/>
      <c r="I143" s="428">
        <v>1</v>
      </c>
      <c r="J143" s="530">
        <f t="shared" si="3"/>
        <v>0</v>
      </c>
      <c r="K143" s="289"/>
      <c r="L143" s="540"/>
      <c r="M143" s="530"/>
      <c r="N143" s="564"/>
    </row>
    <row r="144" spans="1:14" ht="14.25" customHeight="1" x14ac:dyDescent="0.25">
      <c r="A144" s="563"/>
      <c r="B144" s="529" t="s">
        <v>641</v>
      </c>
      <c r="C144" s="523" t="s">
        <v>657</v>
      </c>
      <c r="D144" s="426" t="s">
        <v>618</v>
      </c>
      <c r="E144" s="426" t="s">
        <v>693</v>
      </c>
      <c r="F144" s="426"/>
      <c r="G144" s="440"/>
      <c r="H144" s="441"/>
      <c r="I144" s="428">
        <v>1</v>
      </c>
      <c r="J144" s="530">
        <f t="shared" si="3"/>
        <v>0</v>
      </c>
      <c r="K144" s="289"/>
      <c r="L144" s="540"/>
      <c r="M144" s="530"/>
      <c r="N144" s="564"/>
    </row>
    <row r="145" spans="1:14" ht="14.25" customHeight="1" x14ac:dyDescent="0.25">
      <c r="A145" s="563"/>
      <c r="B145" s="529" t="s">
        <v>641</v>
      </c>
      <c r="C145" s="523" t="s">
        <v>657</v>
      </c>
      <c r="D145" s="426" t="s">
        <v>689</v>
      </c>
      <c r="E145" s="426" t="s">
        <v>694</v>
      </c>
      <c r="F145" s="426">
        <v>13.69</v>
      </c>
      <c r="G145" s="440">
        <v>1.2</v>
      </c>
      <c r="H145" s="441" t="s">
        <v>701</v>
      </c>
      <c r="I145" s="428">
        <v>1</v>
      </c>
      <c r="J145" s="530">
        <f>F145*G145</f>
        <v>16.427999999999997</v>
      </c>
      <c r="K145" s="289"/>
      <c r="L145" s="540"/>
      <c r="M145" s="530"/>
      <c r="N145" s="564"/>
    </row>
    <row r="146" spans="1:14" ht="14.25" customHeight="1" x14ac:dyDescent="0.25">
      <c r="A146" s="563"/>
      <c r="B146" s="529" t="s">
        <v>641</v>
      </c>
      <c r="C146" s="523" t="s">
        <v>657</v>
      </c>
      <c r="D146" s="426" t="s">
        <v>619</v>
      </c>
      <c r="E146" s="426" t="s">
        <v>186</v>
      </c>
      <c r="F146" s="426"/>
      <c r="G146" s="440"/>
      <c r="H146" s="441"/>
      <c r="I146" s="428">
        <v>1</v>
      </c>
      <c r="J146" s="530">
        <f t="shared" si="3"/>
        <v>0</v>
      </c>
      <c r="K146" s="289"/>
      <c r="L146" s="540"/>
      <c r="M146" s="530"/>
      <c r="N146" s="564"/>
    </row>
    <row r="147" spans="1:14" ht="14.25" customHeight="1" x14ac:dyDescent="0.25">
      <c r="A147" s="563"/>
      <c r="B147" s="529" t="s">
        <v>641</v>
      </c>
      <c r="C147" s="523" t="s">
        <v>657</v>
      </c>
      <c r="D147" s="426" t="s">
        <v>620</v>
      </c>
      <c r="E147" s="426" t="s">
        <v>186</v>
      </c>
      <c r="F147" s="426"/>
      <c r="G147" s="440"/>
      <c r="H147" s="441"/>
      <c r="I147" s="428">
        <v>1</v>
      </c>
      <c r="J147" s="530">
        <f t="shared" si="3"/>
        <v>0</v>
      </c>
      <c r="K147" s="289"/>
      <c r="L147" s="540"/>
      <c r="M147" s="530"/>
      <c r="N147" s="564"/>
    </row>
    <row r="148" spans="1:14" ht="14.25" customHeight="1" x14ac:dyDescent="0.25">
      <c r="A148" s="563"/>
      <c r="B148" s="529" t="s">
        <v>641</v>
      </c>
      <c r="C148" s="523" t="s">
        <v>657</v>
      </c>
      <c r="D148" s="426" t="s">
        <v>640</v>
      </c>
      <c r="E148" s="426" t="s">
        <v>186</v>
      </c>
      <c r="F148" s="426"/>
      <c r="G148" s="440"/>
      <c r="H148" s="441"/>
      <c r="I148" s="428">
        <v>1</v>
      </c>
      <c r="J148" s="530">
        <f t="shared" si="3"/>
        <v>0</v>
      </c>
      <c r="K148" s="289"/>
      <c r="L148" s="540"/>
      <c r="M148" s="530"/>
      <c r="N148" s="564"/>
    </row>
    <row r="149" spans="1:14" ht="14.25" customHeight="1" x14ac:dyDescent="0.25">
      <c r="A149" s="563"/>
      <c r="B149" s="529" t="s">
        <v>641</v>
      </c>
      <c r="C149" s="523" t="s">
        <v>657</v>
      </c>
      <c r="D149" s="426" t="s">
        <v>621</v>
      </c>
      <c r="E149" s="426" t="s">
        <v>186</v>
      </c>
      <c r="F149" s="426"/>
      <c r="G149" s="440"/>
      <c r="H149" s="441"/>
      <c r="I149" s="428">
        <v>1</v>
      </c>
      <c r="J149" s="530">
        <f t="shared" si="3"/>
        <v>0</v>
      </c>
      <c r="K149" s="289"/>
      <c r="L149" s="540"/>
      <c r="M149" s="530"/>
      <c r="N149" s="564"/>
    </row>
    <row r="150" spans="1:14" ht="14.25" customHeight="1" x14ac:dyDescent="0.25">
      <c r="A150" s="563"/>
      <c r="B150" s="529" t="s">
        <v>641</v>
      </c>
      <c r="C150" s="523" t="s">
        <v>657</v>
      </c>
      <c r="D150" s="426" t="s">
        <v>617</v>
      </c>
      <c r="E150" s="426" t="s">
        <v>186</v>
      </c>
      <c r="F150" s="426"/>
      <c r="G150" s="440"/>
      <c r="H150" s="441"/>
      <c r="I150" s="428">
        <v>1</v>
      </c>
      <c r="J150" s="530">
        <f t="shared" si="3"/>
        <v>0</v>
      </c>
      <c r="K150" s="289"/>
      <c r="L150" s="540"/>
      <c r="M150" s="530"/>
      <c r="N150" s="564"/>
    </row>
    <row r="151" spans="1:14" ht="14.25" customHeight="1" x14ac:dyDescent="0.25">
      <c r="A151" s="563"/>
      <c r="B151" s="529" t="s">
        <v>641</v>
      </c>
      <c r="C151" s="523" t="s">
        <v>657</v>
      </c>
      <c r="D151" s="426" t="s">
        <v>622</v>
      </c>
      <c r="E151" s="426" t="s">
        <v>686</v>
      </c>
      <c r="F151" s="426"/>
      <c r="G151" s="440"/>
      <c r="H151" s="441"/>
      <c r="I151" s="428">
        <v>1</v>
      </c>
      <c r="J151" s="530">
        <f t="shared" si="3"/>
        <v>0</v>
      </c>
      <c r="K151" s="289"/>
      <c r="L151" s="540"/>
      <c r="M151" s="530"/>
      <c r="N151" s="564"/>
    </row>
    <row r="152" spans="1:14" ht="14.25" customHeight="1" x14ac:dyDescent="0.25">
      <c r="A152" s="563"/>
      <c r="B152" s="529" t="s">
        <v>641</v>
      </c>
      <c r="C152" s="523" t="s">
        <v>657</v>
      </c>
      <c r="D152" s="426" t="s">
        <v>623</v>
      </c>
      <c r="E152" s="426" t="s">
        <v>186</v>
      </c>
      <c r="F152" s="426"/>
      <c r="G152" s="440"/>
      <c r="H152" s="441"/>
      <c r="I152" s="428">
        <v>1</v>
      </c>
      <c r="J152" s="530">
        <f t="shared" si="3"/>
        <v>0</v>
      </c>
      <c r="K152" s="289"/>
      <c r="L152" s="540"/>
      <c r="M152" s="530"/>
      <c r="N152" s="564"/>
    </row>
    <row r="153" spans="1:14" ht="14.25" customHeight="1" x14ac:dyDescent="0.25">
      <c r="A153" s="563"/>
      <c r="B153" s="529" t="s">
        <v>641</v>
      </c>
      <c r="C153" s="523" t="s">
        <v>657</v>
      </c>
      <c r="D153" s="426" t="s">
        <v>630</v>
      </c>
      <c r="E153" s="426" t="s">
        <v>686</v>
      </c>
      <c r="F153" s="426"/>
      <c r="G153" s="440"/>
      <c r="H153" s="441"/>
      <c r="I153" s="428">
        <v>1</v>
      </c>
      <c r="J153" s="530">
        <f t="shared" si="3"/>
        <v>0</v>
      </c>
      <c r="K153" s="289"/>
      <c r="L153" s="540"/>
      <c r="M153" s="530"/>
      <c r="N153" s="564"/>
    </row>
    <row r="154" spans="1:14" ht="14.25" customHeight="1" x14ac:dyDescent="0.25">
      <c r="A154" s="563"/>
      <c r="B154" s="529" t="s">
        <v>641</v>
      </c>
      <c r="C154" s="523" t="s">
        <v>657</v>
      </c>
      <c r="D154" s="426" t="s">
        <v>631</v>
      </c>
      <c r="E154" s="426" t="s">
        <v>186</v>
      </c>
      <c r="F154" s="426"/>
      <c r="G154" s="440"/>
      <c r="H154" s="441"/>
      <c r="I154" s="428">
        <v>1</v>
      </c>
      <c r="J154" s="530">
        <f t="shared" si="3"/>
        <v>0</v>
      </c>
      <c r="K154" s="289"/>
      <c r="L154" s="540"/>
      <c r="M154" s="530"/>
      <c r="N154" s="564"/>
    </row>
    <row r="155" spans="1:14" ht="14.25" customHeight="1" x14ac:dyDescent="0.25">
      <c r="A155" s="563"/>
      <c r="B155" s="529" t="s">
        <v>641</v>
      </c>
      <c r="C155" s="523" t="s">
        <v>657</v>
      </c>
      <c r="D155" s="426" t="s">
        <v>624</v>
      </c>
      <c r="E155" s="426" t="s">
        <v>686</v>
      </c>
      <c r="F155" s="426"/>
      <c r="G155" s="440"/>
      <c r="H155" s="441"/>
      <c r="I155" s="428">
        <v>1</v>
      </c>
      <c r="J155" s="530">
        <f t="shared" si="3"/>
        <v>0</v>
      </c>
      <c r="K155" s="289"/>
      <c r="L155" s="540"/>
      <c r="M155" s="530"/>
      <c r="N155" s="564"/>
    </row>
    <row r="156" spans="1:14" ht="14.25" customHeight="1" x14ac:dyDescent="0.25">
      <c r="A156" s="563"/>
      <c r="B156" s="529" t="s">
        <v>641</v>
      </c>
      <c r="C156" s="523" t="s">
        <v>657</v>
      </c>
      <c r="D156" s="426" t="s">
        <v>625</v>
      </c>
      <c r="E156" s="426" t="s">
        <v>186</v>
      </c>
      <c r="F156" s="426"/>
      <c r="G156" s="440"/>
      <c r="H156" s="441"/>
      <c r="I156" s="428">
        <v>1</v>
      </c>
      <c r="J156" s="530">
        <f t="shared" si="3"/>
        <v>0</v>
      </c>
      <c r="K156" s="289"/>
      <c r="L156" s="540"/>
      <c r="M156" s="530"/>
      <c r="N156" s="564"/>
    </row>
    <row r="157" spans="1:14" ht="14.25" customHeight="1" x14ac:dyDescent="0.25">
      <c r="A157" s="563"/>
      <c r="B157" s="529" t="s">
        <v>641</v>
      </c>
      <c r="C157" s="523" t="s">
        <v>657</v>
      </c>
      <c r="D157" s="426" t="s">
        <v>626</v>
      </c>
      <c r="E157" s="426" t="s">
        <v>686</v>
      </c>
      <c r="F157" s="426"/>
      <c r="G157" s="440"/>
      <c r="H157" s="441"/>
      <c r="I157" s="428">
        <v>1</v>
      </c>
      <c r="J157" s="530">
        <f t="shared" si="3"/>
        <v>0</v>
      </c>
      <c r="K157" s="289"/>
      <c r="L157" s="540"/>
      <c r="M157" s="530"/>
      <c r="N157" s="564"/>
    </row>
    <row r="158" spans="1:14" ht="14.25" customHeight="1" x14ac:dyDescent="0.25">
      <c r="A158" s="563"/>
      <c r="B158" s="529" t="s">
        <v>641</v>
      </c>
      <c r="C158" s="523" t="s">
        <v>657</v>
      </c>
      <c r="D158" s="426" t="s">
        <v>627</v>
      </c>
      <c r="E158" s="426" t="s">
        <v>186</v>
      </c>
      <c r="F158" s="426"/>
      <c r="G158" s="440"/>
      <c r="H158" s="441"/>
      <c r="I158" s="428">
        <v>1</v>
      </c>
      <c r="J158" s="530">
        <f t="shared" si="3"/>
        <v>0</v>
      </c>
      <c r="K158" s="289"/>
      <c r="L158" s="540"/>
      <c r="M158" s="530"/>
      <c r="N158" s="564"/>
    </row>
    <row r="159" spans="1:14" ht="14.25" customHeight="1" x14ac:dyDescent="0.25">
      <c r="A159" s="563"/>
      <c r="B159" s="529" t="s">
        <v>641</v>
      </c>
      <c r="C159" s="523" t="s">
        <v>656</v>
      </c>
      <c r="D159" s="426" t="s">
        <v>614</v>
      </c>
      <c r="E159" s="426" t="s">
        <v>186</v>
      </c>
      <c r="F159" s="426"/>
      <c r="G159" s="440"/>
      <c r="H159" s="441"/>
      <c r="I159" s="428">
        <v>1</v>
      </c>
      <c r="J159" s="530">
        <f t="shared" si="3"/>
        <v>0</v>
      </c>
      <c r="K159" s="289"/>
      <c r="L159" s="540"/>
      <c r="M159" s="530"/>
      <c r="N159" s="564"/>
    </row>
    <row r="160" spans="1:14" ht="14.25" customHeight="1" x14ac:dyDescent="0.25">
      <c r="A160" s="563"/>
      <c r="B160" s="529" t="s">
        <v>641</v>
      </c>
      <c r="C160" s="523" t="s">
        <v>656</v>
      </c>
      <c r="D160" s="426" t="s">
        <v>615</v>
      </c>
      <c r="E160" s="426" t="s">
        <v>186</v>
      </c>
      <c r="F160" s="426"/>
      <c r="G160" s="440"/>
      <c r="H160" s="441"/>
      <c r="I160" s="428">
        <v>1</v>
      </c>
      <c r="J160" s="530">
        <f t="shared" si="3"/>
        <v>0</v>
      </c>
      <c r="K160" s="289"/>
      <c r="L160" s="540"/>
      <c r="M160" s="530"/>
      <c r="N160" s="564"/>
    </row>
    <row r="161" spans="1:14" ht="14.25" customHeight="1" x14ac:dyDescent="0.25">
      <c r="A161" s="563"/>
      <c r="B161" s="529" t="s">
        <v>641</v>
      </c>
      <c r="C161" s="523" t="s">
        <v>656</v>
      </c>
      <c r="D161" s="426" t="s">
        <v>616</v>
      </c>
      <c r="E161" s="426" t="s">
        <v>186</v>
      </c>
      <c r="F161" s="426"/>
      <c r="G161" s="440"/>
      <c r="H161" s="441"/>
      <c r="I161" s="428">
        <v>1</v>
      </c>
      <c r="J161" s="530">
        <f t="shared" si="3"/>
        <v>0</v>
      </c>
      <c r="K161" s="289"/>
      <c r="L161" s="540"/>
      <c r="M161" s="530"/>
      <c r="N161" s="564"/>
    </row>
    <row r="162" spans="1:14" ht="14.25" customHeight="1" x14ac:dyDescent="0.25">
      <c r="A162" s="563"/>
      <c r="B162" s="529" t="s">
        <v>641</v>
      </c>
      <c r="C162" s="523" t="s">
        <v>656</v>
      </c>
      <c r="D162" s="426" t="s">
        <v>618</v>
      </c>
      <c r="E162" s="426" t="s">
        <v>693</v>
      </c>
      <c r="F162" s="426"/>
      <c r="G162" s="440"/>
      <c r="H162" s="441"/>
      <c r="I162" s="428">
        <v>1</v>
      </c>
      <c r="J162" s="530">
        <f t="shared" si="3"/>
        <v>0</v>
      </c>
      <c r="K162" s="289"/>
      <c r="L162" s="540"/>
      <c r="M162" s="530"/>
      <c r="N162" s="564"/>
    </row>
    <row r="163" spans="1:14" ht="14.25" customHeight="1" x14ac:dyDescent="0.25">
      <c r="A163" s="563"/>
      <c r="B163" s="529" t="s">
        <v>641</v>
      </c>
      <c r="C163" s="523" t="s">
        <v>656</v>
      </c>
      <c r="D163" s="426" t="s">
        <v>689</v>
      </c>
      <c r="E163" s="426" t="s">
        <v>694</v>
      </c>
      <c r="F163" s="426">
        <v>14.42</v>
      </c>
      <c r="G163" s="440">
        <v>1.2</v>
      </c>
      <c r="H163" s="441" t="s">
        <v>701</v>
      </c>
      <c r="I163" s="428">
        <v>1</v>
      </c>
      <c r="J163" s="530">
        <f>F163*G163</f>
        <v>17.303999999999998</v>
      </c>
      <c r="K163" s="289"/>
      <c r="L163" s="540"/>
      <c r="M163" s="530"/>
      <c r="N163" s="564"/>
    </row>
    <row r="164" spans="1:14" ht="14.25" customHeight="1" x14ac:dyDescent="0.25">
      <c r="A164" s="563"/>
      <c r="B164" s="529" t="s">
        <v>641</v>
      </c>
      <c r="C164" s="523" t="s">
        <v>656</v>
      </c>
      <c r="D164" s="426" t="s">
        <v>619</v>
      </c>
      <c r="E164" s="426" t="s">
        <v>186</v>
      </c>
      <c r="F164" s="426"/>
      <c r="G164" s="440"/>
      <c r="H164" s="441"/>
      <c r="I164" s="428">
        <v>1</v>
      </c>
      <c r="J164" s="530">
        <f t="shared" si="3"/>
        <v>0</v>
      </c>
      <c r="K164" s="289"/>
      <c r="L164" s="540"/>
      <c r="M164" s="530"/>
      <c r="N164" s="564"/>
    </row>
    <row r="165" spans="1:14" ht="14.25" customHeight="1" x14ac:dyDescent="0.25">
      <c r="A165" s="563"/>
      <c r="B165" s="529" t="s">
        <v>641</v>
      </c>
      <c r="C165" s="523" t="s">
        <v>656</v>
      </c>
      <c r="D165" s="426" t="s">
        <v>620</v>
      </c>
      <c r="E165" s="426" t="s">
        <v>186</v>
      </c>
      <c r="F165" s="426"/>
      <c r="G165" s="440"/>
      <c r="H165" s="441"/>
      <c r="I165" s="428">
        <v>1</v>
      </c>
      <c r="J165" s="530">
        <f t="shared" si="3"/>
        <v>0</v>
      </c>
      <c r="K165" s="289"/>
      <c r="L165" s="540"/>
      <c r="M165" s="530"/>
      <c r="N165" s="564"/>
    </row>
    <row r="166" spans="1:14" ht="14.25" customHeight="1" x14ac:dyDescent="0.25">
      <c r="A166" s="563"/>
      <c r="B166" s="529" t="s">
        <v>641</v>
      </c>
      <c r="C166" s="523" t="s">
        <v>656</v>
      </c>
      <c r="D166" s="426" t="s">
        <v>621</v>
      </c>
      <c r="E166" s="426" t="s">
        <v>186</v>
      </c>
      <c r="F166" s="426"/>
      <c r="G166" s="440"/>
      <c r="H166" s="441"/>
      <c r="I166" s="428">
        <v>1</v>
      </c>
      <c r="J166" s="530">
        <f t="shared" si="3"/>
        <v>0</v>
      </c>
      <c r="K166" s="289"/>
      <c r="L166" s="540"/>
      <c r="M166" s="530"/>
      <c r="N166" s="564"/>
    </row>
    <row r="167" spans="1:14" ht="14.25" customHeight="1" x14ac:dyDescent="0.25">
      <c r="A167" s="563"/>
      <c r="B167" s="529" t="s">
        <v>641</v>
      </c>
      <c r="C167" s="523" t="s">
        <v>656</v>
      </c>
      <c r="D167" s="426" t="s">
        <v>617</v>
      </c>
      <c r="E167" s="426" t="s">
        <v>186</v>
      </c>
      <c r="F167" s="426"/>
      <c r="G167" s="440"/>
      <c r="H167" s="441"/>
      <c r="I167" s="428">
        <v>1</v>
      </c>
      <c r="J167" s="530">
        <f t="shared" si="3"/>
        <v>0</v>
      </c>
      <c r="K167" s="289"/>
      <c r="L167" s="540"/>
      <c r="M167" s="530"/>
      <c r="N167" s="564"/>
    </row>
    <row r="168" spans="1:14" ht="14.25" customHeight="1" x14ac:dyDescent="0.25">
      <c r="A168" s="563"/>
      <c r="B168" s="529" t="s">
        <v>641</v>
      </c>
      <c r="C168" s="523" t="s">
        <v>656</v>
      </c>
      <c r="D168" s="426" t="s">
        <v>622</v>
      </c>
      <c r="E168" s="426" t="s">
        <v>686</v>
      </c>
      <c r="F168" s="426"/>
      <c r="G168" s="440"/>
      <c r="H168" s="441"/>
      <c r="I168" s="428">
        <v>1</v>
      </c>
      <c r="J168" s="530">
        <f t="shared" si="3"/>
        <v>0</v>
      </c>
      <c r="K168" s="289"/>
      <c r="L168" s="540"/>
      <c r="M168" s="530"/>
      <c r="N168" s="564"/>
    </row>
    <row r="169" spans="1:14" ht="14.25" customHeight="1" x14ac:dyDescent="0.25">
      <c r="A169" s="563"/>
      <c r="B169" s="529" t="s">
        <v>641</v>
      </c>
      <c r="C169" s="523" t="s">
        <v>656</v>
      </c>
      <c r="D169" s="426" t="s">
        <v>623</v>
      </c>
      <c r="E169" s="426" t="s">
        <v>186</v>
      </c>
      <c r="F169" s="426"/>
      <c r="G169" s="440"/>
      <c r="H169" s="441"/>
      <c r="I169" s="428">
        <v>1</v>
      </c>
      <c r="J169" s="530">
        <f t="shared" si="3"/>
        <v>0</v>
      </c>
      <c r="K169" s="289"/>
      <c r="L169" s="540"/>
      <c r="M169" s="530"/>
      <c r="N169" s="564"/>
    </row>
    <row r="170" spans="1:14" ht="14.25" customHeight="1" x14ac:dyDescent="0.25">
      <c r="A170" s="563"/>
      <c r="B170" s="529" t="s">
        <v>641</v>
      </c>
      <c r="C170" s="523" t="s">
        <v>656</v>
      </c>
      <c r="D170" s="426" t="s">
        <v>624</v>
      </c>
      <c r="E170" s="426" t="s">
        <v>686</v>
      </c>
      <c r="F170" s="426"/>
      <c r="G170" s="440"/>
      <c r="H170" s="441"/>
      <c r="I170" s="428">
        <v>1</v>
      </c>
      <c r="J170" s="530">
        <f t="shared" si="3"/>
        <v>0</v>
      </c>
      <c r="K170" s="289"/>
      <c r="L170" s="540"/>
      <c r="M170" s="530"/>
      <c r="N170" s="564"/>
    </row>
    <row r="171" spans="1:14" ht="14.25" customHeight="1" x14ac:dyDescent="0.25">
      <c r="A171" s="563"/>
      <c r="B171" s="529" t="s">
        <v>641</v>
      </c>
      <c r="C171" s="523" t="s">
        <v>656</v>
      </c>
      <c r="D171" s="426" t="s">
        <v>625</v>
      </c>
      <c r="E171" s="426" t="s">
        <v>186</v>
      </c>
      <c r="F171" s="426"/>
      <c r="G171" s="440"/>
      <c r="H171" s="441"/>
      <c r="I171" s="428">
        <v>1</v>
      </c>
      <c r="J171" s="530">
        <f t="shared" si="3"/>
        <v>0</v>
      </c>
      <c r="K171" s="289"/>
      <c r="L171" s="540"/>
      <c r="M171" s="530"/>
      <c r="N171" s="564"/>
    </row>
    <row r="172" spans="1:14" ht="14.25" customHeight="1" x14ac:dyDescent="0.25">
      <c r="A172" s="563"/>
      <c r="B172" s="529" t="s">
        <v>641</v>
      </c>
      <c r="C172" s="523" t="s">
        <v>656</v>
      </c>
      <c r="D172" s="426" t="s">
        <v>626</v>
      </c>
      <c r="E172" s="426" t="s">
        <v>686</v>
      </c>
      <c r="F172" s="426"/>
      <c r="G172" s="440"/>
      <c r="H172" s="441"/>
      <c r="I172" s="428">
        <v>1</v>
      </c>
      <c r="J172" s="530">
        <f t="shared" si="3"/>
        <v>0</v>
      </c>
      <c r="K172" s="289"/>
      <c r="L172" s="540"/>
      <c r="M172" s="530"/>
      <c r="N172" s="564"/>
    </row>
    <row r="173" spans="1:14" ht="14.25" customHeight="1" x14ac:dyDescent="0.25">
      <c r="A173" s="563"/>
      <c r="B173" s="529" t="s">
        <v>641</v>
      </c>
      <c r="C173" s="523" t="s">
        <v>656</v>
      </c>
      <c r="D173" s="426" t="s">
        <v>627</v>
      </c>
      <c r="E173" s="426" t="s">
        <v>186</v>
      </c>
      <c r="F173" s="426"/>
      <c r="G173" s="440"/>
      <c r="H173" s="441"/>
      <c r="I173" s="428">
        <v>1</v>
      </c>
      <c r="J173" s="530">
        <f t="shared" si="3"/>
        <v>0</v>
      </c>
      <c r="K173" s="289"/>
      <c r="L173" s="540"/>
      <c r="M173" s="530"/>
      <c r="N173" s="564"/>
    </row>
    <row r="174" spans="1:14" ht="14.25" customHeight="1" x14ac:dyDescent="0.25">
      <c r="A174" s="563"/>
      <c r="B174" s="529" t="s">
        <v>641</v>
      </c>
      <c r="C174" s="523" t="s">
        <v>659</v>
      </c>
      <c r="D174" s="426" t="s">
        <v>614</v>
      </c>
      <c r="E174" s="426" t="s">
        <v>186</v>
      </c>
      <c r="F174" s="426"/>
      <c r="G174" s="440"/>
      <c r="H174" s="441"/>
      <c r="I174" s="428">
        <v>1</v>
      </c>
      <c r="J174" s="530">
        <f t="shared" si="3"/>
        <v>0</v>
      </c>
      <c r="K174" s="289"/>
      <c r="L174" s="540"/>
      <c r="M174" s="530"/>
      <c r="N174" s="564"/>
    </row>
    <row r="175" spans="1:14" ht="14.25" customHeight="1" x14ac:dyDescent="0.25">
      <c r="A175" s="563"/>
      <c r="B175" s="529" t="s">
        <v>641</v>
      </c>
      <c r="C175" s="523" t="s">
        <v>659</v>
      </c>
      <c r="D175" s="426" t="s">
        <v>615</v>
      </c>
      <c r="E175" s="426" t="s">
        <v>186</v>
      </c>
      <c r="F175" s="426"/>
      <c r="G175" s="440"/>
      <c r="H175" s="441"/>
      <c r="I175" s="428">
        <v>1</v>
      </c>
      <c r="J175" s="530">
        <f t="shared" si="3"/>
        <v>0</v>
      </c>
      <c r="K175" s="289"/>
      <c r="L175" s="540"/>
      <c r="M175" s="530"/>
      <c r="N175" s="564"/>
    </row>
    <row r="176" spans="1:14" ht="14.25" customHeight="1" x14ac:dyDescent="0.25">
      <c r="A176" s="563"/>
      <c r="B176" s="529" t="s">
        <v>641</v>
      </c>
      <c r="C176" s="523" t="s">
        <v>659</v>
      </c>
      <c r="D176" s="426" t="s">
        <v>616</v>
      </c>
      <c r="E176" s="426" t="s">
        <v>186</v>
      </c>
      <c r="F176" s="426"/>
      <c r="G176" s="440"/>
      <c r="H176" s="441"/>
      <c r="I176" s="428">
        <v>1</v>
      </c>
      <c r="J176" s="530">
        <f t="shared" si="3"/>
        <v>0</v>
      </c>
      <c r="K176" s="289"/>
      <c r="L176" s="540"/>
      <c r="M176" s="530"/>
      <c r="N176" s="564"/>
    </row>
    <row r="177" spans="1:14" ht="14.25" customHeight="1" x14ac:dyDescent="0.25">
      <c r="A177" s="563"/>
      <c r="B177" s="529" t="s">
        <v>641</v>
      </c>
      <c r="C177" s="523" t="s">
        <v>659</v>
      </c>
      <c r="D177" s="426" t="s">
        <v>618</v>
      </c>
      <c r="E177" s="426" t="s">
        <v>693</v>
      </c>
      <c r="F177" s="426"/>
      <c r="G177" s="440"/>
      <c r="H177" s="441"/>
      <c r="I177" s="428">
        <v>1</v>
      </c>
      <c r="J177" s="530">
        <f t="shared" si="3"/>
        <v>0</v>
      </c>
      <c r="K177" s="289"/>
      <c r="L177" s="540"/>
      <c r="M177" s="530"/>
      <c r="N177" s="564"/>
    </row>
    <row r="178" spans="1:14" ht="14.25" customHeight="1" x14ac:dyDescent="0.25">
      <c r="A178" s="563"/>
      <c r="B178" s="529" t="s">
        <v>641</v>
      </c>
      <c r="C178" s="523" t="s">
        <v>659</v>
      </c>
      <c r="D178" s="426" t="s">
        <v>689</v>
      </c>
      <c r="E178" s="426" t="s">
        <v>694</v>
      </c>
      <c r="F178" s="426">
        <v>13.75</v>
      </c>
      <c r="G178" s="440">
        <v>1.2</v>
      </c>
      <c r="H178" s="441" t="s">
        <v>701</v>
      </c>
      <c r="I178" s="428">
        <v>1</v>
      </c>
      <c r="J178" s="530">
        <f>F178*G178</f>
        <v>16.5</v>
      </c>
      <c r="K178" s="289"/>
      <c r="L178" s="540"/>
      <c r="M178" s="530"/>
      <c r="N178" s="564"/>
    </row>
    <row r="179" spans="1:14" ht="14.25" customHeight="1" x14ac:dyDescent="0.25">
      <c r="A179" s="563"/>
      <c r="B179" s="529" t="s">
        <v>641</v>
      </c>
      <c r="C179" s="523" t="s">
        <v>659</v>
      </c>
      <c r="D179" s="426" t="s">
        <v>619</v>
      </c>
      <c r="E179" s="426" t="s">
        <v>186</v>
      </c>
      <c r="F179" s="426"/>
      <c r="G179" s="440"/>
      <c r="H179" s="441"/>
      <c r="I179" s="428">
        <v>1</v>
      </c>
      <c r="J179" s="530">
        <f t="shared" si="3"/>
        <v>0</v>
      </c>
      <c r="K179" s="289"/>
      <c r="L179" s="540"/>
      <c r="M179" s="530"/>
      <c r="N179" s="564"/>
    </row>
    <row r="180" spans="1:14" ht="14.25" customHeight="1" x14ac:dyDescent="0.25">
      <c r="A180" s="563"/>
      <c r="B180" s="529" t="s">
        <v>641</v>
      </c>
      <c r="C180" s="523" t="s">
        <v>659</v>
      </c>
      <c r="D180" s="426" t="s">
        <v>620</v>
      </c>
      <c r="E180" s="426" t="s">
        <v>186</v>
      </c>
      <c r="F180" s="426"/>
      <c r="G180" s="440"/>
      <c r="H180" s="441"/>
      <c r="I180" s="428">
        <v>1</v>
      </c>
      <c r="J180" s="530">
        <f t="shared" si="3"/>
        <v>0</v>
      </c>
      <c r="K180" s="289"/>
      <c r="L180" s="540"/>
      <c r="M180" s="530"/>
      <c r="N180" s="564"/>
    </row>
    <row r="181" spans="1:14" ht="14.25" customHeight="1" x14ac:dyDescent="0.25">
      <c r="A181" s="563"/>
      <c r="B181" s="529" t="s">
        <v>641</v>
      </c>
      <c r="C181" s="523" t="s">
        <v>659</v>
      </c>
      <c r="D181" s="426" t="s">
        <v>640</v>
      </c>
      <c r="E181" s="426" t="s">
        <v>186</v>
      </c>
      <c r="F181" s="426"/>
      <c r="G181" s="440"/>
      <c r="H181" s="441"/>
      <c r="I181" s="428">
        <v>1</v>
      </c>
      <c r="J181" s="530">
        <f t="shared" si="3"/>
        <v>0</v>
      </c>
      <c r="K181" s="289"/>
      <c r="L181" s="540"/>
      <c r="M181" s="530"/>
      <c r="N181" s="564"/>
    </row>
    <row r="182" spans="1:14" ht="14.25" customHeight="1" x14ac:dyDescent="0.25">
      <c r="A182" s="563"/>
      <c r="B182" s="529" t="s">
        <v>641</v>
      </c>
      <c r="C182" s="523" t="s">
        <v>659</v>
      </c>
      <c r="D182" s="426" t="s">
        <v>621</v>
      </c>
      <c r="E182" s="426" t="s">
        <v>186</v>
      </c>
      <c r="F182" s="426"/>
      <c r="G182" s="440"/>
      <c r="H182" s="441"/>
      <c r="I182" s="428">
        <v>1</v>
      </c>
      <c r="J182" s="530">
        <f t="shared" si="3"/>
        <v>0</v>
      </c>
      <c r="K182" s="289"/>
      <c r="L182" s="540"/>
      <c r="M182" s="530"/>
      <c r="N182" s="564"/>
    </row>
    <row r="183" spans="1:14" ht="14.25" customHeight="1" x14ac:dyDescent="0.25">
      <c r="A183" s="563"/>
      <c r="B183" s="529" t="s">
        <v>641</v>
      </c>
      <c r="C183" s="523" t="s">
        <v>659</v>
      </c>
      <c r="D183" s="426" t="s">
        <v>617</v>
      </c>
      <c r="E183" s="426" t="s">
        <v>186</v>
      </c>
      <c r="F183" s="426"/>
      <c r="G183" s="440"/>
      <c r="H183" s="441"/>
      <c r="I183" s="428">
        <v>1</v>
      </c>
      <c r="J183" s="530">
        <f t="shared" si="3"/>
        <v>0</v>
      </c>
      <c r="K183" s="289"/>
      <c r="L183" s="540"/>
      <c r="M183" s="530"/>
      <c r="N183" s="564"/>
    </row>
    <row r="184" spans="1:14" ht="14.25" customHeight="1" x14ac:dyDescent="0.25">
      <c r="A184" s="563"/>
      <c r="B184" s="529" t="s">
        <v>641</v>
      </c>
      <c r="C184" s="523" t="s">
        <v>659</v>
      </c>
      <c r="D184" s="426" t="s">
        <v>622</v>
      </c>
      <c r="E184" s="426" t="s">
        <v>686</v>
      </c>
      <c r="F184" s="426"/>
      <c r="G184" s="440"/>
      <c r="H184" s="441"/>
      <c r="I184" s="428">
        <v>1</v>
      </c>
      <c r="J184" s="530">
        <f t="shared" si="3"/>
        <v>0</v>
      </c>
      <c r="K184" s="289"/>
      <c r="L184" s="540"/>
      <c r="M184" s="530"/>
      <c r="N184" s="564"/>
    </row>
    <row r="185" spans="1:14" ht="14.25" customHeight="1" x14ac:dyDescent="0.25">
      <c r="A185" s="563"/>
      <c r="B185" s="529" t="s">
        <v>641</v>
      </c>
      <c r="C185" s="523" t="s">
        <v>659</v>
      </c>
      <c r="D185" s="426" t="s">
        <v>623</v>
      </c>
      <c r="E185" s="426" t="s">
        <v>186</v>
      </c>
      <c r="F185" s="426"/>
      <c r="G185" s="440"/>
      <c r="H185" s="441"/>
      <c r="I185" s="428">
        <v>1</v>
      </c>
      <c r="J185" s="530">
        <f t="shared" si="3"/>
        <v>0</v>
      </c>
      <c r="K185" s="289"/>
      <c r="L185" s="540"/>
      <c r="M185" s="530"/>
      <c r="N185" s="564"/>
    </row>
    <row r="186" spans="1:14" ht="14.25" customHeight="1" x14ac:dyDescent="0.25">
      <c r="A186" s="563"/>
      <c r="B186" s="529" t="s">
        <v>641</v>
      </c>
      <c r="C186" s="523" t="s">
        <v>659</v>
      </c>
      <c r="D186" s="426" t="s">
        <v>630</v>
      </c>
      <c r="E186" s="426" t="s">
        <v>686</v>
      </c>
      <c r="F186" s="426"/>
      <c r="G186" s="440"/>
      <c r="H186" s="441"/>
      <c r="I186" s="428">
        <v>1</v>
      </c>
      <c r="J186" s="530">
        <f t="shared" si="3"/>
        <v>0</v>
      </c>
      <c r="K186" s="289"/>
      <c r="L186" s="540"/>
      <c r="M186" s="530"/>
      <c r="N186" s="564"/>
    </row>
    <row r="187" spans="1:14" ht="14.25" customHeight="1" x14ac:dyDescent="0.25">
      <c r="A187" s="563"/>
      <c r="B187" s="529" t="s">
        <v>641</v>
      </c>
      <c r="C187" s="523" t="s">
        <v>659</v>
      </c>
      <c r="D187" s="426" t="s">
        <v>631</v>
      </c>
      <c r="E187" s="426" t="s">
        <v>186</v>
      </c>
      <c r="F187" s="426"/>
      <c r="G187" s="440"/>
      <c r="H187" s="441"/>
      <c r="I187" s="428">
        <v>1</v>
      </c>
      <c r="J187" s="530">
        <f t="shared" si="3"/>
        <v>0</v>
      </c>
      <c r="K187" s="289"/>
      <c r="L187" s="540"/>
      <c r="M187" s="530"/>
      <c r="N187" s="564"/>
    </row>
    <row r="188" spans="1:14" ht="14.25" customHeight="1" x14ac:dyDescent="0.25">
      <c r="A188" s="563"/>
      <c r="B188" s="529" t="s">
        <v>641</v>
      </c>
      <c r="C188" s="523" t="s">
        <v>659</v>
      </c>
      <c r="D188" s="426" t="s">
        <v>624</v>
      </c>
      <c r="E188" s="426" t="s">
        <v>686</v>
      </c>
      <c r="F188" s="426"/>
      <c r="G188" s="440"/>
      <c r="H188" s="441"/>
      <c r="I188" s="428">
        <v>1</v>
      </c>
      <c r="J188" s="530">
        <f t="shared" si="3"/>
        <v>0</v>
      </c>
      <c r="K188" s="289"/>
      <c r="L188" s="540"/>
      <c r="M188" s="530"/>
      <c r="N188" s="564"/>
    </row>
    <row r="189" spans="1:14" ht="14.25" customHeight="1" x14ac:dyDescent="0.25">
      <c r="A189" s="563"/>
      <c r="B189" s="529" t="s">
        <v>641</v>
      </c>
      <c r="C189" s="523" t="s">
        <v>659</v>
      </c>
      <c r="D189" s="426" t="s">
        <v>625</v>
      </c>
      <c r="E189" s="426" t="s">
        <v>186</v>
      </c>
      <c r="F189" s="426"/>
      <c r="G189" s="440"/>
      <c r="H189" s="441"/>
      <c r="I189" s="428">
        <v>1</v>
      </c>
      <c r="J189" s="530">
        <f t="shared" si="3"/>
        <v>0</v>
      </c>
      <c r="K189" s="289"/>
      <c r="L189" s="540"/>
      <c r="M189" s="530"/>
      <c r="N189" s="564"/>
    </row>
    <row r="190" spans="1:14" ht="14.25" customHeight="1" x14ac:dyDescent="0.25">
      <c r="A190" s="563"/>
      <c r="B190" s="529" t="s">
        <v>641</v>
      </c>
      <c r="C190" s="523" t="s">
        <v>659</v>
      </c>
      <c r="D190" s="426" t="s">
        <v>626</v>
      </c>
      <c r="E190" s="426" t="s">
        <v>686</v>
      </c>
      <c r="F190" s="426"/>
      <c r="G190" s="440"/>
      <c r="H190" s="441"/>
      <c r="I190" s="428">
        <v>1</v>
      </c>
      <c r="J190" s="530">
        <f t="shared" si="3"/>
        <v>0</v>
      </c>
      <c r="K190" s="289"/>
      <c r="L190" s="540"/>
      <c r="M190" s="530"/>
      <c r="N190" s="564"/>
    </row>
    <row r="191" spans="1:14" ht="14.25" customHeight="1" x14ac:dyDescent="0.25">
      <c r="A191" s="563"/>
      <c r="B191" s="529" t="s">
        <v>641</v>
      </c>
      <c r="C191" s="523" t="s">
        <v>659</v>
      </c>
      <c r="D191" s="426" t="s">
        <v>627</v>
      </c>
      <c r="E191" s="426" t="s">
        <v>186</v>
      </c>
      <c r="F191" s="426"/>
      <c r="G191" s="440"/>
      <c r="H191" s="441"/>
      <c r="I191" s="428">
        <v>1</v>
      </c>
      <c r="J191" s="530">
        <f t="shared" si="3"/>
        <v>0</v>
      </c>
      <c r="K191" s="289"/>
      <c r="L191" s="540"/>
      <c r="M191" s="530"/>
      <c r="N191" s="564"/>
    </row>
    <row r="192" spans="1:14" ht="14.25" customHeight="1" x14ac:dyDescent="0.25">
      <c r="A192" s="563"/>
      <c r="B192" s="529" t="s">
        <v>641</v>
      </c>
      <c r="C192" s="523" t="s">
        <v>658</v>
      </c>
      <c r="D192" s="426" t="s">
        <v>614</v>
      </c>
      <c r="E192" s="426" t="s">
        <v>186</v>
      </c>
      <c r="F192" s="426"/>
      <c r="G192" s="440"/>
      <c r="H192" s="441"/>
      <c r="I192" s="428">
        <v>1</v>
      </c>
      <c r="J192" s="530">
        <f t="shared" si="3"/>
        <v>0</v>
      </c>
      <c r="K192" s="289"/>
      <c r="L192" s="540"/>
      <c r="M192" s="530"/>
      <c r="N192" s="564"/>
    </row>
    <row r="193" spans="1:14" ht="14.25" customHeight="1" x14ac:dyDescent="0.25">
      <c r="A193" s="563"/>
      <c r="B193" s="529" t="s">
        <v>641</v>
      </c>
      <c r="C193" s="523" t="s">
        <v>658</v>
      </c>
      <c r="D193" s="426" t="s">
        <v>615</v>
      </c>
      <c r="E193" s="426" t="s">
        <v>186</v>
      </c>
      <c r="F193" s="426"/>
      <c r="G193" s="440"/>
      <c r="H193" s="441"/>
      <c r="I193" s="428">
        <v>1</v>
      </c>
      <c r="J193" s="530">
        <f t="shared" si="3"/>
        <v>0</v>
      </c>
      <c r="K193" s="289"/>
      <c r="L193" s="540"/>
      <c r="M193" s="530"/>
      <c r="N193" s="564"/>
    </row>
    <row r="194" spans="1:14" ht="14.25" customHeight="1" x14ac:dyDescent="0.25">
      <c r="A194" s="563"/>
      <c r="B194" s="529" t="s">
        <v>641</v>
      </c>
      <c r="C194" s="523" t="s">
        <v>658</v>
      </c>
      <c r="D194" s="426" t="s">
        <v>616</v>
      </c>
      <c r="E194" s="426" t="s">
        <v>186</v>
      </c>
      <c r="F194" s="426"/>
      <c r="G194" s="440"/>
      <c r="H194" s="441"/>
      <c r="I194" s="428">
        <v>1</v>
      </c>
      <c r="J194" s="530">
        <f t="shared" si="3"/>
        <v>0</v>
      </c>
      <c r="K194" s="289"/>
      <c r="L194" s="540"/>
      <c r="M194" s="530"/>
      <c r="N194" s="564"/>
    </row>
    <row r="195" spans="1:14" ht="14.25" customHeight="1" x14ac:dyDescent="0.25">
      <c r="A195" s="563"/>
      <c r="B195" s="529" t="s">
        <v>641</v>
      </c>
      <c r="C195" s="523" t="s">
        <v>658</v>
      </c>
      <c r="D195" s="426" t="s">
        <v>618</v>
      </c>
      <c r="E195" s="426" t="s">
        <v>693</v>
      </c>
      <c r="F195" s="426"/>
      <c r="G195" s="440"/>
      <c r="H195" s="441"/>
      <c r="I195" s="428">
        <v>1</v>
      </c>
      <c r="J195" s="530">
        <f t="shared" si="3"/>
        <v>0</v>
      </c>
      <c r="K195" s="289"/>
      <c r="L195" s="540"/>
      <c r="M195" s="530"/>
      <c r="N195" s="564"/>
    </row>
    <row r="196" spans="1:14" ht="14.25" customHeight="1" x14ac:dyDescent="0.25">
      <c r="A196" s="563"/>
      <c r="B196" s="529" t="s">
        <v>641</v>
      </c>
      <c r="C196" s="523" t="s">
        <v>658</v>
      </c>
      <c r="D196" s="426" t="s">
        <v>689</v>
      </c>
      <c r="E196" s="426" t="s">
        <v>694</v>
      </c>
      <c r="F196" s="426">
        <v>14.37</v>
      </c>
      <c r="G196" s="440">
        <v>1.2</v>
      </c>
      <c r="H196" s="441" t="s">
        <v>701</v>
      </c>
      <c r="I196" s="428">
        <v>1</v>
      </c>
      <c r="J196" s="530">
        <f>F196*G196</f>
        <v>17.244</v>
      </c>
      <c r="K196" s="289"/>
      <c r="L196" s="540"/>
      <c r="M196" s="530"/>
      <c r="N196" s="564"/>
    </row>
    <row r="197" spans="1:14" ht="14.25" customHeight="1" x14ac:dyDescent="0.25">
      <c r="A197" s="563"/>
      <c r="B197" s="529" t="s">
        <v>641</v>
      </c>
      <c r="C197" s="523" t="s">
        <v>658</v>
      </c>
      <c r="D197" s="426" t="s">
        <v>619</v>
      </c>
      <c r="E197" s="426" t="s">
        <v>186</v>
      </c>
      <c r="F197" s="426"/>
      <c r="G197" s="440"/>
      <c r="H197" s="441"/>
      <c r="I197" s="428">
        <v>1</v>
      </c>
      <c r="J197" s="530">
        <f t="shared" si="3"/>
        <v>0</v>
      </c>
      <c r="K197" s="289"/>
      <c r="L197" s="540"/>
      <c r="M197" s="530"/>
      <c r="N197" s="564"/>
    </row>
    <row r="198" spans="1:14" ht="14.25" customHeight="1" x14ac:dyDescent="0.25">
      <c r="A198" s="563"/>
      <c r="B198" s="529" t="s">
        <v>641</v>
      </c>
      <c r="C198" s="523" t="s">
        <v>658</v>
      </c>
      <c r="D198" s="426" t="s">
        <v>620</v>
      </c>
      <c r="E198" s="426" t="s">
        <v>186</v>
      </c>
      <c r="F198" s="426"/>
      <c r="G198" s="440"/>
      <c r="H198" s="441"/>
      <c r="I198" s="428">
        <v>1</v>
      </c>
      <c r="J198" s="530">
        <f t="shared" si="3"/>
        <v>0</v>
      </c>
      <c r="K198" s="289"/>
      <c r="L198" s="540"/>
      <c r="M198" s="530"/>
      <c r="N198" s="564"/>
    </row>
    <row r="199" spans="1:14" ht="14.25" customHeight="1" x14ac:dyDescent="0.25">
      <c r="A199" s="563"/>
      <c r="B199" s="529" t="s">
        <v>641</v>
      </c>
      <c r="C199" s="523" t="s">
        <v>658</v>
      </c>
      <c r="D199" s="426" t="s">
        <v>621</v>
      </c>
      <c r="E199" s="426" t="s">
        <v>186</v>
      </c>
      <c r="F199" s="426"/>
      <c r="G199" s="440"/>
      <c r="H199" s="441"/>
      <c r="I199" s="428">
        <v>1</v>
      </c>
      <c r="J199" s="530">
        <f t="shared" si="3"/>
        <v>0</v>
      </c>
      <c r="K199" s="289"/>
      <c r="L199" s="540"/>
      <c r="M199" s="530"/>
      <c r="N199" s="564"/>
    </row>
    <row r="200" spans="1:14" ht="14.25" customHeight="1" x14ac:dyDescent="0.25">
      <c r="A200" s="563"/>
      <c r="B200" s="529" t="s">
        <v>641</v>
      </c>
      <c r="C200" s="523" t="s">
        <v>658</v>
      </c>
      <c r="D200" s="426" t="s">
        <v>617</v>
      </c>
      <c r="E200" s="426" t="s">
        <v>186</v>
      </c>
      <c r="F200" s="426"/>
      <c r="G200" s="440"/>
      <c r="H200" s="441"/>
      <c r="I200" s="428">
        <v>1</v>
      </c>
      <c r="J200" s="530">
        <f t="shared" si="3"/>
        <v>0</v>
      </c>
      <c r="K200" s="289"/>
      <c r="L200" s="540"/>
      <c r="M200" s="530"/>
      <c r="N200" s="564"/>
    </row>
    <row r="201" spans="1:14" ht="14.25" customHeight="1" x14ac:dyDescent="0.25">
      <c r="A201" s="563"/>
      <c r="B201" s="529" t="s">
        <v>641</v>
      </c>
      <c r="C201" s="523" t="s">
        <v>658</v>
      </c>
      <c r="D201" s="426" t="s">
        <v>622</v>
      </c>
      <c r="E201" s="426" t="s">
        <v>686</v>
      </c>
      <c r="F201" s="426"/>
      <c r="G201" s="440"/>
      <c r="H201" s="441"/>
      <c r="I201" s="428">
        <v>1</v>
      </c>
      <c r="J201" s="530">
        <f t="shared" si="3"/>
        <v>0</v>
      </c>
      <c r="K201" s="289"/>
      <c r="L201" s="540"/>
      <c r="M201" s="530"/>
      <c r="N201" s="564"/>
    </row>
    <row r="202" spans="1:14" ht="14.25" customHeight="1" x14ac:dyDescent="0.25">
      <c r="A202" s="563"/>
      <c r="B202" s="529" t="s">
        <v>641</v>
      </c>
      <c r="C202" s="523" t="s">
        <v>658</v>
      </c>
      <c r="D202" s="426" t="s">
        <v>623</v>
      </c>
      <c r="E202" s="426" t="s">
        <v>186</v>
      </c>
      <c r="F202" s="426"/>
      <c r="G202" s="440"/>
      <c r="H202" s="441"/>
      <c r="I202" s="428">
        <v>1</v>
      </c>
      <c r="J202" s="530">
        <f t="shared" si="3"/>
        <v>0</v>
      </c>
      <c r="K202" s="289"/>
      <c r="L202" s="540"/>
      <c r="M202" s="530"/>
      <c r="N202" s="564"/>
    </row>
    <row r="203" spans="1:14" ht="14.25" customHeight="1" x14ac:dyDescent="0.25">
      <c r="A203" s="563"/>
      <c r="B203" s="529" t="s">
        <v>641</v>
      </c>
      <c r="C203" s="523" t="s">
        <v>658</v>
      </c>
      <c r="D203" s="426" t="s">
        <v>624</v>
      </c>
      <c r="E203" s="426" t="s">
        <v>686</v>
      </c>
      <c r="F203" s="426"/>
      <c r="G203" s="440"/>
      <c r="H203" s="441"/>
      <c r="I203" s="428">
        <v>1</v>
      </c>
      <c r="J203" s="530">
        <f t="shared" si="3"/>
        <v>0</v>
      </c>
      <c r="K203" s="289"/>
      <c r="L203" s="540"/>
      <c r="M203" s="530"/>
      <c r="N203" s="564"/>
    </row>
    <row r="204" spans="1:14" ht="14.25" customHeight="1" x14ac:dyDescent="0.25">
      <c r="A204" s="563"/>
      <c r="B204" s="529" t="s">
        <v>641</v>
      </c>
      <c r="C204" s="523" t="s">
        <v>658</v>
      </c>
      <c r="D204" s="426" t="s">
        <v>625</v>
      </c>
      <c r="E204" s="426" t="s">
        <v>186</v>
      </c>
      <c r="F204" s="426"/>
      <c r="G204" s="440"/>
      <c r="H204" s="441"/>
      <c r="I204" s="428">
        <v>1</v>
      </c>
      <c r="J204" s="530">
        <f t="shared" ref="J204:J267" si="4">G204*I204</f>
        <v>0</v>
      </c>
      <c r="K204" s="289"/>
      <c r="L204" s="540"/>
      <c r="M204" s="530"/>
      <c r="N204" s="564"/>
    </row>
    <row r="205" spans="1:14" ht="14.25" customHeight="1" x14ac:dyDescent="0.25">
      <c r="A205" s="563"/>
      <c r="B205" s="529" t="s">
        <v>641</v>
      </c>
      <c r="C205" s="523" t="s">
        <v>658</v>
      </c>
      <c r="D205" s="426" t="s">
        <v>626</v>
      </c>
      <c r="E205" s="426" t="s">
        <v>686</v>
      </c>
      <c r="F205" s="426"/>
      <c r="G205" s="440"/>
      <c r="H205" s="441"/>
      <c r="I205" s="428">
        <v>1</v>
      </c>
      <c r="J205" s="530">
        <f t="shared" si="4"/>
        <v>0</v>
      </c>
      <c r="K205" s="289"/>
      <c r="L205" s="540"/>
      <c r="M205" s="530"/>
      <c r="N205" s="564"/>
    </row>
    <row r="206" spans="1:14" ht="14.25" customHeight="1" x14ac:dyDescent="0.25">
      <c r="A206" s="563"/>
      <c r="B206" s="529" t="s">
        <v>641</v>
      </c>
      <c r="C206" s="523" t="s">
        <v>658</v>
      </c>
      <c r="D206" s="426" t="s">
        <v>627</v>
      </c>
      <c r="E206" s="426" t="s">
        <v>186</v>
      </c>
      <c r="F206" s="426"/>
      <c r="G206" s="440"/>
      <c r="H206" s="441"/>
      <c r="I206" s="428">
        <v>1</v>
      </c>
      <c r="J206" s="530">
        <f t="shared" si="4"/>
        <v>0</v>
      </c>
      <c r="K206" s="289"/>
      <c r="L206" s="540"/>
      <c r="M206" s="530"/>
      <c r="N206" s="564"/>
    </row>
    <row r="207" spans="1:14" ht="14.25" customHeight="1" x14ac:dyDescent="0.25">
      <c r="A207" s="563"/>
      <c r="B207" s="529" t="s">
        <v>641</v>
      </c>
      <c r="C207" s="523" t="s">
        <v>635</v>
      </c>
      <c r="D207" s="426" t="s">
        <v>637</v>
      </c>
      <c r="E207" s="426" t="s">
        <v>197</v>
      </c>
      <c r="F207" s="426"/>
      <c r="G207" s="440"/>
      <c r="H207" s="441"/>
      <c r="I207" s="428">
        <v>1</v>
      </c>
      <c r="J207" s="530">
        <f t="shared" si="4"/>
        <v>0</v>
      </c>
      <c r="K207" s="289"/>
      <c r="L207" s="540"/>
      <c r="M207" s="530"/>
      <c r="N207" s="564"/>
    </row>
    <row r="208" spans="1:14" ht="14.25" customHeight="1" x14ac:dyDescent="0.25">
      <c r="A208" s="563"/>
      <c r="B208" s="529" t="s">
        <v>641</v>
      </c>
      <c r="C208" s="523" t="s">
        <v>635</v>
      </c>
      <c r="D208" s="426" t="s">
        <v>646</v>
      </c>
      <c r="E208" s="426" t="s">
        <v>186</v>
      </c>
      <c r="F208" s="426"/>
      <c r="G208" s="440"/>
      <c r="H208" s="441"/>
      <c r="I208" s="428">
        <v>1</v>
      </c>
      <c r="J208" s="530">
        <f t="shared" si="4"/>
        <v>0</v>
      </c>
      <c r="K208" s="289"/>
      <c r="L208" s="540"/>
      <c r="M208" s="530"/>
      <c r="N208" s="564"/>
    </row>
    <row r="209" spans="1:14" ht="14.25" customHeight="1" x14ac:dyDescent="0.25">
      <c r="A209" s="563"/>
      <c r="B209" s="529" t="s">
        <v>641</v>
      </c>
      <c r="C209" s="523" t="s">
        <v>635</v>
      </c>
      <c r="D209" s="426" t="s">
        <v>647</v>
      </c>
      <c r="E209" s="426" t="s">
        <v>186</v>
      </c>
      <c r="F209" s="426"/>
      <c r="G209" s="440"/>
      <c r="H209" s="441"/>
      <c r="I209" s="428">
        <v>1</v>
      </c>
      <c r="J209" s="530">
        <f t="shared" si="4"/>
        <v>0</v>
      </c>
      <c r="K209" s="289"/>
      <c r="L209" s="540"/>
      <c r="M209" s="530"/>
      <c r="N209" s="564"/>
    </row>
    <row r="210" spans="1:14" ht="14.25" customHeight="1" x14ac:dyDescent="0.25">
      <c r="A210" s="563"/>
      <c r="B210" s="529" t="s">
        <v>641</v>
      </c>
      <c r="C210" s="523" t="s">
        <v>635</v>
      </c>
      <c r="D210" s="426" t="s">
        <v>648</v>
      </c>
      <c r="E210" s="426" t="s">
        <v>186</v>
      </c>
      <c r="F210" s="426"/>
      <c r="G210" s="440"/>
      <c r="H210" s="441"/>
      <c r="I210" s="428">
        <v>1</v>
      </c>
      <c r="J210" s="530">
        <f t="shared" si="4"/>
        <v>0</v>
      </c>
      <c r="K210" s="289"/>
      <c r="L210" s="540"/>
      <c r="M210" s="530"/>
      <c r="N210" s="564"/>
    </row>
    <row r="211" spans="1:14" ht="14.25" customHeight="1" x14ac:dyDescent="0.25">
      <c r="A211" s="563"/>
      <c r="B211" s="529" t="s">
        <v>641</v>
      </c>
      <c r="C211" s="523" t="s">
        <v>635</v>
      </c>
      <c r="D211" s="426" t="s">
        <v>649</v>
      </c>
      <c r="E211" s="426" t="s">
        <v>186</v>
      </c>
      <c r="F211" s="426"/>
      <c r="G211" s="440"/>
      <c r="H211" s="441"/>
      <c r="I211" s="428">
        <v>1</v>
      </c>
      <c r="J211" s="530">
        <f t="shared" si="4"/>
        <v>0</v>
      </c>
      <c r="K211" s="289"/>
      <c r="L211" s="540"/>
      <c r="M211" s="530"/>
      <c r="N211" s="564"/>
    </row>
    <row r="212" spans="1:14" ht="14.25" customHeight="1" x14ac:dyDescent="0.25">
      <c r="A212" s="563"/>
      <c r="B212" s="529" t="s">
        <v>641</v>
      </c>
      <c r="C212" s="523" t="s">
        <v>635</v>
      </c>
      <c r="D212" s="426" t="s">
        <v>650</v>
      </c>
      <c r="E212" s="426" t="s">
        <v>189</v>
      </c>
      <c r="F212" s="426"/>
      <c r="G212" s="440"/>
      <c r="H212" s="441"/>
      <c r="I212" s="428">
        <v>1</v>
      </c>
      <c r="J212" s="530">
        <f t="shared" si="4"/>
        <v>0</v>
      </c>
      <c r="K212" s="289"/>
      <c r="L212" s="540"/>
      <c r="M212" s="530"/>
      <c r="N212" s="564"/>
    </row>
    <row r="213" spans="1:14" ht="14.25" customHeight="1" x14ac:dyDescent="0.25">
      <c r="A213" s="563"/>
      <c r="B213" s="529" t="s">
        <v>641</v>
      </c>
      <c r="C213" s="523" t="s">
        <v>635</v>
      </c>
      <c r="D213" s="426" t="s">
        <v>652</v>
      </c>
      <c r="E213" s="426" t="s">
        <v>186</v>
      </c>
      <c r="F213" s="426"/>
      <c r="G213" s="440"/>
      <c r="H213" s="441"/>
      <c r="I213" s="428">
        <v>1</v>
      </c>
      <c r="J213" s="530">
        <f t="shared" si="4"/>
        <v>0</v>
      </c>
      <c r="K213" s="289"/>
      <c r="L213" s="540"/>
      <c r="M213" s="530"/>
      <c r="N213" s="564"/>
    </row>
    <row r="214" spans="1:14" ht="14.25" customHeight="1" x14ac:dyDescent="0.25">
      <c r="A214" s="563"/>
      <c r="B214" s="529" t="s">
        <v>641</v>
      </c>
      <c r="C214" s="523" t="s">
        <v>657</v>
      </c>
      <c r="D214" s="426" t="s">
        <v>614</v>
      </c>
      <c r="E214" s="426" t="s">
        <v>186</v>
      </c>
      <c r="F214" s="426"/>
      <c r="G214" s="440"/>
      <c r="H214" s="441"/>
      <c r="I214" s="428">
        <v>1</v>
      </c>
      <c r="J214" s="530">
        <f t="shared" si="4"/>
        <v>0</v>
      </c>
      <c r="K214" s="289"/>
      <c r="L214" s="540"/>
      <c r="M214" s="530"/>
      <c r="N214" s="564"/>
    </row>
    <row r="215" spans="1:14" ht="14.25" customHeight="1" x14ac:dyDescent="0.25">
      <c r="A215" s="563"/>
      <c r="B215" s="529" t="s">
        <v>641</v>
      </c>
      <c r="C215" s="523" t="s">
        <v>657</v>
      </c>
      <c r="D215" s="426" t="s">
        <v>615</v>
      </c>
      <c r="E215" s="426" t="s">
        <v>186</v>
      </c>
      <c r="F215" s="426"/>
      <c r="G215" s="440"/>
      <c r="H215" s="441"/>
      <c r="I215" s="428">
        <v>1</v>
      </c>
      <c r="J215" s="530">
        <f t="shared" si="4"/>
        <v>0</v>
      </c>
      <c r="K215" s="289"/>
      <c r="L215" s="540"/>
      <c r="M215" s="530"/>
      <c r="N215" s="564"/>
    </row>
    <row r="216" spans="1:14" ht="14.25" customHeight="1" x14ac:dyDescent="0.25">
      <c r="A216" s="563"/>
      <c r="B216" s="529" t="s">
        <v>641</v>
      </c>
      <c r="C216" s="523" t="s">
        <v>657</v>
      </c>
      <c r="D216" s="426" t="s">
        <v>616</v>
      </c>
      <c r="E216" s="426" t="s">
        <v>186</v>
      </c>
      <c r="F216" s="426"/>
      <c r="G216" s="440"/>
      <c r="H216" s="441"/>
      <c r="I216" s="428">
        <v>1</v>
      </c>
      <c r="J216" s="530">
        <f t="shared" si="4"/>
        <v>0</v>
      </c>
      <c r="K216" s="289"/>
      <c r="L216" s="540"/>
      <c r="M216" s="530"/>
      <c r="N216" s="564"/>
    </row>
    <row r="217" spans="1:14" ht="14.25" customHeight="1" x14ac:dyDescent="0.25">
      <c r="A217" s="563"/>
      <c r="B217" s="529" t="s">
        <v>641</v>
      </c>
      <c r="C217" s="523" t="s">
        <v>657</v>
      </c>
      <c r="D217" s="426" t="s">
        <v>618</v>
      </c>
      <c r="E217" s="426" t="s">
        <v>693</v>
      </c>
      <c r="F217" s="426"/>
      <c r="G217" s="440"/>
      <c r="H217" s="441"/>
      <c r="I217" s="428">
        <v>1</v>
      </c>
      <c r="J217" s="530">
        <f t="shared" si="4"/>
        <v>0</v>
      </c>
      <c r="K217" s="289"/>
      <c r="L217" s="540"/>
      <c r="M217" s="530"/>
      <c r="N217" s="564"/>
    </row>
    <row r="218" spans="1:14" ht="14.25" customHeight="1" x14ac:dyDescent="0.25">
      <c r="A218" s="563"/>
      <c r="B218" s="529" t="s">
        <v>641</v>
      </c>
      <c r="C218" s="523" t="s">
        <v>657</v>
      </c>
      <c r="D218" s="426" t="s">
        <v>689</v>
      </c>
      <c r="E218" s="426" t="s">
        <v>694</v>
      </c>
      <c r="F218" s="426">
        <v>14.39</v>
      </c>
      <c r="G218" s="440">
        <v>1.2</v>
      </c>
      <c r="H218" s="441" t="s">
        <v>701</v>
      </c>
      <c r="I218" s="428">
        <v>1</v>
      </c>
      <c r="J218" s="530">
        <f>F218*G218</f>
        <v>17.268000000000001</v>
      </c>
      <c r="K218" s="289"/>
      <c r="L218" s="540"/>
      <c r="M218" s="530"/>
      <c r="N218" s="564"/>
    </row>
    <row r="219" spans="1:14" ht="14.25" customHeight="1" x14ac:dyDescent="0.25">
      <c r="A219" s="563"/>
      <c r="B219" s="529" t="s">
        <v>641</v>
      </c>
      <c r="C219" s="523" t="s">
        <v>657</v>
      </c>
      <c r="D219" s="426" t="s">
        <v>619</v>
      </c>
      <c r="E219" s="426" t="s">
        <v>186</v>
      </c>
      <c r="F219" s="426"/>
      <c r="G219" s="440"/>
      <c r="H219" s="441"/>
      <c r="I219" s="428">
        <v>1</v>
      </c>
      <c r="J219" s="530">
        <f t="shared" si="4"/>
        <v>0</v>
      </c>
      <c r="K219" s="289"/>
      <c r="L219" s="540"/>
      <c r="M219" s="530"/>
      <c r="N219" s="564"/>
    </row>
    <row r="220" spans="1:14" ht="14.25" customHeight="1" x14ac:dyDescent="0.25">
      <c r="A220" s="563"/>
      <c r="B220" s="529" t="s">
        <v>641</v>
      </c>
      <c r="C220" s="523" t="s">
        <v>657</v>
      </c>
      <c r="D220" s="426" t="s">
        <v>620</v>
      </c>
      <c r="E220" s="426" t="s">
        <v>186</v>
      </c>
      <c r="F220" s="426"/>
      <c r="G220" s="440"/>
      <c r="H220" s="441"/>
      <c r="I220" s="428">
        <v>1</v>
      </c>
      <c r="J220" s="530">
        <f t="shared" si="4"/>
        <v>0</v>
      </c>
      <c r="K220" s="289"/>
      <c r="L220" s="540"/>
      <c r="M220" s="530"/>
      <c r="N220" s="564"/>
    </row>
    <row r="221" spans="1:14" ht="14.25" customHeight="1" x14ac:dyDescent="0.25">
      <c r="A221" s="563"/>
      <c r="B221" s="529" t="s">
        <v>641</v>
      </c>
      <c r="C221" s="523" t="s">
        <v>657</v>
      </c>
      <c r="D221" s="426" t="s">
        <v>621</v>
      </c>
      <c r="E221" s="426" t="s">
        <v>186</v>
      </c>
      <c r="F221" s="426"/>
      <c r="G221" s="440"/>
      <c r="H221" s="441"/>
      <c r="I221" s="428">
        <v>1</v>
      </c>
      <c r="J221" s="530">
        <f t="shared" si="4"/>
        <v>0</v>
      </c>
      <c r="K221" s="289"/>
      <c r="L221" s="540"/>
      <c r="M221" s="530"/>
      <c r="N221" s="564"/>
    </row>
    <row r="222" spans="1:14" ht="14.25" customHeight="1" x14ac:dyDescent="0.25">
      <c r="A222" s="563"/>
      <c r="B222" s="529" t="s">
        <v>641</v>
      </c>
      <c r="C222" s="523" t="s">
        <v>657</v>
      </c>
      <c r="D222" s="426" t="s">
        <v>617</v>
      </c>
      <c r="E222" s="426" t="s">
        <v>186</v>
      </c>
      <c r="F222" s="426"/>
      <c r="G222" s="440"/>
      <c r="H222" s="441"/>
      <c r="I222" s="428">
        <v>1</v>
      </c>
      <c r="J222" s="530">
        <f t="shared" si="4"/>
        <v>0</v>
      </c>
      <c r="K222" s="289"/>
      <c r="L222" s="540"/>
      <c r="M222" s="530"/>
      <c r="N222" s="564"/>
    </row>
    <row r="223" spans="1:14" ht="14.25" customHeight="1" x14ac:dyDescent="0.25">
      <c r="A223" s="563"/>
      <c r="B223" s="529" t="s">
        <v>641</v>
      </c>
      <c r="C223" s="523" t="s">
        <v>657</v>
      </c>
      <c r="D223" s="426" t="s">
        <v>622</v>
      </c>
      <c r="E223" s="426" t="s">
        <v>686</v>
      </c>
      <c r="F223" s="426"/>
      <c r="G223" s="440"/>
      <c r="H223" s="441"/>
      <c r="I223" s="428">
        <v>1</v>
      </c>
      <c r="J223" s="530">
        <f t="shared" si="4"/>
        <v>0</v>
      </c>
      <c r="K223" s="289"/>
      <c r="L223" s="540"/>
      <c r="M223" s="530"/>
      <c r="N223" s="564"/>
    </row>
    <row r="224" spans="1:14" ht="14.25" customHeight="1" x14ac:dyDescent="0.25">
      <c r="A224" s="563"/>
      <c r="B224" s="529" t="s">
        <v>641</v>
      </c>
      <c r="C224" s="523" t="s">
        <v>657</v>
      </c>
      <c r="D224" s="426" t="s">
        <v>623</v>
      </c>
      <c r="E224" s="426" t="s">
        <v>186</v>
      </c>
      <c r="F224" s="426"/>
      <c r="G224" s="440"/>
      <c r="H224" s="441"/>
      <c r="I224" s="428">
        <v>1</v>
      </c>
      <c r="J224" s="530">
        <f t="shared" si="4"/>
        <v>0</v>
      </c>
      <c r="K224" s="289"/>
      <c r="L224" s="540"/>
      <c r="M224" s="530"/>
      <c r="N224" s="564"/>
    </row>
    <row r="225" spans="1:14" ht="14.25" customHeight="1" x14ac:dyDescent="0.25">
      <c r="A225" s="563"/>
      <c r="B225" s="529" t="s">
        <v>641</v>
      </c>
      <c r="C225" s="523" t="s">
        <v>657</v>
      </c>
      <c r="D225" s="426" t="s">
        <v>630</v>
      </c>
      <c r="E225" s="426" t="s">
        <v>686</v>
      </c>
      <c r="F225" s="426"/>
      <c r="G225" s="440"/>
      <c r="H225" s="441"/>
      <c r="I225" s="428">
        <v>1</v>
      </c>
      <c r="J225" s="530">
        <f t="shared" si="4"/>
        <v>0</v>
      </c>
      <c r="K225" s="289"/>
      <c r="L225" s="540"/>
      <c r="M225" s="530"/>
      <c r="N225" s="564"/>
    </row>
    <row r="226" spans="1:14" ht="14.25" customHeight="1" x14ac:dyDescent="0.25">
      <c r="A226" s="563"/>
      <c r="B226" s="529" t="s">
        <v>641</v>
      </c>
      <c r="C226" s="523" t="s">
        <v>657</v>
      </c>
      <c r="D226" s="426" t="s">
        <v>631</v>
      </c>
      <c r="E226" s="426" t="s">
        <v>186</v>
      </c>
      <c r="F226" s="426"/>
      <c r="G226" s="440"/>
      <c r="H226" s="441"/>
      <c r="I226" s="428">
        <v>1</v>
      </c>
      <c r="J226" s="530">
        <f t="shared" si="4"/>
        <v>0</v>
      </c>
      <c r="K226" s="289"/>
      <c r="L226" s="540"/>
      <c r="M226" s="530"/>
      <c r="N226" s="564"/>
    </row>
    <row r="227" spans="1:14" ht="14.25" customHeight="1" x14ac:dyDescent="0.25">
      <c r="A227" s="563"/>
      <c r="B227" s="529" t="s">
        <v>641</v>
      </c>
      <c r="C227" s="523" t="s">
        <v>657</v>
      </c>
      <c r="D227" s="426" t="s">
        <v>624</v>
      </c>
      <c r="E227" s="426" t="s">
        <v>686</v>
      </c>
      <c r="F227" s="426"/>
      <c r="G227" s="440"/>
      <c r="H227" s="441"/>
      <c r="I227" s="428">
        <v>1</v>
      </c>
      <c r="J227" s="530">
        <f t="shared" si="4"/>
        <v>0</v>
      </c>
      <c r="K227" s="289"/>
      <c r="L227" s="540"/>
      <c r="M227" s="530"/>
      <c r="N227" s="564"/>
    </row>
    <row r="228" spans="1:14" ht="14.25" customHeight="1" x14ac:dyDescent="0.25">
      <c r="A228" s="563"/>
      <c r="B228" s="529" t="s">
        <v>641</v>
      </c>
      <c r="C228" s="523" t="s">
        <v>657</v>
      </c>
      <c r="D228" s="426" t="s">
        <v>625</v>
      </c>
      <c r="E228" s="426" t="s">
        <v>186</v>
      </c>
      <c r="F228" s="426"/>
      <c r="G228" s="440"/>
      <c r="H228" s="441"/>
      <c r="I228" s="428">
        <v>1</v>
      </c>
      <c r="J228" s="530">
        <f t="shared" si="4"/>
        <v>0</v>
      </c>
      <c r="K228" s="289"/>
      <c r="L228" s="540"/>
      <c r="M228" s="530"/>
      <c r="N228" s="564"/>
    </row>
    <row r="229" spans="1:14" ht="14.25" customHeight="1" x14ac:dyDescent="0.25">
      <c r="A229" s="563"/>
      <c r="B229" s="529" t="s">
        <v>641</v>
      </c>
      <c r="C229" s="523" t="s">
        <v>657</v>
      </c>
      <c r="D229" s="426" t="s">
        <v>626</v>
      </c>
      <c r="E229" s="426" t="s">
        <v>686</v>
      </c>
      <c r="F229" s="426"/>
      <c r="G229" s="440"/>
      <c r="H229" s="441"/>
      <c r="I229" s="428">
        <v>1</v>
      </c>
      <c r="J229" s="530">
        <f t="shared" si="4"/>
        <v>0</v>
      </c>
      <c r="K229" s="289"/>
      <c r="L229" s="540"/>
      <c r="M229" s="530"/>
      <c r="N229" s="564"/>
    </row>
    <row r="230" spans="1:14" ht="14.25" customHeight="1" x14ac:dyDescent="0.25">
      <c r="A230" s="563"/>
      <c r="B230" s="529" t="s">
        <v>641</v>
      </c>
      <c r="C230" s="523" t="s">
        <v>657</v>
      </c>
      <c r="D230" s="426" t="s">
        <v>627</v>
      </c>
      <c r="E230" s="426" t="s">
        <v>186</v>
      </c>
      <c r="F230" s="426"/>
      <c r="G230" s="440"/>
      <c r="H230" s="441"/>
      <c r="I230" s="428">
        <v>1</v>
      </c>
      <c r="J230" s="530">
        <f t="shared" si="4"/>
        <v>0</v>
      </c>
      <c r="K230" s="289"/>
      <c r="L230" s="540"/>
      <c r="M230" s="530"/>
      <c r="N230" s="564"/>
    </row>
    <row r="231" spans="1:14" ht="14.25" customHeight="1" x14ac:dyDescent="0.25">
      <c r="A231" s="563"/>
      <c r="B231" s="529" t="s">
        <v>641</v>
      </c>
      <c r="C231" s="523" t="s">
        <v>656</v>
      </c>
      <c r="D231" s="426" t="s">
        <v>614</v>
      </c>
      <c r="E231" s="426" t="s">
        <v>186</v>
      </c>
      <c r="F231" s="426"/>
      <c r="G231" s="440"/>
      <c r="H231" s="441"/>
      <c r="I231" s="428">
        <v>1</v>
      </c>
      <c r="J231" s="530">
        <f t="shared" si="4"/>
        <v>0</v>
      </c>
      <c r="K231" s="289"/>
      <c r="L231" s="540"/>
      <c r="M231" s="530"/>
      <c r="N231" s="564"/>
    </row>
    <row r="232" spans="1:14" ht="14.25" customHeight="1" x14ac:dyDescent="0.25">
      <c r="A232" s="563"/>
      <c r="B232" s="529" t="s">
        <v>641</v>
      </c>
      <c r="C232" s="523" t="s">
        <v>656</v>
      </c>
      <c r="D232" s="426" t="s">
        <v>615</v>
      </c>
      <c r="E232" s="426" t="s">
        <v>186</v>
      </c>
      <c r="F232" s="426"/>
      <c r="G232" s="440"/>
      <c r="H232" s="441"/>
      <c r="I232" s="428">
        <v>1</v>
      </c>
      <c r="J232" s="530">
        <f t="shared" si="4"/>
        <v>0</v>
      </c>
      <c r="K232" s="289"/>
      <c r="L232" s="540"/>
      <c r="M232" s="530"/>
      <c r="N232" s="564"/>
    </row>
    <row r="233" spans="1:14" ht="14.25" customHeight="1" x14ac:dyDescent="0.25">
      <c r="A233" s="563"/>
      <c r="B233" s="529" t="s">
        <v>641</v>
      </c>
      <c r="C233" s="523" t="s">
        <v>656</v>
      </c>
      <c r="D233" s="426" t="s">
        <v>616</v>
      </c>
      <c r="E233" s="426" t="s">
        <v>186</v>
      </c>
      <c r="F233" s="426"/>
      <c r="G233" s="440"/>
      <c r="H233" s="441"/>
      <c r="I233" s="428">
        <v>1</v>
      </c>
      <c r="J233" s="530">
        <f t="shared" si="4"/>
        <v>0</v>
      </c>
      <c r="K233" s="289"/>
      <c r="L233" s="540"/>
      <c r="M233" s="530"/>
      <c r="N233" s="564"/>
    </row>
    <row r="234" spans="1:14" ht="14.25" customHeight="1" x14ac:dyDescent="0.25">
      <c r="A234" s="563"/>
      <c r="B234" s="529" t="s">
        <v>641</v>
      </c>
      <c r="C234" s="523" t="s">
        <v>656</v>
      </c>
      <c r="D234" s="426" t="s">
        <v>618</v>
      </c>
      <c r="E234" s="426" t="s">
        <v>693</v>
      </c>
      <c r="F234" s="426"/>
      <c r="G234" s="440"/>
      <c r="H234" s="441"/>
      <c r="I234" s="428">
        <v>1</v>
      </c>
      <c r="J234" s="530">
        <f t="shared" si="4"/>
        <v>0</v>
      </c>
      <c r="K234" s="289"/>
      <c r="L234" s="540"/>
      <c r="M234" s="530"/>
      <c r="N234" s="564"/>
    </row>
    <row r="235" spans="1:14" ht="14.25" customHeight="1" x14ac:dyDescent="0.25">
      <c r="A235" s="563"/>
      <c r="B235" s="529" t="s">
        <v>641</v>
      </c>
      <c r="C235" s="523" t="s">
        <v>656</v>
      </c>
      <c r="D235" s="426" t="s">
        <v>689</v>
      </c>
      <c r="E235" s="426" t="s">
        <v>694</v>
      </c>
      <c r="F235" s="426">
        <v>14.39</v>
      </c>
      <c r="G235" s="440">
        <v>1.2</v>
      </c>
      <c r="H235" s="441" t="s">
        <v>701</v>
      </c>
      <c r="I235" s="428">
        <v>1</v>
      </c>
      <c r="J235" s="530">
        <f>F235*G235</f>
        <v>17.268000000000001</v>
      </c>
      <c r="K235" s="289"/>
      <c r="L235" s="540"/>
      <c r="M235" s="530"/>
      <c r="N235" s="564"/>
    </row>
    <row r="236" spans="1:14" ht="14.25" customHeight="1" x14ac:dyDescent="0.25">
      <c r="A236" s="563"/>
      <c r="B236" s="529" t="s">
        <v>641</v>
      </c>
      <c r="C236" s="523" t="s">
        <v>656</v>
      </c>
      <c r="D236" s="426" t="s">
        <v>619</v>
      </c>
      <c r="E236" s="426" t="s">
        <v>186</v>
      </c>
      <c r="F236" s="426"/>
      <c r="G236" s="440"/>
      <c r="H236" s="441"/>
      <c r="I236" s="428">
        <v>1</v>
      </c>
      <c r="J236" s="530">
        <f t="shared" si="4"/>
        <v>0</v>
      </c>
      <c r="K236" s="289"/>
      <c r="L236" s="540"/>
      <c r="M236" s="530"/>
      <c r="N236" s="564"/>
    </row>
    <row r="237" spans="1:14" ht="14.25" customHeight="1" x14ac:dyDescent="0.25">
      <c r="A237" s="563"/>
      <c r="B237" s="529" t="s">
        <v>641</v>
      </c>
      <c r="C237" s="523" t="s">
        <v>656</v>
      </c>
      <c r="D237" s="426" t="s">
        <v>620</v>
      </c>
      <c r="E237" s="426" t="s">
        <v>186</v>
      </c>
      <c r="F237" s="426"/>
      <c r="G237" s="440"/>
      <c r="H237" s="441"/>
      <c r="I237" s="428">
        <v>1</v>
      </c>
      <c r="J237" s="530">
        <f t="shared" si="4"/>
        <v>0</v>
      </c>
      <c r="K237" s="289"/>
      <c r="L237" s="540"/>
      <c r="M237" s="530"/>
      <c r="N237" s="564"/>
    </row>
    <row r="238" spans="1:14" ht="14.25" customHeight="1" x14ac:dyDescent="0.25">
      <c r="A238" s="563"/>
      <c r="B238" s="529" t="s">
        <v>641</v>
      </c>
      <c r="C238" s="523" t="s">
        <v>656</v>
      </c>
      <c r="D238" s="426" t="s">
        <v>621</v>
      </c>
      <c r="E238" s="426" t="s">
        <v>186</v>
      </c>
      <c r="F238" s="426"/>
      <c r="G238" s="440"/>
      <c r="H238" s="441"/>
      <c r="I238" s="428">
        <v>1</v>
      </c>
      <c r="J238" s="530">
        <f t="shared" si="4"/>
        <v>0</v>
      </c>
      <c r="K238" s="289"/>
      <c r="L238" s="540"/>
      <c r="M238" s="530"/>
      <c r="N238" s="564"/>
    </row>
    <row r="239" spans="1:14" ht="14.25" customHeight="1" x14ac:dyDescent="0.25">
      <c r="A239" s="563"/>
      <c r="B239" s="529" t="s">
        <v>641</v>
      </c>
      <c r="C239" s="523" t="s">
        <v>656</v>
      </c>
      <c r="D239" s="426" t="s">
        <v>617</v>
      </c>
      <c r="E239" s="426" t="s">
        <v>186</v>
      </c>
      <c r="F239" s="426"/>
      <c r="G239" s="440"/>
      <c r="H239" s="441"/>
      <c r="I239" s="428">
        <v>1</v>
      </c>
      <c r="J239" s="530">
        <f t="shared" si="4"/>
        <v>0</v>
      </c>
      <c r="K239" s="289"/>
      <c r="L239" s="540"/>
      <c r="M239" s="530"/>
      <c r="N239" s="564"/>
    </row>
    <row r="240" spans="1:14" ht="14.25" customHeight="1" x14ac:dyDescent="0.25">
      <c r="A240" s="563"/>
      <c r="B240" s="529" t="s">
        <v>641</v>
      </c>
      <c r="C240" s="523" t="s">
        <v>656</v>
      </c>
      <c r="D240" s="426" t="s">
        <v>622</v>
      </c>
      <c r="E240" s="426" t="s">
        <v>686</v>
      </c>
      <c r="F240" s="426"/>
      <c r="G240" s="440"/>
      <c r="H240" s="441"/>
      <c r="I240" s="428">
        <v>1</v>
      </c>
      <c r="J240" s="530">
        <f t="shared" si="4"/>
        <v>0</v>
      </c>
      <c r="K240" s="289"/>
      <c r="L240" s="540"/>
      <c r="M240" s="530"/>
      <c r="N240" s="564"/>
    </row>
    <row r="241" spans="1:14" ht="14.25" customHeight="1" x14ac:dyDescent="0.25">
      <c r="A241" s="563"/>
      <c r="B241" s="529" t="s">
        <v>641</v>
      </c>
      <c r="C241" s="523" t="s">
        <v>656</v>
      </c>
      <c r="D241" s="426" t="s">
        <v>623</v>
      </c>
      <c r="E241" s="426" t="s">
        <v>186</v>
      </c>
      <c r="F241" s="426"/>
      <c r="G241" s="440"/>
      <c r="H241" s="441"/>
      <c r="I241" s="428">
        <v>1</v>
      </c>
      <c r="J241" s="530">
        <f t="shared" si="4"/>
        <v>0</v>
      </c>
      <c r="K241" s="289"/>
      <c r="L241" s="540"/>
      <c r="M241" s="530"/>
      <c r="N241" s="564"/>
    </row>
    <row r="242" spans="1:14" ht="14.25" customHeight="1" x14ac:dyDescent="0.25">
      <c r="A242" s="563"/>
      <c r="B242" s="529" t="s">
        <v>641</v>
      </c>
      <c r="C242" s="523" t="s">
        <v>656</v>
      </c>
      <c r="D242" s="426" t="s">
        <v>624</v>
      </c>
      <c r="E242" s="426" t="s">
        <v>686</v>
      </c>
      <c r="F242" s="426"/>
      <c r="G242" s="440"/>
      <c r="H242" s="441"/>
      <c r="I242" s="428">
        <v>1</v>
      </c>
      <c r="J242" s="530">
        <f t="shared" si="4"/>
        <v>0</v>
      </c>
      <c r="K242" s="289"/>
      <c r="L242" s="540"/>
      <c r="M242" s="530"/>
      <c r="N242" s="564"/>
    </row>
    <row r="243" spans="1:14" ht="14.25" customHeight="1" x14ac:dyDescent="0.25">
      <c r="A243" s="563"/>
      <c r="B243" s="529" t="s">
        <v>641</v>
      </c>
      <c r="C243" s="523" t="s">
        <v>656</v>
      </c>
      <c r="D243" s="426" t="s">
        <v>625</v>
      </c>
      <c r="E243" s="426" t="s">
        <v>186</v>
      </c>
      <c r="F243" s="426"/>
      <c r="G243" s="440"/>
      <c r="H243" s="441"/>
      <c r="I243" s="428">
        <v>1</v>
      </c>
      <c r="J243" s="530">
        <f t="shared" si="4"/>
        <v>0</v>
      </c>
      <c r="K243" s="289"/>
      <c r="L243" s="540"/>
      <c r="M243" s="530"/>
      <c r="N243" s="564"/>
    </row>
    <row r="244" spans="1:14" ht="14.25" customHeight="1" x14ac:dyDescent="0.25">
      <c r="A244" s="563"/>
      <c r="B244" s="529" t="s">
        <v>641</v>
      </c>
      <c r="C244" s="523" t="s">
        <v>656</v>
      </c>
      <c r="D244" s="426" t="s">
        <v>626</v>
      </c>
      <c r="E244" s="426" t="s">
        <v>686</v>
      </c>
      <c r="F244" s="426"/>
      <c r="G244" s="440"/>
      <c r="H244" s="441"/>
      <c r="I244" s="428">
        <v>1</v>
      </c>
      <c r="J244" s="530">
        <f t="shared" si="4"/>
        <v>0</v>
      </c>
      <c r="K244" s="289"/>
      <c r="L244" s="540"/>
      <c r="M244" s="530"/>
      <c r="N244" s="564"/>
    </row>
    <row r="245" spans="1:14" ht="14.25" customHeight="1" x14ac:dyDescent="0.25">
      <c r="A245" s="563"/>
      <c r="B245" s="529" t="s">
        <v>641</v>
      </c>
      <c r="C245" s="523" t="s">
        <v>656</v>
      </c>
      <c r="D245" s="426" t="s">
        <v>627</v>
      </c>
      <c r="E245" s="426" t="s">
        <v>186</v>
      </c>
      <c r="F245" s="426"/>
      <c r="G245" s="440"/>
      <c r="H245" s="441"/>
      <c r="I245" s="428">
        <v>1</v>
      </c>
      <c r="J245" s="530">
        <f t="shared" si="4"/>
        <v>0</v>
      </c>
      <c r="K245" s="289"/>
      <c r="L245" s="540"/>
      <c r="M245" s="530"/>
      <c r="N245" s="564"/>
    </row>
    <row r="246" spans="1:14" ht="14.25" customHeight="1" x14ac:dyDescent="0.25">
      <c r="A246" s="563"/>
      <c r="B246" s="529" t="s">
        <v>641</v>
      </c>
      <c r="C246" s="523" t="s">
        <v>659</v>
      </c>
      <c r="D246" s="426" t="s">
        <v>614</v>
      </c>
      <c r="E246" s="426" t="s">
        <v>186</v>
      </c>
      <c r="F246" s="426"/>
      <c r="G246" s="440"/>
      <c r="H246" s="441"/>
      <c r="I246" s="428">
        <v>1</v>
      </c>
      <c r="J246" s="530">
        <f t="shared" si="4"/>
        <v>0</v>
      </c>
      <c r="K246" s="289"/>
      <c r="L246" s="540"/>
      <c r="M246" s="530"/>
      <c r="N246" s="564"/>
    </row>
    <row r="247" spans="1:14" ht="14.25" customHeight="1" x14ac:dyDescent="0.25">
      <c r="A247" s="563"/>
      <c r="B247" s="529" t="s">
        <v>641</v>
      </c>
      <c r="C247" s="523" t="s">
        <v>659</v>
      </c>
      <c r="D247" s="426" t="s">
        <v>615</v>
      </c>
      <c r="E247" s="426" t="s">
        <v>186</v>
      </c>
      <c r="F247" s="426"/>
      <c r="G247" s="440"/>
      <c r="H247" s="441"/>
      <c r="I247" s="428">
        <v>1</v>
      </c>
      <c r="J247" s="530">
        <f t="shared" si="4"/>
        <v>0</v>
      </c>
      <c r="K247" s="289"/>
      <c r="L247" s="540"/>
      <c r="M247" s="530"/>
      <c r="N247" s="564"/>
    </row>
    <row r="248" spans="1:14" ht="14.25" customHeight="1" x14ac:dyDescent="0.25">
      <c r="A248" s="563"/>
      <c r="B248" s="529" t="s">
        <v>641</v>
      </c>
      <c r="C248" s="523" t="s">
        <v>659</v>
      </c>
      <c r="D248" s="426" t="s">
        <v>616</v>
      </c>
      <c r="E248" s="426" t="s">
        <v>186</v>
      </c>
      <c r="F248" s="426"/>
      <c r="G248" s="440"/>
      <c r="H248" s="441"/>
      <c r="I248" s="428">
        <v>1</v>
      </c>
      <c r="J248" s="530">
        <f t="shared" si="4"/>
        <v>0</v>
      </c>
      <c r="K248" s="289"/>
      <c r="L248" s="540"/>
      <c r="M248" s="530"/>
      <c r="N248" s="564"/>
    </row>
    <row r="249" spans="1:14" ht="14.25" customHeight="1" x14ac:dyDescent="0.25">
      <c r="A249" s="563"/>
      <c r="B249" s="529" t="s">
        <v>641</v>
      </c>
      <c r="C249" s="523" t="s">
        <v>659</v>
      </c>
      <c r="D249" s="426" t="s">
        <v>618</v>
      </c>
      <c r="E249" s="426" t="s">
        <v>693</v>
      </c>
      <c r="F249" s="426"/>
      <c r="G249" s="440"/>
      <c r="H249" s="441"/>
      <c r="I249" s="428">
        <v>1</v>
      </c>
      <c r="J249" s="530">
        <f t="shared" si="4"/>
        <v>0</v>
      </c>
      <c r="K249" s="289"/>
      <c r="L249" s="540"/>
      <c r="M249" s="530"/>
      <c r="N249" s="564"/>
    </row>
    <row r="250" spans="1:14" ht="14.25" customHeight="1" x14ac:dyDescent="0.25">
      <c r="A250" s="563"/>
      <c r="B250" s="529" t="s">
        <v>641</v>
      </c>
      <c r="C250" s="523" t="s">
        <v>659</v>
      </c>
      <c r="D250" s="426" t="s">
        <v>689</v>
      </c>
      <c r="E250" s="426" t="s">
        <v>694</v>
      </c>
      <c r="F250" s="426">
        <v>12.48</v>
      </c>
      <c r="G250" s="440">
        <v>1.2</v>
      </c>
      <c r="H250" s="441" t="s">
        <v>701</v>
      </c>
      <c r="I250" s="428">
        <v>1</v>
      </c>
      <c r="J250" s="530">
        <f>F250*G250</f>
        <v>14.975999999999999</v>
      </c>
      <c r="K250" s="289"/>
      <c r="L250" s="540"/>
      <c r="M250" s="530"/>
      <c r="N250" s="564"/>
    </row>
    <row r="251" spans="1:14" ht="14.25" customHeight="1" x14ac:dyDescent="0.25">
      <c r="A251" s="563"/>
      <c r="B251" s="529" t="s">
        <v>641</v>
      </c>
      <c r="C251" s="523" t="s">
        <v>659</v>
      </c>
      <c r="D251" s="426" t="s">
        <v>619</v>
      </c>
      <c r="E251" s="426" t="s">
        <v>186</v>
      </c>
      <c r="F251" s="426"/>
      <c r="G251" s="440"/>
      <c r="H251" s="441"/>
      <c r="I251" s="428">
        <v>1</v>
      </c>
      <c r="J251" s="530">
        <f t="shared" si="4"/>
        <v>0</v>
      </c>
      <c r="K251" s="289"/>
      <c r="L251" s="540"/>
      <c r="M251" s="530"/>
      <c r="N251" s="564"/>
    </row>
    <row r="252" spans="1:14" ht="14.25" customHeight="1" x14ac:dyDescent="0.25">
      <c r="A252" s="563"/>
      <c r="B252" s="529" t="s">
        <v>641</v>
      </c>
      <c r="C252" s="523" t="s">
        <v>659</v>
      </c>
      <c r="D252" s="426" t="s">
        <v>620</v>
      </c>
      <c r="E252" s="426" t="s">
        <v>186</v>
      </c>
      <c r="F252" s="426"/>
      <c r="G252" s="440"/>
      <c r="H252" s="441"/>
      <c r="I252" s="428">
        <v>1</v>
      </c>
      <c r="J252" s="530">
        <f t="shared" si="4"/>
        <v>0</v>
      </c>
      <c r="K252" s="289"/>
      <c r="L252" s="540"/>
      <c r="M252" s="530"/>
      <c r="N252" s="564"/>
    </row>
    <row r="253" spans="1:14" ht="14.25" customHeight="1" x14ac:dyDescent="0.25">
      <c r="A253" s="563"/>
      <c r="B253" s="529" t="s">
        <v>641</v>
      </c>
      <c r="C253" s="523" t="s">
        <v>659</v>
      </c>
      <c r="D253" s="426" t="s">
        <v>639</v>
      </c>
      <c r="E253" s="426" t="s">
        <v>186</v>
      </c>
      <c r="F253" s="426"/>
      <c r="G253" s="440"/>
      <c r="H253" s="441"/>
      <c r="I253" s="428">
        <v>1</v>
      </c>
      <c r="J253" s="530">
        <f t="shared" si="4"/>
        <v>0</v>
      </c>
      <c r="K253" s="289"/>
      <c r="L253" s="540"/>
      <c r="M253" s="530"/>
      <c r="N253" s="564"/>
    </row>
    <row r="254" spans="1:14" ht="14.25" customHeight="1" x14ac:dyDescent="0.25">
      <c r="A254" s="563"/>
      <c r="B254" s="529" t="s">
        <v>641</v>
      </c>
      <c r="C254" s="523" t="s">
        <v>659</v>
      </c>
      <c r="D254" s="426" t="s">
        <v>651</v>
      </c>
      <c r="E254" s="426" t="s">
        <v>686</v>
      </c>
      <c r="F254" s="426"/>
      <c r="G254" s="440"/>
      <c r="H254" s="441"/>
      <c r="I254" s="428">
        <v>1</v>
      </c>
      <c r="J254" s="530">
        <f t="shared" si="4"/>
        <v>0</v>
      </c>
      <c r="K254" s="289"/>
      <c r="L254" s="540"/>
      <c r="M254" s="530"/>
      <c r="N254" s="564"/>
    </row>
    <row r="255" spans="1:14" ht="14.25" customHeight="1" x14ac:dyDescent="0.25">
      <c r="A255" s="563"/>
      <c r="B255" s="529" t="s">
        <v>641</v>
      </c>
      <c r="C255" s="523" t="s">
        <v>659</v>
      </c>
      <c r="D255" s="426" t="s">
        <v>621</v>
      </c>
      <c r="E255" s="426" t="s">
        <v>186</v>
      </c>
      <c r="F255" s="426"/>
      <c r="G255" s="440"/>
      <c r="H255" s="441"/>
      <c r="I255" s="428">
        <v>1</v>
      </c>
      <c r="J255" s="530">
        <f t="shared" si="4"/>
        <v>0</v>
      </c>
      <c r="K255" s="289"/>
      <c r="L255" s="540"/>
      <c r="M255" s="530"/>
      <c r="N255" s="564"/>
    </row>
    <row r="256" spans="1:14" ht="14.25" customHeight="1" x14ac:dyDescent="0.25">
      <c r="A256" s="563"/>
      <c r="B256" s="529" t="s">
        <v>641</v>
      </c>
      <c r="C256" s="523" t="s">
        <v>659</v>
      </c>
      <c r="D256" s="426" t="s">
        <v>617</v>
      </c>
      <c r="E256" s="426" t="s">
        <v>186</v>
      </c>
      <c r="F256" s="426"/>
      <c r="G256" s="440"/>
      <c r="H256" s="441"/>
      <c r="I256" s="428">
        <v>1</v>
      </c>
      <c r="J256" s="530">
        <f t="shared" si="4"/>
        <v>0</v>
      </c>
      <c r="K256" s="289"/>
      <c r="L256" s="540"/>
      <c r="M256" s="530"/>
      <c r="N256" s="564"/>
    </row>
    <row r="257" spans="1:14" ht="14.25" customHeight="1" x14ac:dyDescent="0.25">
      <c r="A257" s="563"/>
      <c r="B257" s="529" t="s">
        <v>641</v>
      </c>
      <c r="C257" s="523" t="s">
        <v>659</v>
      </c>
      <c r="D257" s="426" t="s">
        <v>622</v>
      </c>
      <c r="E257" s="426" t="s">
        <v>686</v>
      </c>
      <c r="F257" s="426"/>
      <c r="G257" s="440"/>
      <c r="H257" s="441"/>
      <c r="I257" s="428">
        <v>1</v>
      </c>
      <c r="J257" s="530">
        <f t="shared" si="4"/>
        <v>0</v>
      </c>
      <c r="K257" s="289"/>
      <c r="L257" s="540"/>
      <c r="M257" s="530"/>
      <c r="N257" s="564"/>
    </row>
    <row r="258" spans="1:14" ht="14.25" customHeight="1" x14ac:dyDescent="0.25">
      <c r="A258" s="563"/>
      <c r="B258" s="529" t="s">
        <v>641</v>
      </c>
      <c r="C258" s="523" t="s">
        <v>659</v>
      </c>
      <c r="D258" s="426" t="s">
        <v>623</v>
      </c>
      <c r="E258" s="426" t="s">
        <v>186</v>
      </c>
      <c r="F258" s="426"/>
      <c r="G258" s="440"/>
      <c r="H258" s="441"/>
      <c r="I258" s="428">
        <v>1</v>
      </c>
      <c r="J258" s="530">
        <f t="shared" si="4"/>
        <v>0</v>
      </c>
      <c r="K258" s="289"/>
      <c r="L258" s="540"/>
      <c r="M258" s="530"/>
      <c r="N258" s="564"/>
    </row>
    <row r="259" spans="1:14" ht="14.25" customHeight="1" x14ac:dyDescent="0.25">
      <c r="A259" s="563"/>
      <c r="B259" s="529" t="s">
        <v>641</v>
      </c>
      <c r="C259" s="523" t="s">
        <v>659</v>
      </c>
      <c r="D259" s="426" t="s">
        <v>630</v>
      </c>
      <c r="E259" s="426" t="s">
        <v>686</v>
      </c>
      <c r="F259" s="426"/>
      <c r="G259" s="440"/>
      <c r="H259" s="441"/>
      <c r="I259" s="428">
        <v>1</v>
      </c>
      <c r="J259" s="530">
        <f t="shared" si="4"/>
        <v>0</v>
      </c>
      <c r="K259" s="289"/>
      <c r="L259" s="540"/>
      <c r="M259" s="530"/>
      <c r="N259" s="564"/>
    </row>
    <row r="260" spans="1:14" ht="14.25" customHeight="1" x14ac:dyDescent="0.25">
      <c r="A260" s="563"/>
      <c r="B260" s="529" t="s">
        <v>641</v>
      </c>
      <c r="C260" s="523" t="s">
        <v>659</v>
      </c>
      <c r="D260" s="426" t="s">
        <v>631</v>
      </c>
      <c r="E260" s="426" t="s">
        <v>186</v>
      </c>
      <c r="F260" s="426"/>
      <c r="G260" s="440"/>
      <c r="H260" s="441"/>
      <c r="I260" s="428">
        <v>1</v>
      </c>
      <c r="J260" s="530">
        <f t="shared" si="4"/>
        <v>0</v>
      </c>
      <c r="K260" s="289"/>
      <c r="L260" s="540"/>
      <c r="M260" s="530"/>
      <c r="N260" s="564"/>
    </row>
    <row r="261" spans="1:14" ht="14.25" customHeight="1" x14ac:dyDescent="0.25">
      <c r="A261" s="563"/>
      <c r="B261" s="529" t="s">
        <v>641</v>
      </c>
      <c r="C261" s="523" t="s">
        <v>659</v>
      </c>
      <c r="D261" s="426" t="s">
        <v>624</v>
      </c>
      <c r="E261" s="426" t="s">
        <v>686</v>
      </c>
      <c r="F261" s="426"/>
      <c r="G261" s="440"/>
      <c r="H261" s="441"/>
      <c r="I261" s="428">
        <v>1</v>
      </c>
      <c r="J261" s="530">
        <f t="shared" si="4"/>
        <v>0</v>
      </c>
      <c r="K261" s="289"/>
      <c r="L261" s="540"/>
      <c r="M261" s="530"/>
      <c r="N261" s="564"/>
    </row>
    <row r="262" spans="1:14" ht="14.25" customHeight="1" x14ac:dyDescent="0.25">
      <c r="A262" s="563"/>
      <c r="B262" s="529" t="s">
        <v>641</v>
      </c>
      <c r="C262" s="523" t="s">
        <v>659</v>
      </c>
      <c r="D262" s="426" t="s">
        <v>625</v>
      </c>
      <c r="E262" s="426" t="s">
        <v>186</v>
      </c>
      <c r="F262" s="426"/>
      <c r="G262" s="440"/>
      <c r="H262" s="441"/>
      <c r="I262" s="428">
        <v>1</v>
      </c>
      <c r="J262" s="530">
        <f t="shared" si="4"/>
        <v>0</v>
      </c>
      <c r="K262" s="289"/>
      <c r="L262" s="540"/>
      <c r="M262" s="530"/>
      <c r="N262" s="564"/>
    </row>
    <row r="263" spans="1:14" ht="14.25" customHeight="1" x14ac:dyDescent="0.25">
      <c r="A263" s="563"/>
      <c r="B263" s="529" t="s">
        <v>641</v>
      </c>
      <c r="C263" s="523" t="s">
        <v>659</v>
      </c>
      <c r="D263" s="426" t="s">
        <v>626</v>
      </c>
      <c r="E263" s="426" t="s">
        <v>686</v>
      </c>
      <c r="F263" s="426"/>
      <c r="G263" s="440"/>
      <c r="H263" s="441"/>
      <c r="I263" s="428">
        <v>1</v>
      </c>
      <c r="J263" s="530">
        <f t="shared" si="4"/>
        <v>0</v>
      </c>
      <c r="K263" s="289"/>
      <c r="L263" s="540"/>
      <c r="M263" s="530"/>
      <c r="N263" s="564"/>
    </row>
    <row r="264" spans="1:14" ht="14.25" customHeight="1" x14ac:dyDescent="0.25">
      <c r="A264" s="563"/>
      <c r="B264" s="529" t="s">
        <v>641</v>
      </c>
      <c r="C264" s="523" t="s">
        <v>659</v>
      </c>
      <c r="D264" s="426" t="s">
        <v>627</v>
      </c>
      <c r="E264" s="426" t="s">
        <v>186</v>
      </c>
      <c r="F264" s="426"/>
      <c r="G264" s="440"/>
      <c r="H264" s="441"/>
      <c r="I264" s="428">
        <v>1</v>
      </c>
      <c r="J264" s="530">
        <f t="shared" si="4"/>
        <v>0</v>
      </c>
      <c r="K264" s="289"/>
      <c r="L264" s="540"/>
      <c r="M264" s="530"/>
      <c r="N264" s="564"/>
    </row>
    <row r="265" spans="1:14" ht="14.25" customHeight="1" x14ac:dyDescent="0.25">
      <c r="A265" s="563"/>
      <c r="B265" s="529" t="s">
        <v>667</v>
      </c>
      <c r="C265" s="523" t="s">
        <v>663</v>
      </c>
      <c r="D265" s="426" t="s">
        <v>614</v>
      </c>
      <c r="E265" s="426" t="s">
        <v>186</v>
      </c>
      <c r="F265" s="426"/>
      <c r="G265" s="440"/>
      <c r="H265" s="441"/>
      <c r="I265" s="428">
        <v>1</v>
      </c>
      <c r="J265" s="530">
        <f t="shared" si="4"/>
        <v>0</v>
      </c>
      <c r="K265" s="289"/>
      <c r="L265" s="540"/>
      <c r="M265" s="530"/>
      <c r="N265" s="564"/>
    </row>
    <row r="266" spans="1:14" ht="14.25" customHeight="1" x14ac:dyDescent="0.25">
      <c r="A266" s="563"/>
      <c r="B266" s="529" t="s">
        <v>667</v>
      </c>
      <c r="C266" s="523" t="s">
        <v>663</v>
      </c>
      <c r="D266" s="426" t="s">
        <v>615</v>
      </c>
      <c r="E266" s="426" t="s">
        <v>186</v>
      </c>
      <c r="F266" s="426"/>
      <c r="G266" s="440"/>
      <c r="H266" s="441"/>
      <c r="I266" s="428">
        <v>1</v>
      </c>
      <c r="J266" s="530">
        <f t="shared" si="4"/>
        <v>0</v>
      </c>
      <c r="K266" s="289"/>
      <c r="L266" s="540"/>
      <c r="M266" s="530"/>
      <c r="N266" s="564"/>
    </row>
    <row r="267" spans="1:14" ht="14.25" customHeight="1" x14ac:dyDescent="0.25">
      <c r="A267" s="563"/>
      <c r="B267" s="529" t="s">
        <v>667</v>
      </c>
      <c r="C267" s="523" t="s">
        <v>663</v>
      </c>
      <c r="D267" s="426" t="s">
        <v>616</v>
      </c>
      <c r="E267" s="426" t="s">
        <v>186</v>
      </c>
      <c r="F267" s="426"/>
      <c r="G267" s="440"/>
      <c r="H267" s="441"/>
      <c r="I267" s="428">
        <v>1</v>
      </c>
      <c r="J267" s="530">
        <f t="shared" si="4"/>
        <v>0</v>
      </c>
      <c r="K267" s="289"/>
      <c r="L267" s="540"/>
      <c r="M267" s="530"/>
      <c r="N267" s="564"/>
    </row>
    <row r="268" spans="1:14" ht="14.25" customHeight="1" x14ac:dyDescent="0.25">
      <c r="A268" s="563"/>
      <c r="B268" s="529" t="s">
        <v>667</v>
      </c>
      <c r="C268" s="523" t="s">
        <v>663</v>
      </c>
      <c r="D268" s="426" t="s">
        <v>618</v>
      </c>
      <c r="E268" s="426" t="s">
        <v>693</v>
      </c>
      <c r="F268" s="426"/>
      <c r="G268" s="440"/>
      <c r="H268" s="441"/>
      <c r="I268" s="428">
        <v>1</v>
      </c>
      <c r="J268" s="530">
        <f t="shared" ref="J268:J331" si="5">G268*I268</f>
        <v>0</v>
      </c>
      <c r="K268" s="289"/>
      <c r="L268" s="540"/>
      <c r="M268" s="530"/>
      <c r="N268" s="564"/>
    </row>
    <row r="269" spans="1:14" ht="14.25" customHeight="1" x14ac:dyDescent="0.25">
      <c r="A269" s="563"/>
      <c r="B269" s="529" t="s">
        <v>667</v>
      </c>
      <c r="C269" s="523" t="s">
        <v>663</v>
      </c>
      <c r="D269" s="426" t="s">
        <v>689</v>
      </c>
      <c r="E269" s="426" t="s">
        <v>694</v>
      </c>
      <c r="F269" s="426">
        <v>14.45</v>
      </c>
      <c r="G269" s="440">
        <v>1.2</v>
      </c>
      <c r="H269" s="441" t="s">
        <v>701</v>
      </c>
      <c r="I269" s="428">
        <v>1</v>
      </c>
      <c r="J269" s="530">
        <f>F269*G269</f>
        <v>17.34</v>
      </c>
      <c r="K269" s="289"/>
      <c r="L269" s="540"/>
      <c r="M269" s="530"/>
      <c r="N269" s="564"/>
    </row>
    <row r="270" spans="1:14" ht="14.25" customHeight="1" x14ac:dyDescent="0.25">
      <c r="A270" s="563"/>
      <c r="B270" s="529" t="s">
        <v>667</v>
      </c>
      <c r="C270" s="523" t="s">
        <v>663</v>
      </c>
      <c r="D270" s="426" t="s">
        <v>619</v>
      </c>
      <c r="E270" s="426" t="s">
        <v>186</v>
      </c>
      <c r="F270" s="426"/>
      <c r="G270" s="440"/>
      <c r="H270" s="441"/>
      <c r="I270" s="428">
        <v>1</v>
      </c>
      <c r="J270" s="530">
        <f t="shared" si="5"/>
        <v>0</v>
      </c>
      <c r="K270" s="289"/>
      <c r="L270" s="540"/>
      <c r="M270" s="530"/>
      <c r="N270" s="564"/>
    </row>
    <row r="271" spans="1:14" ht="14.25" customHeight="1" x14ac:dyDescent="0.25">
      <c r="A271" s="563"/>
      <c r="B271" s="529" t="s">
        <v>667</v>
      </c>
      <c r="C271" s="523" t="s">
        <v>663</v>
      </c>
      <c r="D271" s="426" t="s">
        <v>620</v>
      </c>
      <c r="E271" s="426" t="s">
        <v>186</v>
      </c>
      <c r="F271" s="426"/>
      <c r="G271" s="440"/>
      <c r="H271" s="441"/>
      <c r="I271" s="428">
        <v>1</v>
      </c>
      <c r="J271" s="530">
        <f t="shared" si="5"/>
        <v>0</v>
      </c>
      <c r="K271" s="289"/>
      <c r="L271" s="540"/>
      <c r="M271" s="530"/>
      <c r="N271" s="564"/>
    </row>
    <row r="272" spans="1:14" ht="14.25" customHeight="1" x14ac:dyDescent="0.25">
      <c r="A272" s="563"/>
      <c r="B272" s="529" t="s">
        <v>667</v>
      </c>
      <c r="C272" s="523" t="s">
        <v>663</v>
      </c>
      <c r="D272" s="426" t="s">
        <v>621</v>
      </c>
      <c r="E272" s="426" t="s">
        <v>186</v>
      </c>
      <c r="F272" s="426"/>
      <c r="G272" s="440"/>
      <c r="H272" s="441"/>
      <c r="I272" s="428">
        <v>1</v>
      </c>
      <c r="J272" s="530">
        <f t="shared" si="5"/>
        <v>0</v>
      </c>
      <c r="K272" s="289"/>
      <c r="L272" s="540"/>
      <c r="M272" s="530"/>
      <c r="N272" s="564"/>
    </row>
    <row r="273" spans="1:14" ht="14.25" customHeight="1" x14ac:dyDescent="0.25">
      <c r="A273" s="563"/>
      <c r="B273" s="529" t="s">
        <v>667</v>
      </c>
      <c r="C273" s="523" t="s">
        <v>663</v>
      </c>
      <c r="D273" s="426" t="s">
        <v>617</v>
      </c>
      <c r="E273" s="426" t="s">
        <v>186</v>
      </c>
      <c r="F273" s="426"/>
      <c r="G273" s="440"/>
      <c r="H273" s="441"/>
      <c r="I273" s="428">
        <v>1</v>
      </c>
      <c r="J273" s="530">
        <f t="shared" si="5"/>
        <v>0</v>
      </c>
      <c r="K273" s="289"/>
      <c r="L273" s="540"/>
      <c r="M273" s="530"/>
      <c r="N273" s="564"/>
    </row>
    <row r="274" spans="1:14" ht="14.25" customHeight="1" x14ac:dyDescent="0.25">
      <c r="A274" s="563"/>
      <c r="B274" s="529" t="s">
        <v>667</v>
      </c>
      <c r="C274" s="523" t="s">
        <v>663</v>
      </c>
      <c r="D274" s="426" t="s">
        <v>622</v>
      </c>
      <c r="E274" s="426" t="s">
        <v>686</v>
      </c>
      <c r="F274" s="426"/>
      <c r="G274" s="440"/>
      <c r="H274" s="441"/>
      <c r="I274" s="428">
        <v>1</v>
      </c>
      <c r="J274" s="530">
        <f t="shared" si="5"/>
        <v>0</v>
      </c>
      <c r="K274" s="289"/>
      <c r="L274" s="540"/>
      <c r="M274" s="530"/>
      <c r="N274" s="564"/>
    </row>
    <row r="275" spans="1:14" ht="14.25" customHeight="1" x14ac:dyDescent="0.25">
      <c r="A275" s="563"/>
      <c r="B275" s="529" t="s">
        <v>667</v>
      </c>
      <c r="C275" s="523" t="s">
        <v>663</v>
      </c>
      <c r="D275" s="426" t="s">
        <v>623</v>
      </c>
      <c r="E275" s="426" t="s">
        <v>186</v>
      </c>
      <c r="F275" s="426"/>
      <c r="G275" s="440"/>
      <c r="H275" s="441"/>
      <c r="I275" s="428">
        <v>1</v>
      </c>
      <c r="J275" s="530">
        <f t="shared" si="5"/>
        <v>0</v>
      </c>
      <c r="K275" s="289"/>
      <c r="L275" s="540"/>
      <c r="M275" s="530"/>
      <c r="N275" s="564"/>
    </row>
    <row r="276" spans="1:14" ht="14.25" customHeight="1" x14ac:dyDescent="0.25">
      <c r="A276" s="563"/>
      <c r="B276" s="529" t="s">
        <v>667</v>
      </c>
      <c r="C276" s="523" t="s">
        <v>663</v>
      </c>
      <c r="D276" s="426" t="s">
        <v>624</v>
      </c>
      <c r="E276" s="426" t="s">
        <v>686</v>
      </c>
      <c r="F276" s="426"/>
      <c r="G276" s="440"/>
      <c r="H276" s="441"/>
      <c r="I276" s="428">
        <v>1</v>
      </c>
      <c r="J276" s="530">
        <f t="shared" si="5"/>
        <v>0</v>
      </c>
      <c r="K276" s="289"/>
      <c r="L276" s="540"/>
      <c r="M276" s="530"/>
      <c r="N276" s="564"/>
    </row>
    <row r="277" spans="1:14" ht="14.25" customHeight="1" x14ac:dyDescent="0.25">
      <c r="A277" s="563"/>
      <c r="B277" s="529" t="s">
        <v>667</v>
      </c>
      <c r="C277" s="523" t="s">
        <v>663</v>
      </c>
      <c r="D277" s="426" t="s">
        <v>625</v>
      </c>
      <c r="E277" s="426" t="s">
        <v>186</v>
      </c>
      <c r="F277" s="426"/>
      <c r="G277" s="440"/>
      <c r="H277" s="441"/>
      <c r="I277" s="428">
        <v>1</v>
      </c>
      <c r="J277" s="530">
        <f t="shared" si="5"/>
        <v>0</v>
      </c>
      <c r="K277" s="289"/>
      <c r="L277" s="540"/>
      <c r="M277" s="530"/>
      <c r="N277" s="564"/>
    </row>
    <row r="278" spans="1:14" ht="14.25" customHeight="1" x14ac:dyDescent="0.25">
      <c r="A278" s="563"/>
      <c r="B278" s="529" t="s">
        <v>667</v>
      </c>
      <c r="C278" s="523" t="s">
        <v>663</v>
      </c>
      <c r="D278" s="426" t="s">
        <v>626</v>
      </c>
      <c r="E278" s="426" t="s">
        <v>686</v>
      </c>
      <c r="F278" s="426"/>
      <c r="G278" s="440"/>
      <c r="H278" s="441"/>
      <c r="I278" s="428">
        <v>1</v>
      </c>
      <c r="J278" s="530">
        <f t="shared" si="5"/>
        <v>0</v>
      </c>
      <c r="K278" s="289"/>
      <c r="L278" s="540"/>
      <c r="M278" s="530"/>
      <c r="N278" s="564"/>
    </row>
    <row r="279" spans="1:14" ht="14.25" customHeight="1" x14ac:dyDescent="0.25">
      <c r="A279" s="563"/>
      <c r="B279" s="529" t="s">
        <v>667</v>
      </c>
      <c r="C279" s="523" t="s">
        <v>663</v>
      </c>
      <c r="D279" s="426" t="s">
        <v>627</v>
      </c>
      <c r="E279" s="426" t="s">
        <v>186</v>
      </c>
      <c r="F279" s="426"/>
      <c r="G279" s="440"/>
      <c r="H279" s="441"/>
      <c r="I279" s="428">
        <v>1</v>
      </c>
      <c r="J279" s="530">
        <f t="shared" si="5"/>
        <v>0</v>
      </c>
      <c r="K279" s="289"/>
      <c r="L279" s="540"/>
      <c r="M279" s="530"/>
      <c r="N279" s="564"/>
    </row>
    <row r="280" spans="1:14" ht="14.25" customHeight="1" x14ac:dyDescent="0.25">
      <c r="A280" s="563"/>
      <c r="B280" s="529" t="s">
        <v>667</v>
      </c>
      <c r="C280" s="523" t="s">
        <v>663</v>
      </c>
      <c r="D280" s="426" t="s">
        <v>668</v>
      </c>
      <c r="E280" s="426" t="s">
        <v>693</v>
      </c>
      <c r="F280" s="426"/>
      <c r="G280" s="440"/>
      <c r="H280" s="441"/>
      <c r="I280" s="428">
        <v>1</v>
      </c>
      <c r="J280" s="530">
        <f t="shared" si="5"/>
        <v>0</v>
      </c>
      <c r="K280" s="289"/>
      <c r="L280" s="540"/>
      <c r="M280" s="530"/>
      <c r="N280" s="564"/>
    </row>
    <row r="281" spans="1:14" ht="14.25" customHeight="1" x14ac:dyDescent="0.25">
      <c r="A281" s="563"/>
      <c r="B281" s="529" t="s">
        <v>667</v>
      </c>
      <c r="C281" s="523" t="s">
        <v>663</v>
      </c>
      <c r="D281" s="426" t="s">
        <v>669</v>
      </c>
      <c r="E281" s="426" t="s">
        <v>694</v>
      </c>
      <c r="F281" s="426">
        <v>21.96</v>
      </c>
      <c r="G281" s="440">
        <v>1.2</v>
      </c>
      <c r="H281" s="441" t="s">
        <v>701</v>
      </c>
      <c r="I281" s="428">
        <v>1</v>
      </c>
      <c r="J281" s="530">
        <f>F281*G281</f>
        <v>26.352</v>
      </c>
      <c r="K281" s="289"/>
      <c r="L281" s="540"/>
      <c r="M281" s="530"/>
      <c r="N281" s="564"/>
    </row>
    <row r="282" spans="1:14" ht="14.25" customHeight="1" x14ac:dyDescent="0.25">
      <c r="A282" s="563"/>
      <c r="B282" s="529" t="s">
        <v>667</v>
      </c>
      <c r="C282" s="523" t="s">
        <v>663</v>
      </c>
      <c r="D282" s="426" t="s">
        <v>670</v>
      </c>
      <c r="E282" s="426"/>
      <c r="F282" s="426"/>
      <c r="G282" s="440"/>
      <c r="H282" s="441"/>
      <c r="I282" s="428">
        <v>1</v>
      </c>
      <c r="J282" s="530">
        <f t="shared" si="5"/>
        <v>0</v>
      </c>
      <c r="K282" s="289"/>
      <c r="L282" s="540"/>
      <c r="M282" s="530"/>
      <c r="N282" s="564"/>
    </row>
    <row r="283" spans="1:14" ht="14.25" customHeight="1" x14ac:dyDescent="0.25">
      <c r="A283" s="563"/>
      <c r="B283" s="529" t="s">
        <v>653</v>
      </c>
      <c r="C283" s="523" t="s">
        <v>635</v>
      </c>
      <c r="D283" s="426" t="s">
        <v>628</v>
      </c>
      <c r="E283" s="426" t="s">
        <v>197</v>
      </c>
      <c r="F283" s="426"/>
      <c r="G283" s="440"/>
      <c r="H283" s="441"/>
      <c r="I283" s="428">
        <v>1</v>
      </c>
      <c r="J283" s="530">
        <f t="shared" si="5"/>
        <v>0</v>
      </c>
      <c r="K283" s="289"/>
      <c r="L283" s="540"/>
      <c r="M283" s="530"/>
      <c r="N283" s="564"/>
    </row>
    <row r="284" spans="1:14" ht="14.25" customHeight="1" x14ac:dyDescent="0.25">
      <c r="A284" s="563"/>
      <c r="B284" s="529" t="s">
        <v>653</v>
      </c>
      <c r="C284" s="523" t="s">
        <v>635</v>
      </c>
      <c r="D284" s="426" t="s">
        <v>642</v>
      </c>
      <c r="E284" s="426" t="s">
        <v>186</v>
      </c>
      <c r="F284" s="426"/>
      <c r="G284" s="440"/>
      <c r="H284" s="441"/>
      <c r="I284" s="428">
        <v>1</v>
      </c>
      <c r="J284" s="530">
        <f t="shared" si="5"/>
        <v>0</v>
      </c>
      <c r="K284" s="289"/>
      <c r="L284" s="540"/>
      <c r="M284" s="530"/>
      <c r="N284" s="564"/>
    </row>
    <row r="285" spans="1:14" ht="14.25" customHeight="1" x14ac:dyDescent="0.25">
      <c r="A285" s="563"/>
      <c r="B285" s="529" t="s">
        <v>667</v>
      </c>
      <c r="C285" s="523" t="s">
        <v>664</v>
      </c>
      <c r="D285" s="426" t="s">
        <v>614</v>
      </c>
      <c r="E285" s="426" t="s">
        <v>186</v>
      </c>
      <c r="F285" s="426"/>
      <c r="G285" s="440"/>
      <c r="H285" s="441"/>
      <c r="I285" s="428">
        <v>1</v>
      </c>
      <c r="J285" s="530">
        <f t="shared" si="5"/>
        <v>0</v>
      </c>
      <c r="K285" s="289"/>
      <c r="L285" s="540"/>
      <c r="M285" s="530"/>
      <c r="N285" s="564"/>
    </row>
    <row r="286" spans="1:14" ht="14.25" customHeight="1" x14ac:dyDescent="0.25">
      <c r="A286" s="563"/>
      <c r="B286" s="529" t="s">
        <v>667</v>
      </c>
      <c r="C286" s="523" t="s">
        <v>664</v>
      </c>
      <c r="D286" s="426" t="s">
        <v>615</v>
      </c>
      <c r="E286" s="426" t="s">
        <v>186</v>
      </c>
      <c r="F286" s="426"/>
      <c r="G286" s="440"/>
      <c r="H286" s="441"/>
      <c r="I286" s="428">
        <v>1</v>
      </c>
      <c r="J286" s="530">
        <f t="shared" si="5"/>
        <v>0</v>
      </c>
      <c r="K286" s="289"/>
      <c r="L286" s="540"/>
      <c r="M286" s="530"/>
      <c r="N286" s="564"/>
    </row>
    <row r="287" spans="1:14" ht="14.25" customHeight="1" x14ac:dyDescent="0.25">
      <c r="A287" s="563"/>
      <c r="B287" s="529" t="s">
        <v>667</v>
      </c>
      <c r="C287" s="523" t="s">
        <v>664</v>
      </c>
      <c r="D287" s="426" t="s">
        <v>616</v>
      </c>
      <c r="E287" s="426" t="s">
        <v>186</v>
      </c>
      <c r="F287" s="426"/>
      <c r="G287" s="440"/>
      <c r="H287" s="441"/>
      <c r="I287" s="428">
        <v>1</v>
      </c>
      <c r="J287" s="530">
        <f t="shared" si="5"/>
        <v>0</v>
      </c>
      <c r="K287" s="289"/>
      <c r="L287" s="540"/>
      <c r="M287" s="530"/>
      <c r="N287" s="564"/>
    </row>
    <row r="288" spans="1:14" ht="14.25" customHeight="1" x14ac:dyDescent="0.25">
      <c r="A288" s="563"/>
      <c r="B288" s="529" t="s">
        <v>667</v>
      </c>
      <c r="C288" s="523" t="s">
        <v>664</v>
      </c>
      <c r="D288" s="426" t="s">
        <v>618</v>
      </c>
      <c r="E288" s="426" t="s">
        <v>693</v>
      </c>
      <c r="F288" s="426"/>
      <c r="G288" s="440"/>
      <c r="H288" s="441"/>
      <c r="I288" s="428">
        <v>1</v>
      </c>
      <c r="J288" s="530">
        <f t="shared" si="5"/>
        <v>0</v>
      </c>
      <c r="K288" s="289"/>
      <c r="L288" s="540"/>
      <c r="M288" s="530"/>
      <c r="N288" s="564"/>
    </row>
    <row r="289" spans="1:14" ht="14.25" customHeight="1" x14ac:dyDescent="0.25">
      <c r="A289" s="563"/>
      <c r="B289" s="529" t="s">
        <v>667</v>
      </c>
      <c r="C289" s="523" t="s">
        <v>664</v>
      </c>
      <c r="D289" s="426" t="s">
        <v>689</v>
      </c>
      <c r="E289" s="426" t="s">
        <v>694</v>
      </c>
      <c r="F289" s="426">
        <v>13.69</v>
      </c>
      <c r="G289" s="440">
        <v>1.2</v>
      </c>
      <c r="H289" s="441" t="s">
        <v>701</v>
      </c>
      <c r="I289" s="428">
        <v>1</v>
      </c>
      <c r="J289" s="530">
        <f>F289*G289</f>
        <v>16.427999999999997</v>
      </c>
      <c r="K289" s="289"/>
      <c r="L289" s="540"/>
      <c r="M289" s="530"/>
      <c r="N289" s="564"/>
    </row>
    <row r="290" spans="1:14" ht="14.25" customHeight="1" x14ac:dyDescent="0.25">
      <c r="A290" s="563"/>
      <c r="B290" s="529" t="s">
        <v>667</v>
      </c>
      <c r="C290" s="523" t="s">
        <v>664</v>
      </c>
      <c r="D290" s="426" t="s">
        <v>619</v>
      </c>
      <c r="E290" s="426" t="s">
        <v>186</v>
      </c>
      <c r="F290" s="426"/>
      <c r="G290" s="440"/>
      <c r="H290" s="441"/>
      <c r="I290" s="428">
        <v>1</v>
      </c>
      <c r="J290" s="530">
        <f t="shared" si="5"/>
        <v>0</v>
      </c>
      <c r="K290" s="289"/>
      <c r="L290" s="540"/>
      <c r="M290" s="530"/>
      <c r="N290" s="564"/>
    </row>
    <row r="291" spans="1:14" ht="14.25" customHeight="1" x14ac:dyDescent="0.25">
      <c r="A291" s="563"/>
      <c r="B291" s="529" t="s">
        <v>667</v>
      </c>
      <c r="C291" s="523" t="s">
        <v>664</v>
      </c>
      <c r="D291" s="426" t="s">
        <v>620</v>
      </c>
      <c r="E291" s="426" t="s">
        <v>186</v>
      </c>
      <c r="F291" s="426"/>
      <c r="G291" s="440"/>
      <c r="H291" s="441"/>
      <c r="I291" s="428">
        <v>1</v>
      </c>
      <c r="J291" s="530">
        <f t="shared" si="5"/>
        <v>0</v>
      </c>
      <c r="K291" s="289"/>
      <c r="L291" s="540"/>
      <c r="M291" s="530"/>
      <c r="N291" s="564"/>
    </row>
    <row r="292" spans="1:14" ht="14.25" customHeight="1" x14ac:dyDescent="0.25">
      <c r="A292" s="563"/>
      <c r="B292" s="529" t="s">
        <v>667</v>
      </c>
      <c r="C292" s="523" t="s">
        <v>664</v>
      </c>
      <c r="D292" s="426" t="s">
        <v>640</v>
      </c>
      <c r="E292" s="426" t="s">
        <v>186</v>
      </c>
      <c r="F292" s="426"/>
      <c r="G292" s="440"/>
      <c r="H292" s="441"/>
      <c r="I292" s="428">
        <v>1</v>
      </c>
      <c r="J292" s="530">
        <f t="shared" si="5"/>
        <v>0</v>
      </c>
      <c r="K292" s="289"/>
      <c r="L292" s="540"/>
      <c r="M292" s="530"/>
      <c r="N292" s="564"/>
    </row>
    <row r="293" spans="1:14" ht="14.25" customHeight="1" x14ac:dyDescent="0.25">
      <c r="A293" s="563"/>
      <c r="B293" s="529" t="s">
        <v>667</v>
      </c>
      <c r="C293" s="523" t="s">
        <v>664</v>
      </c>
      <c r="D293" s="426" t="s">
        <v>621</v>
      </c>
      <c r="E293" s="426" t="s">
        <v>186</v>
      </c>
      <c r="F293" s="426"/>
      <c r="G293" s="440"/>
      <c r="H293" s="441"/>
      <c r="I293" s="428">
        <v>1</v>
      </c>
      <c r="J293" s="530">
        <f t="shared" si="5"/>
        <v>0</v>
      </c>
      <c r="K293" s="289"/>
      <c r="L293" s="540"/>
      <c r="M293" s="530"/>
      <c r="N293" s="564"/>
    </row>
    <row r="294" spans="1:14" ht="14.25" customHeight="1" x14ac:dyDescent="0.25">
      <c r="A294" s="563"/>
      <c r="B294" s="529" t="s">
        <v>667</v>
      </c>
      <c r="C294" s="523" t="s">
        <v>664</v>
      </c>
      <c r="D294" s="426" t="s">
        <v>617</v>
      </c>
      <c r="E294" s="426" t="s">
        <v>186</v>
      </c>
      <c r="F294" s="426"/>
      <c r="G294" s="440"/>
      <c r="H294" s="441"/>
      <c r="I294" s="428">
        <v>1</v>
      </c>
      <c r="J294" s="530">
        <f t="shared" si="5"/>
        <v>0</v>
      </c>
      <c r="K294" s="289"/>
      <c r="L294" s="540"/>
      <c r="M294" s="530"/>
      <c r="N294" s="564"/>
    </row>
    <row r="295" spans="1:14" ht="14.25" customHeight="1" x14ac:dyDescent="0.25">
      <c r="A295" s="563"/>
      <c r="B295" s="529" t="s">
        <v>667</v>
      </c>
      <c r="C295" s="523" t="s">
        <v>664</v>
      </c>
      <c r="D295" s="426" t="s">
        <v>622</v>
      </c>
      <c r="E295" s="426" t="s">
        <v>686</v>
      </c>
      <c r="F295" s="426"/>
      <c r="G295" s="440"/>
      <c r="H295" s="441"/>
      <c r="I295" s="428">
        <v>1</v>
      </c>
      <c r="J295" s="530">
        <f t="shared" si="5"/>
        <v>0</v>
      </c>
      <c r="K295" s="289"/>
      <c r="L295" s="540"/>
      <c r="M295" s="530"/>
      <c r="N295" s="564"/>
    </row>
    <row r="296" spans="1:14" ht="14.25" customHeight="1" x14ac:dyDescent="0.25">
      <c r="A296" s="563"/>
      <c r="B296" s="529" t="s">
        <v>667</v>
      </c>
      <c r="C296" s="523" t="s">
        <v>664</v>
      </c>
      <c r="D296" s="426" t="s">
        <v>623</v>
      </c>
      <c r="E296" s="426" t="s">
        <v>186</v>
      </c>
      <c r="F296" s="426"/>
      <c r="G296" s="440"/>
      <c r="H296" s="441"/>
      <c r="I296" s="428">
        <v>1</v>
      </c>
      <c r="J296" s="530">
        <f t="shared" si="5"/>
        <v>0</v>
      </c>
      <c r="K296" s="289"/>
      <c r="L296" s="540"/>
      <c r="M296" s="530"/>
      <c r="N296" s="564"/>
    </row>
    <row r="297" spans="1:14" ht="14.25" customHeight="1" x14ac:dyDescent="0.25">
      <c r="A297" s="563"/>
      <c r="B297" s="529" t="s">
        <v>667</v>
      </c>
      <c r="C297" s="523" t="s">
        <v>664</v>
      </c>
      <c r="D297" s="426" t="s">
        <v>630</v>
      </c>
      <c r="E297" s="426" t="s">
        <v>686</v>
      </c>
      <c r="F297" s="426"/>
      <c r="G297" s="440"/>
      <c r="H297" s="441"/>
      <c r="I297" s="428">
        <v>1</v>
      </c>
      <c r="J297" s="530">
        <f t="shared" si="5"/>
        <v>0</v>
      </c>
      <c r="K297" s="289"/>
      <c r="L297" s="540"/>
      <c r="M297" s="530"/>
      <c r="N297" s="564"/>
    </row>
    <row r="298" spans="1:14" ht="14.25" customHeight="1" x14ac:dyDescent="0.25">
      <c r="A298" s="563"/>
      <c r="B298" s="529" t="s">
        <v>667</v>
      </c>
      <c r="C298" s="523" t="s">
        <v>664</v>
      </c>
      <c r="D298" s="426" t="s">
        <v>631</v>
      </c>
      <c r="E298" s="426" t="s">
        <v>186</v>
      </c>
      <c r="F298" s="426"/>
      <c r="G298" s="440"/>
      <c r="H298" s="441"/>
      <c r="I298" s="428">
        <v>1</v>
      </c>
      <c r="J298" s="530">
        <f t="shared" si="5"/>
        <v>0</v>
      </c>
      <c r="K298" s="289"/>
      <c r="L298" s="540"/>
      <c r="M298" s="530"/>
      <c r="N298" s="564"/>
    </row>
    <row r="299" spans="1:14" ht="14.25" customHeight="1" x14ac:dyDescent="0.25">
      <c r="A299" s="563"/>
      <c r="B299" s="529" t="s">
        <v>667</v>
      </c>
      <c r="C299" s="523" t="s">
        <v>664</v>
      </c>
      <c r="D299" s="426" t="s">
        <v>624</v>
      </c>
      <c r="E299" s="426" t="s">
        <v>686</v>
      </c>
      <c r="F299" s="426"/>
      <c r="G299" s="440"/>
      <c r="H299" s="441"/>
      <c r="I299" s="428">
        <v>1</v>
      </c>
      <c r="J299" s="530">
        <f t="shared" si="5"/>
        <v>0</v>
      </c>
      <c r="K299" s="289"/>
      <c r="L299" s="540"/>
      <c r="M299" s="530"/>
      <c r="N299" s="564"/>
    </row>
    <row r="300" spans="1:14" ht="14.25" customHeight="1" x14ac:dyDescent="0.25">
      <c r="A300" s="563"/>
      <c r="B300" s="529" t="s">
        <v>667</v>
      </c>
      <c r="C300" s="523" t="s">
        <v>664</v>
      </c>
      <c r="D300" s="426" t="s">
        <v>625</v>
      </c>
      <c r="E300" s="426" t="s">
        <v>186</v>
      </c>
      <c r="F300" s="426"/>
      <c r="G300" s="440"/>
      <c r="H300" s="441"/>
      <c r="I300" s="428">
        <v>1</v>
      </c>
      <c r="J300" s="530">
        <f t="shared" si="5"/>
        <v>0</v>
      </c>
      <c r="K300" s="289"/>
      <c r="L300" s="540"/>
      <c r="M300" s="530"/>
      <c r="N300" s="564"/>
    </row>
    <row r="301" spans="1:14" ht="14.25" customHeight="1" x14ac:dyDescent="0.25">
      <c r="A301" s="563"/>
      <c r="B301" s="529" t="s">
        <v>667</v>
      </c>
      <c r="C301" s="523" t="s">
        <v>664</v>
      </c>
      <c r="D301" s="426" t="s">
        <v>626</v>
      </c>
      <c r="E301" s="426" t="s">
        <v>686</v>
      </c>
      <c r="F301" s="426"/>
      <c r="G301" s="440"/>
      <c r="H301" s="441"/>
      <c r="I301" s="428">
        <v>1</v>
      </c>
      <c r="J301" s="530">
        <f t="shared" si="5"/>
        <v>0</v>
      </c>
      <c r="K301" s="289"/>
      <c r="L301" s="540"/>
      <c r="M301" s="530"/>
      <c r="N301" s="564"/>
    </row>
    <row r="302" spans="1:14" ht="14.25" customHeight="1" x14ac:dyDescent="0.25">
      <c r="A302" s="563"/>
      <c r="B302" s="529" t="s">
        <v>667</v>
      </c>
      <c r="C302" s="523" t="s">
        <v>664</v>
      </c>
      <c r="D302" s="426" t="s">
        <v>627</v>
      </c>
      <c r="E302" s="426" t="s">
        <v>186</v>
      </c>
      <c r="F302" s="426"/>
      <c r="G302" s="440"/>
      <c r="H302" s="441"/>
      <c r="I302" s="428">
        <v>1</v>
      </c>
      <c r="J302" s="530">
        <f t="shared" si="5"/>
        <v>0</v>
      </c>
      <c r="K302" s="289"/>
      <c r="L302" s="540"/>
      <c r="M302" s="530"/>
      <c r="N302" s="564"/>
    </row>
    <row r="303" spans="1:14" ht="14.25" customHeight="1" x14ac:dyDescent="0.25">
      <c r="A303" s="563"/>
      <c r="B303" s="529" t="s">
        <v>667</v>
      </c>
      <c r="C303" s="523" t="s">
        <v>664</v>
      </c>
      <c r="D303" s="426" t="s">
        <v>668</v>
      </c>
      <c r="E303" s="426" t="s">
        <v>693</v>
      </c>
      <c r="F303" s="426"/>
      <c r="G303" s="440"/>
      <c r="H303" s="441"/>
      <c r="I303" s="428">
        <v>1</v>
      </c>
      <c r="J303" s="530">
        <f t="shared" si="5"/>
        <v>0</v>
      </c>
      <c r="K303" s="289"/>
      <c r="L303" s="540"/>
      <c r="M303" s="530"/>
      <c r="N303" s="564"/>
    </row>
    <row r="304" spans="1:14" ht="14.25" customHeight="1" x14ac:dyDescent="0.25">
      <c r="A304" s="563"/>
      <c r="B304" s="529" t="s">
        <v>667</v>
      </c>
      <c r="C304" s="523" t="s">
        <v>664</v>
      </c>
      <c r="D304" s="426" t="s">
        <v>669</v>
      </c>
      <c r="E304" s="426" t="s">
        <v>694</v>
      </c>
      <c r="F304" s="426">
        <v>21.96</v>
      </c>
      <c r="G304" s="440">
        <v>1.2</v>
      </c>
      <c r="H304" s="441" t="s">
        <v>701</v>
      </c>
      <c r="I304" s="428">
        <v>1</v>
      </c>
      <c r="J304" s="530">
        <f>F304*G304</f>
        <v>26.352</v>
      </c>
      <c r="K304" s="289"/>
      <c r="L304" s="540"/>
      <c r="M304" s="530"/>
      <c r="N304" s="564"/>
    </row>
    <row r="305" spans="1:14" ht="14.25" customHeight="1" x14ac:dyDescent="0.25">
      <c r="A305" s="563"/>
      <c r="B305" s="529" t="s">
        <v>667</v>
      </c>
      <c r="C305" s="523" t="s">
        <v>664</v>
      </c>
      <c r="D305" s="426" t="s">
        <v>670</v>
      </c>
      <c r="E305" s="426"/>
      <c r="F305" s="426"/>
      <c r="G305" s="440"/>
      <c r="H305" s="441"/>
      <c r="I305" s="428">
        <v>1</v>
      </c>
      <c r="J305" s="530">
        <f t="shared" si="5"/>
        <v>0</v>
      </c>
      <c r="K305" s="289"/>
      <c r="L305" s="540"/>
      <c r="M305" s="530"/>
      <c r="N305" s="564"/>
    </row>
    <row r="306" spans="1:14" ht="14.25" customHeight="1" x14ac:dyDescent="0.25">
      <c r="A306" s="563"/>
      <c r="B306" s="529" t="s">
        <v>667</v>
      </c>
      <c r="C306" s="523" t="s">
        <v>665</v>
      </c>
      <c r="D306" s="426" t="s">
        <v>614</v>
      </c>
      <c r="E306" s="426" t="s">
        <v>186</v>
      </c>
      <c r="F306" s="426"/>
      <c r="G306" s="440"/>
      <c r="H306" s="441"/>
      <c r="I306" s="428">
        <v>1</v>
      </c>
      <c r="J306" s="530">
        <f t="shared" si="5"/>
        <v>0</v>
      </c>
      <c r="K306" s="289"/>
      <c r="L306" s="540"/>
      <c r="M306" s="530"/>
      <c r="N306" s="564"/>
    </row>
    <row r="307" spans="1:14" ht="14.25" customHeight="1" x14ac:dyDescent="0.25">
      <c r="A307" s="563"/>
      <c r="B307" s="529" t="s">
        <v>667</v>
      </c>
      <c r="C307" s="523" t="s">
        <v>665</v>
      </c>
      <c r="D307" s="426" t="s">
        <v>615</v>
      </c>
      <c r="E307" s="426" t="s">
        <v>186</v>
      </c>
      <c r="F307" s="426"/>
      <c r="G307" s="440"/>
      <c r="H307" s="441"/>
      <c r="I307" s="428">
        <v>1</v>
      </c>
      <c r="J307" s="530">
        <f t="shared" si="5"/>
        <v>0</v>
      </c>
      <c r="K307" s="289"/>
      <c r="L307" s="540"/>
      <c r="M307" s="530"/>
      <c r="N307" s="564"/>
    </row>
    <row r="308" spans="1:14" ht="14.25" customHeight="1" x14ac:dyDescent="0.25">
      <c r="A308" s="563"/>
      <c r="B308" s="529" t="s">
        <v>667</v>
      </c>
      <c r="C308" s="523" t="s">
        <v>665</v>
      </c>
      <c r="D308" s="426" t="s">
        <v>616</v>
      </c>
      <c r="E308" s="426" t="s">
        <v>186</v>
      </c>
      <c r="F308" s="426"/>
      <c r="G308" s="440"/>
      <c r="H308" s="441"/>
      <c r="I308" s="428">
        <v>1</v>
      </c>
      <c r="J308" s="530">
        <f t="shared" si="5"/>
        <v>0</v>
      </c>
      <c r="K308" s="289"/>
      <c r="L308" s="540"/>
      <c r="M308" s="530"/>
      <c r="N308" s="564"/>
    </row>
    <row r="309" spans="1:14" ht="14.25" customHeight="1" x14ac:dyDescent="0.25">
      <c r="A309" s="563"/>
      <c r="B309" s="529" t="s">
        <v>667</v>
      </c>
      <c r="C309" s="523" t="s">
        <v>665</v>
      </c>
      <c r="D309" s="426" t="s">
        <v>618</v>
      </c>
      <c r="E309" s="426" t="s">
        <v>693</v>
      </c>
      <c r="F309" s="426"/>
      <c r="G309" s="440"/>
      <c r="H309" s="441"/>
      <c r="I309" s="428">
        <v>1</v>
      </c>
      <c r="J309" s="530">
        <f t="shared" si="5"/>
        <v>0</v>
      </c>
      <c r="K309" s="289"/>
      <c r="L309" s="540"/>
      <c r="M309" s="530"/>
      <c r="N309" s="564"/>
    </row>
    <row r="310" spans="1:14" ht="14.25" customHeight="1" x14ac:dyDescent="0.25">
      <c r="A310" s="563"/>
      <c r="B310" s="529" t="s">
        <v>667</v>
      </c>
      <c r="C310" s="523" t="s">
        <v>665</v>
      </c>
      <c r="D310" s="426" t="s">
        <v>689</v>
      </c>
      <c r="E310" s="426" t="s">
        <v>694</v>
      </c>
      <c r="F310" s="426">
        <v>14.42</v>
      </c>
      <c r="G310" s="440">
        <v>1.2</v>
      </c>
      <c r="H310" s="441" t="s">
        <v>701</v>
      </c>
      <c r="I310" s="428">
        <v>1</v>
      </c>
      <c r="J310" s="530">
        <f>F310*G310</f>
        <v>17.303999999999998</v>
      </c>
      <c r="K310" s="289"/>
      <c r="L310" s="540"/>
      <c r="M310" s="530"/>
      <c r="N310" s="564"/>
    </row>
    <row r="311" spans="1:14" ht="14.25" customHeight="1" x14ac:dyDescent="0.25">
      <c r="A311" s="563"/>
      <c r="B311" s="529" t="s">
        <v>667</v>
      </c>
      <c r="C311" s="523" t="s">
        <v>665</v>
      </c>
      <c r="D311" s="426" t="s">
        <v>619</v>
      </c>
      <c r="E311" s="426" t="s">
        <v>186</v>
      </c>
      <c r="F311" s="426"/>
      <c r="G311" s="440"/>
      <c r="H311" s="441"/>
      <c r="I311" s="428">
        <v>1</v>
      </c>
      <c r="J311" s="530">
        <f t="shared" si="5"/>
        <v>0</v>
      </c>
      <c r="K311" s="289"/>
      <c r="L311" s="540"/>
      <c r="M311" s="530"/>
      <c r="N311" s="564"/>
    </row>
    <row r="312" spans="1:14" ht="14.25" customHeight="1" x14ac:dyDescent="0.25">
      <c r="A312" s="563"/>
      <c r="B312" s="529" t="s">
        <v>667</v>
      </c>
      <c r="C312" s="523" t="s">
        <v>665</v>
      </c>
      <c r="D312" s="426" t="s">
        <v>620</v>
      </c>
      <c r="E312" s="426" t="s">
        <v>186</v>
      </c>
      <c r="F312" s="426"/>
      <c r="G312" s="440"/>
      <c r="H312" s="441"/>
      <c r="I312" s="428">
        <v>1</v>
      </c>
      <c r="J312" s="530">
        <f t="shared" si="5"/>
        <v>0</v>
      </c>
      <c r="K312" s="289"/>
      <c r="L312" s="540"/>
      <c r="M312" s="530"/>
      <c r="N312" s="564"/>
    </row>
    <row r="313" spans="1:14" ht="14.25" customHeight="1" x14ac:dyDescent="0.25">
      <c r="A313" s="563"/>
      <c r="B313" s="529" t="s">
        <v>667</v>
      </c>
      <c r="C313" s="523" t="s">
        <v>665</v>
      </c>
      <c r="D313" s="426" t="s">
        <v>621</v>
      </c>
      <c r="E313" s="426" t="s">
        <v>186</v>
      </c>
      <c r="F313" s="426"/>
      <c r="G313" s="440"/>
      <c r="H313" s="441"/>
      <c r="I313" s="428">
        <v>1</v>
      </c>
      <c r="J313" s="530">
        <f t="shared" si="5"/>
        <v>0</v>
      </c>
      <c r="K313" s="289"/>
      <c r="L313" s="540"/>
      <c r="M313" s="530"/>
      <c r="N313" s="564"/>
    </row>
    <row r="314" spans="1:14" ht="14.25" customHeight="1" x14ac:dyDescent="0.25">
      <c r="A314" s="563"/>
      <c r="B314" s="529" t="s">
        <v>667</v>
      </c>
      <c r="C314" s="523" t="s">
        <v>665</v>
      </c>
      <c r="D314" s="426" t="s">
        <v>617</v>
      </c>
      <c r="E314" s="426" t="s">
        <v>186</v>
      </c>
      <c r="F314" s="426"/>
      <c r="G314" s="440"/>
      <c r="H314" s="441"/>
      <c r="I314" s="428">
        <v>1</v>
      </c>
      <c r="J314" s="530">
        <f t="shared" si="5"/>
        <v>0</v>
      </c>
      <c r="K314" s="289"/>
      <c r="L314" s="540"/>
      <c r="M314" s="530"/>
      <c r="N314" s="564"/>
    </row>
    <row r="315" spans="1:14" ht="14.25" customHeight="1" x14ac:dyDescent="0.25">
      <c r="A315" s="563"/>
      <c r="B315" s="529" t="s">
        <v>667</v>
      </c>
      <c r="C315" s="523" t="s">
        <v>665</v>
      </c>
      <c r="D315" s="426" t="s">
        <v>622</v>
      </c>
      <c r="E315" s="426" t="s">
        <v>686</v>
      </c>
      <c r="F315" s="426"/>
      <c r="G315" s="440"/>
      <c r="H315" s="441"/>
      <c r="I315" s="428">
        <v>1</v>
      </c>
      <c r="J315" s="530">
        <f t="shared" si="5"/>
        <v>0</v>
      </c>
      <c r="K315" s="289"/>
      <c r="L315" s="540"/>
      <c r="M315" s="530"/>
      <c r="N315" s="564"/>
    </row>
    <row r="316" spans="1:14" ht="14.25" customHeight="1" x14ac:dyDescent="0.25">
      <c r="A316" s="563"/>
      <c r="B316" s="529" t="s">
        <v>667</v>
      </c>
      <c r="C316" s="523" t="s">
        <v>665</v>
      </c>
      <c r="D316" s="426" t="s">
        <v>623</v>
      </c>
      <c r="E316" s="426" t="s">
        <v>186</v>
      </c>
      <c r="F316" s="426"/>
      <c r="G316" s="440"/>
      <c r="H316" s="441"/>
      <c r="I316" s="428">
        <v>1</v>
      </c>
      <c r="J316" s="530">
        <f t="shared" si="5"/>
        <v>0</v>
      </c>
      <c r="K316" s="289"/>
      <c r="L316" s="540"/>
      <c r="M316" s="530"/>
      <c r="N316" s="564"/>
    </row>
    <row r="317" spans="1:14" ht="14.25" customHeight="1" x14ac:dyDescent="0.25">
      <c r="A317" s="563"/>
      <c r="B317" s="529" t="s">
        <v>667</v>
      </c>
      <c r="C317" s="523" t="s">
        <v>665</v>
      </c>
      <c r="D317" s="426" t="s">
        <v>624</v>
      </c>
      <c r="E317" s="426" t="s">
        <v>686</v>
      </c>
      <c r="F317" s="426"/>
      <c r="G317" s="440"/>
      <c r="H317" s="441"/>
      <c r="I317" s="428">
        <v>1</v>
      </c>
      <c r="J317" s="530">
        <f t="shared" si="5"/>
        <v>0</v>
      </c>
      <c r="K317" s="289"/>
      <c r="L317" s="540"/>
      <c r="M317" s="530"/>
      <c r="N317" s="564"/>
    </row>
    <row r="318" spans="1:14" ht="14.25" customHeight="1" x14ac:dyDescent="0.25">
      <c r="A318" s="563"/>
      <c r="B318" s="529" t="s">
        <v>667</v>
      </c>
      <c r="C318" s="523" t="s">
        <v>665</v>
      </c>
      <c r="D318" s="426" t="s">
        <v>625</v>
      </c>
      <c r="E318" s="426" t="s">
        <v>186</v>
      </c>
      <c r="F318" s="426"/>
      <c r="G318" s="440"/>
      <c r="H318" s="441"/>
      <c r="I318" s="428">
        <v>1</v>
      </c>
      <c r="J318" s="530">
        <f t="shared" si="5"/>
        <v>0</v>
      </c>
      <c r="K318" s="289"/>
      <c r="L318" s="540"/>
      <c r="M318" s="530"/>
      <c r="N318" s="564"/>
    </row>
    <row r="319" spans="1:14" ht="14.25" customHeight="1" x14ac:dyDescent="0.25">
      <c r="A319" s="563"/>
      <c r="B319" s="529" t="s">
        <v>667</v>
      </c>
      <c r="C319" s="523" t="s">
        <v>665</v>
      </c>
      <c r="D319" s="426" t="s">
        <v>626</v>
      </c>
      <c r="E319" s="426" t="s">
        <v>686</v>
      </c>
      <c r="F319" s="426"/>
      <c r="G319" s="440"/>
      <c r="H319" s="441"/>
      <c r="I319" s="428">
        <v>1</v>
      </c>
      <c r="J319" s="530">
        <f t="shared" si="5"/>
        <v>0</v>
      </c>
      <c r="K319" s="289"/>
      <c r="L319" s="540"/>
      <c r="M319" s="530"/>
      <c r="N319" s="564"/>
    </row>
    <row r="320" spans="1:14" ht="14.25" customHeight="1" x14ac:dyDescent="0.25">
      <c r="A320" s="563"/>
      <c r="B320" s="529" t="s">
        <v>667</v>
      </c>
      <c r="C320" s="523" t="s">
        <v>665</v>
      </c>
      <c r="D320" s="426" t="s">
        <v>627</v>
      </c>
      <c r="E320" s="426" t="s">
        <v>186</v>
      </c>
      <c r="F320" s="426"/>
      <c r="G320" s="440"/>
      <c r="H320" s="441"/>
      <c r="I320" s="428">
        <v>1</v>
      </c>
      <c r="J320" s="530">
        <f t="shared" si="5"/>
        <v>0</v>
      </c>
      <c r="K320" s="289"/>
      <c r="L320" s="540"/>
      <c r="M320" s="530"/>
      <c r="N320" s="564"/>
    </row>
    <row r="321" spans="1:14" ht="14.25" customHeight="1" x14ac:dyDescent="0.25">
      <c r="A321" s="563"/>
      <c r="B321" s="529" t="s">
        <v>667</v>
      </c>
      <c r="C321" s="523" t="s">
        <v>665</v>
      </c>
      <c r="D321" s="426" t="s">
        <v>668</v>
      </c>
      <c r="E321" s="426" t="s">
        <v>693</v>
      </c>
      <c r="F321" s="426"/>
      <c r="G321" s="440"/>
      <c r="H321" s="441"/>
      <c r="I321" s="428">
        <v>1</v>
      </c>
      <c r="J321" s="530">
        <f t="shared" si="5"/>
        <v>0</v>
      </c>
      <c r="K321" s="289"/>
      <c r="L321" s="540"/>
      <c r="M321" s="530"/>
      <c r="N321" s="564"/>
    </row>
    <row r="322" spans="1:14" ht="14.25" customHeight="1" x14ac:dyDescent="0.25">
      <c r="A322" s="563"/>
      <c r="B322" s="529" t="s">
        <v>667</v>
      </c>
      <c r="C322" s="523" t="s">
        <v>665</v>
      </c>
      <c r="D322" s="426" t="s">
        <v>669</v>
      </c>
      <c r="E322" s="426" t="s">
        <v>694</v>
      </c>
      <c r="F322" s="426">
        <v>21.96</v>
      </c>
      <c r="G322" s="440">
        <v>1.2</v>
      </c>
      <c r="H322" s="441" t="s">
        <v>701</v>
      </c>
      <c r="I322" s="428">
        <v>1</v>
      </c>
      <c r="J322" s="530">
        <f>F322*G322</f>
        <v>26.352</v>
      </c>
      <c r="K322" s="289"/>
      <c r="L322" s="540"/>
      <c r="M322" s="530"/>
      <c r="N322" s="564"/>
    </row>
    <row r="323" spans="1:14" ht="14.25" customHeight="1" x14ac:dyDescent="0.25">
      <c r="A323" s="563"/>
      <c r="B323" s="529" t="s">
        <v>667</v>
      </c>
      <c r="C323" s="523" t="s">
        <v>665</v>
      </c>
      <c r="D323" s="426" t="s">
        <v>670</v>
      </c>
      <c r="E323" s="426"/>
      <c r="F323" s="426"/>
      <c r="G323" s="440"/>
      <c r="H323" s="441"/>
      <c r="I323" s="428">
        <v>1</v>
      </c>
      <c r="J323" s="530">
        <f t="shared" si="5"/>
        <v>0</v>
      </c>
      <c r="K323" s="289"/>
      <c r="L323" s="540"/>
      <c r="M323" s="530"/>
      <c r="N323" s="564"/>
    </row>
    <row r="324" spans="1:14" ht="14.25" customHeight="1" x14ac:dyDescent="0.25">
      <c r="A324" s="563"/>
      <c r="B324" s="529" t="s">
        <v>667</v>
      </c>
      <c r="C324" s="523" t="s">
        <v>666</v>
      </c>
      <c r="D324" s="426" t="s">
        <v>614</v>
      </c>
      <c r="E324" s="426" t="s">
        <v>186</v>
      </c>
      <c r="F324" s="426"/>
      <c r="G324" s="440"/>
      <c r="H324" s="441"/>
      <c r="I324" s="428">
        <v>1</v>
      </c>
      <c r="J324" s="530">
        <f t="shared" si="5"/>
        <v>0</v>
      </c>
      <c r="K324" s="289"/>
      <c r="L324" s="540"/>
      <c r="M324" s="530"/>
      <c r="N324" s="564"/>
    </row>
    <row r="325" spans="1:14" ht="14.25" customHeight="1" x14ac:dyDescent="0.25">
      <c r="A325" s="563"/>
      <c r="B325" s="529" t="s">
        <v>667</v>
      </c>
      <c r="C325" s="523" t="s">
        <v>666</v>
      </c>
      <c r="D325" s="426" t="s">
        <v>615</v>
      </c>
      <c r="E325" s="426" t="s">
        <v>186</v>
      </c>
      <c r="F325" s="426"/>
      <c r="G325" s="440"/>
      <c r="H325" s="441"/>
      <c r="I325" s="428">
        <v>1</v>
      </c>
      <c r="J325" s="530">
        <f t="shared" si="5"/>
        <v>0</v>
      </c>
      <c r="K325" s="289"/>
      <c r="L325" s="540"/>
      <c r="M325" s="530"/>
      <c r="N325" s="564"/>
    </row>
    <row r="326" spans="1:14" ht="14.25" customHeight="1" x14ac:dyDescent="0.25">
      <c r="A326" s="563"/>
      <c r="B326" s="529" t="s">
        <v>667</v>
      </c>
      <c r="C326" s="523" t="s">
        <v>666</v>
      </c>
      <c r="D326" s="426" t="s">
        <v>616</v>
      </c>
      <c r="E326" s="426" t="s">
        <v>186</v>
      </c>
      <c r="F326" s="426"/>
      <c r="G326" s="440"/>
      <c r="H326" s="441"/>
      <c r="I326" s="428">
        <v>1</v>
      </c>
      <c r="J326" s="530">
        <f t="shared" si="5"/>
        <v>0</v>
      </c>
      <c r="K326" s="289"/>
      <c r="L326" s="540"/>
      <c r="M326" s="530"/>
      <c r="N326" s="564"/>
    </row>
    <row r="327" spans="1:14" ht="14.25" customHeight="1" x14ac:dyDescent="0.25">
      <c r="A327" s="563"/>
      <c r="B327" s="529" t="s">
        <v>667</v>
      </c>
      <c r="C327" s="523" t="s">
        <v>666</v>
      </c>
      <c r="D327" s="426" t="s">
        <v>618</v>
      </c>
      <c r="E327" s="426" t="s">
        <v>693</v>
      </c>
      <c r="F327" s="426"/>
      <c r="G327" s="440"/>
      <c r="H327" s="441"/>
      <c r="I327" s="428">
        <v>1</v>
      </c>
      <c r="J327" s="530">
        <f t="shared" si="5"/>
        <v>0</v>
      </c>
      <c r="K327" s="289"/>
      <c r="L327" s="540"/>
      <c r="M327" s="530"/>
      <c r="N327" s="564"/>
    </row>
    <row r="328" spans="1:14" ht="14.25" customHeight="1" x14ac:dyDescent="0.25">
      <c r="A328" s="563"/>
      <c r="B328" s="529" t="s">
        <v>667</v>
      </c>
      <c r="C328" s="523" t="s">
        <v>666</v>
      </c>
      <c r="D328" s="426" t="s">
        <v>689</v>
      </c>
      <c r="E328" s="426" t="s">
        <v>694</v>
      </c>
      <c r="F328" s="426">
        <v>13.75</v>
      </c>
      <c r="G328" s="440">
        <v>1.2</v>
      </c>
      <c r="H328" s="441" t="s">
        <v>701</v>
      </c>
      <c r="I328" s="428">
        <v>1</v>
      </c>
      <c r="J328" s="530">
        <f>F328*G328</f>
        <v>16.5</v>
      </c>
      <c r="K328" s="289"/>
      <c r="L328" s="540"/>
      <c r="M328" s="530"/>
      <c r="N328" s="564"/>
    </row>
    <row r="329" spans="1:14" ht="14.25" customHeight="1" x14ac:dyDescent="0.25">
      <c r="A329" s="563"/>
      <c r="B329" s="529" t="s">
        <v>667</v>
      </c>
      <c r="C329" s="523" t="s">
        <v>666</v>
      </c>
      <c r="D329" s="426" t="s">
        <v>619</v>
      </c>
      <c r="E329" s="426" t="s">
        <v>186</v>
      </c>
      <c r="F329" s="426"/>
      <c r="G329" s="440"/>
      <c r="H329" s="441"/>
      <c r="I329" s="428">
        <v>1</v>
      </c>
      <c r="J329" s="530">
        <f t="shared" si="5"/>
        <v>0</v>
      </c>
      <c r="K329" s="289"/>
      <c r="L329" s="540"/>
      <c r="M329" s="530"/>
      <c r="N329" s="564"/>
    </row>
    <row r="330" spans="1:14" ht="14.25" customHeight="1" x14ac:dyDescent="0.25">
      <c r="A330" s="563"/>
      <c r="B330" s="529" t="s">
        <v>667</v>
      </c>
      <c r="C330" s="523" t="s">
        <v>666</v>
      </c>
      <c r="D330" s="426" t="s">
        <v>620</v>
      </c>
      <c r="E330" s="426" t="s">
        <v>186</v>
      </c>
      <c r="F330" s="426"/>
      <c r="G330" s="440"/>
      <c r="H330" s="441"/>
      <c r="I330" s="428">
        <v>1</v>
      </c>
      <c r="J330" s="530">
        <f t="shared" si="5"/>
        <v>0</v>
      </c>
      <c r="K330" s="289"/>
      <c r="L330" s="540"/>
      <c r="M330" s="530"/>
      <c r="N330" s="564"/>
    </row>
    <row r="331" spans="1:14" ht="14.25" customHeight="1" x14ac:dyDescent="0.25">
      <c r="A331" s="563"/>
      <c r="B331" s="529" t="s">
        <v>667</v>
      </c>
      <c r="C331" s="523" t="s">
        <v>666</v>
      </c>
      <c r="D331" s="426" t="s">
        <v>640</v>
      </c>
      <c r="E331" s="426" t="s">
        <v>186</v>
      </c>
      <c r="F331" s="426"/>
      <c r="G331" s="440"/>
      <c r="H331" s="441"/>
      <c r="I331" s="428">
        <v>1</v>
      </c>
      <c r="J331" s="530">
        <f t="shared" si="5"/>
        <v>0</v>
      </c>
      <c r="K331" s="289"/>
      <c r="L331" s="540"/>
      <c r="M331" s="530"/>
      <c r="N331" s="564"/>
    </row>
    <row r="332" spans="1:14" ht="14.25" customHeight="1" x14ac:dyDescent="0.25">
      <c r="A332" s="563"/>
      <c r="B332" s="529" t="s">
        <v>667</v>
      </c>
      <c r="C332" s="523" t="s">
        <v>666</v>
      </c>
      <c r="D332" s="426" t="s">
        <v>621</v>
      </c>
      <c r="E332" s="426" t="s">
        <v>186</v>
      </c>
      <c r="F332" s="426"/>
      <c r="G332" s="440"/>
      <c r="H332" s="441"/>
      <c r="I332" s="428">
        <v>1</v>
      </c>
      <c r="J332" s="530">
        <f t="shared" ref="J332:J395" si="6">G332*I332</f>
        <v>0</v>
      </c>
      <c r="K332" s="289"/>
      <c r="L332" s="540"/>
      <c r="M332" s="530"/>
      <c r="N332" s="564"/>
    </row>
    <row r="333" spans="1:14" ht="14.25" customHeight="1" x14ac:dyDescent="0.25">
      <c r="A333" s="563"/>
      <c r="B333" s="529" t="s">
        <v>667</v>
      </c>
      <c r="C333" s="523" t="s">
        <v>666</v>
      </c>
      <c r="D333" s="426" t="s">
        <v>617</v>
      </c>
      <c r="E333" s="426" t="s">
        <v>186</v>
      </c>
      <c r="F333" s="426"/>
      <c r="G333" s="440"/>
      <c r="H333" s="441"/>
      <c r="I333" s="428">
        <v>1</v>
      </c>
      <c r="J333" s="530">
        <f t="shared" si="6"/>
        <v>0</v>
      </c>
      <c r="K333" s="289"/>
      <c r="L333" s="540"/>
      <c r="M333" s="530"/>
      <c r="N333" s="564"/>
    </row>
    <row r="334" spans="1:14" ht="14.25" customHeight="1" x14ac:dyDescent="0.25">
      <c r="A334" s="563"/>
      <c r="B334" s="529" t="s">
        <v>667</v>
      </c>
      <c r="C334" s="523" t="s">
        <v>666</v>
      </c>
      <c r="D334" s="426" t="s">
        <v>622</v>
      </c>
      <c r="E334" s="426" t="s">
        <v>686</v>
      </c>
      <c r="F334" s="426"/>
      <c r="G334" s="440"/>
      <c r="H334" s="441"/>
      <c r="I334" s="428">
        <v>1</v>
      </c>
      <c r="J334" s="530">
        <f t="shared" si="6"/>
        <v>0</v>
      </c>
      <c r="K334" s="289"/>
      <c r="L334" s="540"/>
      <c r="M334" s="530"/>
      <c r="N334" s="564"/>
    </row>
    <row r="335" spans="1:14" ht="14.25" customHeight="1" x14ac:dyDescent="0.25">
      <c r="A335" s="563"/>
      <c r="B335" s="529" t="s">
        <v>667</v>
      </c>
      <c r="C335" s="523" t="s">
        <v>666</v>
      </c>
      <c r="D335" s="426" t="s">
        <v>623</v>
      </c>
      <c r="E335" s="426" t="s">
        <v>186</v>
      </c>
      <c r="F335" s="426"/>
      <c r="G335" s="440"/>
      <c r="H335" s="441"/>
      <c r="I335" s="428">
        <v>1</v>
      </c>
      <c r="J335" s="530">
        <f t="shared" si="6"/>
        <v>0</v>
      </c>
      <c r="K335" s="289"/>
      <c r="L335" s="540"/>
      <c r="M335" s="530"/>
      <c r="N335" s="564"/>
    </row>
    <row r="336" spans="1:14" ht="14.25" customHeight="1" x14ac:dyDescent="0.25">
      <c r="A336" s="563"/>
      <c r="B336" s="529" t="s">
        <v>667</v>
      </c>
      <c r="C336" s="523" t="s">
        <v>666</v>
      </c>
      <c r="D336" s="426" t="s">
        <v>630</v>
      </c>
      <c r="E336" s="426" t="s">
        <v>686</v>
      </c>
      <c r="F336" s="426"/>
      <c r="G336" s="440"/>
      <c r="H336" s="441"/>
      <c r="I336" s="428">
        <v>1</v>
      </c>
      <c r="J336" s="530">
        <f t="shared" si="6"/>
        <v>0</v>
      </c>
      <c r="K336" s="289"/>
      <c r="L336" s="540"/>
      <c r="M336" s="530"/>
      <c r="N336" s="564"/>
    </row>
    <row r="337" spans="1:14" ht="14.25" customHeight="1" x14ac:dyDescent="0.25">
      <c r="A337" s="563"/>
      <c r="B337" s="529" t="s">
        <v>667</v>
      </c>
      <c r="C337" s="523" t="s">
        <v>666</v>
      </c>
      <c r="D337" s="426" t="s">
        <v>631</v>
      </c>
      <c r="E337" s="426" t="s">
        <v>186</v>
      </c>
      <c r="F337" s="426"/>
      <c r="G337" s="440"/>
      <c r="H337" s="441"/>
      <c r="I337" s="428">
        <v>1</v>
      </c>
      <c r="J337" s="530">
        <f t="shared" si="6"/>
        <v>0</v>
      </c>
      <c r="K337" s="289"/>
      <c r="L337" s="540"/>
      <c r="M337" s="530"/>
      <c r="N337" s="564"/>
    </row>
    <row r="338" spans="1:14" ht="14.25" customHeight="1" x14ac:dyDescent="0.25">
      <c r="A338" s="563"/>
      <c r="B338" s="529" t="s">
        <v>667</v>
      </c>
      <c r="C338" s="523" t="s">
        <v>666</v>
      </c>
      <c r="D338" s="426" t="s">
        <v>624</v>
      </c>
      <c r="E338" s="426" t="s">
        <v>686</v>
      </c>
      <c r="F338" s="426"/>
      <c r="G338" s="440"/>
      <c r="H338" s="441"/>
      <c r="I338" s="428">
        <v>1</v>
      </c>
      <c r="J338" s="530">
        <f t="shared" si="6"/>
        <v>0</v>
      </c>
      <c r="K338" s="289"/>
      <c r="L338" s="540"/>
      <c r="M338" s="530"/>
      <c r="N338" s="564"/>
    </row>
    <row r="339" spans="1:14" ht="14.25" customHeight="1" x14ac:dyDescent="0.25">
      <c r="A339" s="563"/>
      <c r="B339" s="529" t="s">
        <v>667</v>
      </c>
      <c r="C339" s="523" t="s">
        <v>666</v>
      </c>
      <c r="D339" s="426" t="s">
        <v>625</v>
      </c>
      <c r="E339" s="426" t="s">
        <v>186</v>
      </c>
      <c r="F339" s="426"/>
      <c r="G339" s="440"/>
      <c r="H339" s="441"/>
      <c r="I339" s="428">
        <v>1</v>
      </c>
      <c r="J339" s="530">
        <f t="shared" si="6"/>
        <v>0</v>
      </c>
      <c r="K339" s="289"/>
      <c r="L339" s="540"/>
      <c r="M339" s="530"/>
      <c r="N339" s="564"/>
    </row>
    <row r="340" spans="1:14" ht="14.25" customHeight="1" x14ac:dyDescent="0.25">
      <c r="A340" s="563"/>
      <c r="B340" s="529" t="s">
        <v>667</v>
      </c>
      <c r="C340" s="523" t="s">
        <v>666</v>
      </c>
      <c r="D340" s="426" t="s">
        <v>626</v>
      </c>
      <c r="E340" s="426" t="s">
        <v>686</v>
      </c>
      <c r="F340" s="426"/>
      <c r="G340" s="440"/>
      <c r="H340" s="441"/>
      <c r="I340" s="428">
        <v>1</v>
      </c>
      <c r="J340" s="530">
        <f t="shared" si="6"/>
        <v>0</v>
      </c>
      <c r="K340" s="289"/>
      <c r="L340" s="540"/>
      <c r="M340" s="530"/>
      <c r="N340" s="564"/>
    </row>
    <row r="341" spans="1:14" ht="14.25" customHeight="1" x14ac:dyDescent="0.25">
      <c r="A341" s="563"/>
      <c r="B341" s="529" t="s">
        <v>667</v>
      </c>
      <c r="C341" s="523" t="s">
        <v>666</v>
      </c>
      <c r="D341" s="426" t="s">
        <v>627</v>
      </c>
      <c r="E341" s="426" t="s">
        <v>186</v>
      </c>
      <c r="F341" s="426"/>
      <c r="G341" s="440"/>
      <c r="H341" s="441"/>
      <c r="I341" s="428">
        <v>1</v>
      </c>
      <c r="J341" s="530">
        <f t="shared" si="6"/>
        <v>0</v>
      </c>
      <c r="K341" s="289"/>
      <c r="L341" s="540"/>
      <c r="M341" s="530"/>
      <c r="N341" s="564"/>
    </row>
    <row r="342" spans="1:14" ht="14.25" customHeight="1" x14ac:dyDescent="0.25">
      <c r="A342" s="563"/>
      <c r="B342" s="529" t="s">
        <v>667</v>
      </c>
      <c r="C342" s="523" t="s">
        <v>666</v>
      </c>
      <c r="D342" s="426" t="s">
        <v>668</v>
      </c>
      <c r="E342" s="426" t="s">
        <v>693</v>
      </c>
      <c r="F342" s="426"/>
      <c r="G342" s="440"/>
      <c r="H342" s="441"/>
      <c r="I342" s="428">
        <v>1</v>
      </c>
      <c r="J342" s="530">
        <f t="shared" si="6"/>
        <v>0</v>
      </c>
      <c r="K342" s="289"/>
      <c r="L342" s="540"/>
      <c r="M342" s="530"/>
      <c r="N342" s="564"/>
    </row>
    <row r="343" spans="1:14" ht="14.25" customHeight="1" x14ac:dyDescent="0.25">
      <c r="A343" s="563"/>
      <c r="B343" s="529" t="s">
        <v>667</v>
      </c>
      <c r="C343" s="523" t="s">
        <v>666</v>
      </c>
      <c r="D343" s="426" t="s">
        <v>669</v>
      </c>
      <c r="E343" s="426" t="s">
        <v>694</v>
      </c>
      <c r="F343" s="426">
        <v>21.96</v>
      </c>
      <c r="G343" s="440">
        <v>1.2</v>
      </c>
      <c r="H343" s="441" t="s">
        <v>701</v>
      </c>
      <c r="I343" s="428">
        <v>1</v>
      </c>
      <c r="J343" s="530">
        <f>F343*G343</f>
        <v>26.352</v>
      </c>
      <c r="K343" s="289"/>
      <c r="L343" s="540"/>
      <c r="M343" s="530"/>
      <c r="N343" s="564"/>
    </row>
    <row r="344" spans="1:14" ht="14.25" customHeight="1" x14ac:dyDescent="0.25">
      <c r="A344" s="563"/>
      <c r="B344" s="529" t="s">
        <v>667</v>
      </c>
      <c r="C344" s="523" t="s">
        <v>666</v>
      </c>
      <c r="D344" s="426" t="s">
        <v>670</v>
      </c>
      <c r="E344" s="426"/>
      <c r="F344" s="426"/>
      <c r="G344" s="440"/>
      <c r="H344" s="441"/>
      <c r="I344" s="428">
        <v>1</v>
      </c>
      <c r="J344" s="530">
        <f t="shared" si="6"/>
        <v>0</v>
      </c>
      <c r="K344" s="289"/>
      <c r="L344" s="540"/>
      <c r="M344" s="530"/>
      <c r="N344" s="564"/>
    </row>
    <row r="345" spans="1:14" ht="14.25" customHeight="1" x14ac:dyDescent="0.25">
      <c r="A345" s="563"/>
      <c r="B345" s="529" t="s">
        <v>667</v>
      </c>
      <c r="C345" s="523" t="s">
        <v>660</v>
      </c>
      <c r="D345" s="426" t="s">
        <v>614</v>
      </c>
      <c r="E345" s="426" t="s">
        <v>186</v>
      </c>
      <c r="F345" s="426"/>
      <c r="G345" s="440"/>
      <c r="H345" s="441"/>
      <c r="I345" s="428">
        <v>1</v>
      </c>
      <c r="J345" s="530">
        <f t="shared" si="6"/>
        <v>0</v>
      </c>
      <c r="K345" s="289"/>
      <c r="L345" s="540"/>
      <c r="M345" s="530"/>
      <c r="N345" s="564"/>
    </row>
    <row r="346" spans="1:14" ht="14.25" customHeight="1" x14ac:dyDescent="0.25">
      <c r="A346" s="563"/>
      <c r="B346" s="529" t="s">
        <v>667</v>
      </c>
      <c r="C346" s="523" t="s">
        <v>660</v>
      </c>
      <c r="D346" s="426" t="s">
        <v>615</v>
      </c>
      <c r="E346" s="426" t="s">
        <v>186</v>
      </c>
      <c r="F346" s="426"/>
      <c r="G346" s="440"/>
      <c r="H346" s="441"/>
      <c r="I346" s="428">
        <v>1</v>
      </c>
      <c r="J346" s="530">
        <f t="shared" si="6"/>
        <v>0</v>
      </c>
      <c r="K346" s="289"/>
      <c r="L346" s="540"/>
      <c r="M346" s="530"/>
      <c r="N346" s="564"/>
    </row>
    <row r="347" spans="1:14" ht="14.25" customHeight="1" x14ac:dyDescent="0.25">
      <c r="A347" s="563"/>
      <c r="B347" s="529" t="s">
        <v>667</v>
      </c>
      <c r="C347" s="523" t="s">
        <v>660</v>
      </c>
      <c r="D347" s="426" t="s">
        <v>616</v>
      </c>
      <c r="E347" s="426" t="s">
        <v>186</v>
      </c>
      <c r="F347" s="426"/>
      <c r="G347" s="440"/>
      <c r="H347" s="441"/>
      <c r="I347" s="428">
        <v>1</v>
      </c>
      <c r="J347" s="530">
        <f t="shared" si="6"/>
        <v>0</v>
      </c>
      <c r="K347" s="289"/>
      <c r="L347" s="540"/>
      <c r="M347" s="530"/>
      <c r="N347" s="564"/>
    </row>
    <row r="348" spans="1:14" ht="14.25" customHeight="1" x14ac:dyDescent="0.25">
      <c r="A348" s="563"/>
      <c r="B348" s="529" t="s">
        <v>667</v>
      </c>
      <c r="C348" s="523" t="s">
        <v>660</v>
      </c>
      <c r="D348" s="426" t="s">
        <v>618</v>
      </c>
      <c r="E348" s="426" t="s">
        <v>693</v>
      </c>
      <c r="F348" s="426"/>
      <c r="G348" s="440"/>
      <c r="H348" s="441"/>
      <c r="I348" s="428">
        <v>1</v>
      </c>
      <c r="J348" s="530">
        <f t="shared" si="6"/>
        <v>0</v>
      </c>
      <c r="K348" s="289"/>
      <c r="L348" s="540"/>
      <c r="M348" s="530"/>
      <c r="N348" s="564"/>
    </row>
    <row r="349" spans="1:14" ht="14.25" customHeight="1" x14ac:dyDescent="0.25">
      <c r="A349" s="563"/>
      <c r="B349" s="529" t="s">
        <v>667</v>
      </c>
      <c r="C349" s="523" t="s">
        <v>660</v>
      </c>
      <c r="D349" s="426" t="s">
        <v>689</v>
      </c>
      <c r="E349" s="426" t="s">
        <v>694</v>
      </c>
      <c r="F349" s="426">
        <v>14.37</v>
      </c>
      <c r="G349" s="440">
        <v>1.2</v>
      </c>
      <c r="H349" s="441" t="s">
        <v>701</v>
      </c>
      <c r="I349" s="428">
        <v>1</v>
      </c>
      <c r="J349" s="530">
        <f>F349*G349</f>
        <v>17.244</v>
      </c>
      <c r="K349" s="289"/>
      <c r="L349" s="540"/>
      <c r="M349" s="530"/>
      <c r="N349" s="564"/>
    </row>
    <row r="350" spans="1:14" ht="14.25" customHeight="1" x14ac:dyDescent="0.25">
      <c r="A350" s="563"/>
      <c r="B350" s="529" t="s">
        <v>667</v>
      </c>
      <c r="C350" s="523" t="s">
        <v>660</v>
      </c>
      <c r="D350" s="426" t="s">
        <v>619</v>
      </c>
      <c r="E350" s="426" t="s">
        <v>186</v>
      </c>
      <c r="F350" s="426"/>
      <c r="G350" s="440"/>
      <c r="H350" s="441"/>
      <c r="I350" s="428">
        <v>1</v>
      </c>
      <c r="J350" s="530">
        <f t="shared" si="6"/>
        <v>0</v>
      </c>
      <c r="K350" s="289"/>
      <c r="L350" s="540"/>
      <c r="M350" s="530"/>
      <c r="N350" s="564"/>
    </row>
    <row r="351" spans="1:14" ht="14.25" customHeight="1" x14ac:dyDescent="0.25">
      <c r="A351" s="563"/>
      <c r="B351" s="529" t="s">
        <v>667</v>
      </c>
      <c r="C351" s="523" t="s">
        <v>660</v>
      </c>
      <c r="D351" s="426" t="s">
        <v>620</v>
      </c>
      <c r="E351" s="426" t="s">
        <v>186</v>
      </c>
      <c r="F351" s="426"/>
      <c r="G351" s="440"/>
      <c r="H351" s="441"/>
      <c r="I351" s="428">
        <v>1</v>
      </c>
      <c r="J351" s="530">
        <f t="shared" si="6"/>
        <v>0</v>
      </c>
      <c r="K351" s="289"/>
      <c r="L351" s="540"/>
      <c r="M351" s="530"/>
      <c r="N351" s="564"/>
    </row>
    <row r="352" spans="1:14" ht="14.25" customHeight="1" x14ac:dyDescent="0.25">
      <c r="A352" s="563"/>
      <c r="B352" s="529" t="s">
        <v>667</v>
      </c>
      <c r="C352" s="523" t="s">
        <v>660</v>
      </c>
      <c r="D352" s="426" t="s">
        <v>621</v>
      </c>
      <c r="E352" s="426" t="s">
        <v>186</v>
      </c>
      <c r="F352" s="426"/>
      <c r="G352" s="440"/>
      <c r="H352" s="441"/>
      <c r="I352" s="428">
        <v>1</v>
      </c>
      <c r="J352" s="530">
        <f t="shared" si="6"/>
        <v>0</v>
      </c>
      <c r="K352" s="289"/>
      <c r="L352" s="540"/>
      <c r="M352" s="530"/>
      <c r="N352" s="564"/>
    </row>
    <row r="353" spans="1:14" ht="14.25" customHeight="1" x14ac:dyDescent="0.25">
      <c r="A353" s="563"/>
      <c r="B353" s="529" t="s">
        <v>667</v>
      </c>
      <c r="C353" s="523" t="s">
        <v>660</v>
      </c>
      <c r="D353" s="426" t="s">
        <v>617</v>
      </c>
      <c r="E353" s="426" t="s">
        <v>186</v>
      </c>
      <c r="F353" s="426"/>
      <c r="G353" s="440"/>
      <c r="H353" s="441"/>
      <c r="I353" s="428">
        <v>1</v>
      </c>
      <c r="J353" s="530">
        <f t="shared" si="6"/>
        <v>0</v>
      </c>
      <c r="K353" s="289"/>
      <c r="L353" s="540"/>
      <c r="M353" s="530"/>
      <c r="N353" s="564"/>
    </row>
    <row r="354" spans="1:14" ht="14.25" customHeight="1" x14ac:dyDescent="0.25">
      <c r="A354" s="563"/>
      <c r="B354" s="529" t="s">
        <v>667</v>
      </c>
      <c r="C354" s="523" t="s">
        <v>660</v>
      </c>
      <c r="D354" s="426" t="s">
        <v>622</v>
      </c>
      <c r="E354" s="426" t="s">
        <v>686</v>
      </c>
      <c r="F354" s="426"/>
      <c r="G354" s="440"/>
      <c r="H354" s="441"/>
      <c r="I354" s="428">
        <v>1</v>
      </c>
      <c r="J354" s="530">
        <f t="shared" si="6"/>
        <v>0</v>
      </c>
      <c r="K354" s="289"/>
      <c r="L354" s="540"/>
      <c r="M354" s="530"/>
      <c r="N354" s="564"/>
    </row>
    <row r="355" spans="1:14" ht="14.25" customHeight="1" x14ac:dyDescent="0.25">
      <c r="A355" s="563"/>
      <c r="B355" s="529" t="s">
        <v>667</v>
      </c>
      <c r="C355" s="523" t="s">
        <v>660</v>
      </c>
      <c r="D355" s="426" t="s">
        <v>623</v>
      </c>
      <c r="E355" s="426" t="s">
        <v>186</v>
      </c>
      <c r="F355" s="426"/>
      <c r="G355" s="440"/>
      <c r="H355" s="441"/>
      <c r="I355" s="428">
        <v>1</v>
      </c>
      <c r="J355" s="530">
        <f t="shared" si="6"/>
        <v>0</v>
      </c>
      <c r="K355" s="289"/>
      <c r="L355" s="540"/>
      <c r="M355" s="530"/>
      <c r="N355" s="564"/>
    </row>
    <row r="356" spans="1:14" ht="14.25" customHeight="1" x14ac:dyDescent="0.25">
      <c r="A356" s="563"/>
      <c r="B356" s="529" t="s">
        <v>667</v>
      </c>
      <c r="C356" s="523" t="s">
        <v>660</v>
      </c>
      <c r="D356" s="426" t="s">
        <v>624</v>
      </c>
      <c r="E356" s="426" t="s">
        <v>686</v>
      </c>
      <c r="F356" s="426"/>
      <c r="G356" s="440"/>
      <c r="H356" s="441"/>
      <c r="I356" s="428">
        <v>1</v>
      </c>
      <c r="J356" s="530">
        <f t="shared" si="6"/>
        <v>0</v>
      </c>
      <c r="K356" s="289"/>
      <c r="L356" s="540"/>
      <c r="M356" s="530"/>
      <c r="N356" s="564"/>
    </row>
    <row r="357" spans="1:14" ht="14.25" customHeight="1" x14ac:dyDescent="0.25">
      <c r="A357" s="563"/>
      <c r="B357" s="529" t="s">
        <v>667</v>
      </c>
      <c r="C357" s="523" t="s">
        <v>660</v>
      </c>
      <c r="D357" s="426" t="s">
        <v>625</v>
      </c>
      <c r="E357" s="426" t="s">
        <v>186</v>
      </c>
      <c r="F357" s="426"/>
      <c r="G357" s="440"/>
      <c r="H357" s="441"/>
      <c r="I357" s="428">
        <v>1</v>
      </c>
      <c r="J357" s="530">
        <f t="shared" si="6"/>
        <v>0</v>
      </c>
      <c r="K357" s="289"/>
      <c r="L357" s="540"/>
      <c r="M357" s="530"/>
      <c r="N357" s="564"/>
    </row>
    <row r="358" spans="1:14" ht="14.25" customHeight="1" x14ac:dyDescent="0.25">
      <c r="A358" s="563"/>
      <c r="B358" s="529" t="s">
        <v>667</v>
      </c>
      <c r="C358" s="523" t="s">
        <v>660</v>
      </c>
      <c r="D358" s="426" t="s">
        <v>626</v>
      </c>
      <c r="E358" s="426" t="s">
        <v>686</v>
      </c>
      <c r="F358" s="426"/>
      <c r="G358" s="440"/>
      <c r="H358" s="441"/>
      <c r="I358" s="428">
        <v>1</v>
      </c>
      <c r="J358" s="530">
        <f t="shared" si="6"/>
        <v>0</v>
      </c>
      <c r="K358" s="289"/>
      <c r="L358" s="540"/>
      <c r="M358" s="530"/>
      <c r="N358" s="564"/>
    </row>
    <row r="359" spans="1:14" ht="14.25" customHeight="1" x14ac:dyDescent="0.25">
      <c r="A359" s="563"/>
      <c r="B359" s="529" t="s">
        <v>667</v>
      </c>
      <c r="C359" s="523" t="s">
        <v>660</v>
      </c>
      <c r="D359" s="426" t="s">
        <v>627</v>
      </c>
      <c r="E359" s="426" t="s">
        <v>186</v>
      </c>
      <c r="F359" s="426"/>
      <c r="G359" s="440"/>
      <c r="H359" s="441"/>
      <c r="I359" s="428">
        <v>1</v>
      </c>
      <c r="J359" s="530">
        <f t="shared" si="6"/>
        <v>0</v>
      </c>
      <c r="K359" s="289"/>
      <c r="L359" s="540"/>
      <c r="M359" s="530"/>
      <c r="N359" s="564"/>
    </row>
    <row r="360" spans="1:14" ht="14.25" customHeight="1" x14ac:dyDescent="0.25">
      <c r="A360" s="563"/>
      <c r="B360" s="529" t="s">
        <v>667</v>
      </c>
      <c r="C360" s="523" t="s">
        <v>660</v>
      </c>
      <c r="D360" s="426" t="s">
        <v>668</v>
      </c>
      <c r="E360" s="426" t="s">
        <v>693</v>
      </c>
      <c r="F360" s="426"/>
      <c r="G360" s="440"/>
      <c r="H360" s="441"/>
      <c r="I360" s="428">
        <v>1</v>
      </c>
      <c r="J360" s="530">
        <f t="shared" si="6"/>
        <v>0</v>
      </c>
      <c r="K360" s="289"/>
      <c r="L360" s="540"/>
      <c r="M360" s="530"/>
      <c r="N360" s="564"/>
    </row>
    <row r="361" spans="1:14" ht="14.25" customHeight="1" x14ac:dyDescent="0.25">
      <c r="A361" s="563"/>
      <c r="B361" s="529" t="s">
        <v>667</v>
      </c>
      <c r="C361" s="523" t="s">
        <v>660</v>
      </c>
      <c r="D361" s="426" t="s">
        <v>669</v>
      </c>
      <c r="E361" s="426" t="s">
        <v>694</v>
      </c>
      <c r="F361" s="426">
        <v>21.96</v>
      </c>
      <c r="G361" s="440">
        <v>1.2</v>
      </c>
      <c r="H361" s="441" t="s">
        <v>701</v>
      </c>
      <c r="I361" s="428">
        <v>1</v>
      </c>
      <c r="J361" s="530">
        <f>F361*G361</f>
        <v>26.352</v>
      </c>
      <c r="K361" s="289"/>
      <c r="L361" s="540"/>
      <c r="M361" s="530"/>
      <c r="N361" s="564"/>
    </row>
    <row r="362" spans="1:14" ht="14.25" customHeight="1" x14ac:dyDescent="0.25">
      <c r="A362" s="563"/>
      <c r="B362" s="529" t="s">
        <v>667</v>
      </c>
      <c r="C362" s="523" t="s">
        <v>660</v>
      </c>
      <c r="D362" s="426" t="s">
        <v>670</v>
      </c>
      <c r="E362" s="426"/>
      <c r="F362" s="426"/>
      <c r="G362" s="440"/>
      <c r="H362" s="441"/>
      <c r="I362" s="428">
        <v>1</v>
      </c>
      <c r="J362" s="530">
        <f t="shared" si="6"/>
        <v>0</v>
      </c>
      <c r="K362" s="289"/>
      <c r="L362" s="540"/>
      <c r="M362" s="530"/>
      <c r="N362" s="564"/>
    </row>
    <row r="363" spans="1:14" ht="14.25" customHeight="1" x14ac:dyDescent="0.25">
      <c r="A363" s="563"/>
      <c r="B363" s="529" t="s">
        <v>653</v>
      </c>
      <c r="C363" s="523" t="s">
        <v>635</v>
      </c>
      <c r="D363" s="426" t="s">
        <v>637</v>
      </c>
      <c r="E363" s="426" t="s">
        <v>197</v>
      </c>
      <c r="F363" s="426"/>
      <c r="G363" s="440"/>
      <c r="H363" s="441"/>
      <c r="I363" s="428">
        <v>1</v>
      </c>
      <c r="J363" s="530">
        <f t="shared" si="6"/>
        <v>0</v>
      </c>
      <c r="K363" s="289"/>
      <c r="L363" s="540"/>
      <c r="M363" s="530"/>
      <c r="N363" s="564"/>
    </row>
    <row r="364" spans="1:14" ht="14.25" customHeight="1" x14ac:dyDescent="0.25">
      <c r="A364" s="563"/>
      <c r="B364" s="529" t="s">
        <v>653</v>
      </c>
      <c r="C364" s="523" t="s">
        <v>635</v>
      </c>
      <c r="D364" s="426" t="s">
        <v>654</v>
      </c>
      <c r="E364" s="426" t="s">
        <v>188</v>
      </c>
      <c r="F364" s="426"/>
      <c r="G364" s="440"/>
      <c r="H364" s="441"/>
      <c r="I364" s="428">
        <v>1</v>
      </c>
      <c r="J364" s="530">
        <f t="shared" si="6"/>
        <v>0</v>
      </c>
      <c r="K364" s="289"/>
      <c r="L364" s="540"/>
      <c r="M364" s="530"/>
      <c r="N364" s="564"/>
    </row>
    <row r="365" spans="1:14" ht="14.25" customHeight="1" x14ac:dyDescent="0.25">
      <c r="A365" s="563"/>
      <c r="B365" s="529" t="s">
        <v>653</v>
      </c>
      <c r="C365" s="523" t="s">
        <v>635</v>
      </c>
      <c r="D365" s="426" t="s">
        <v>642</v>
      </c>
      <c r="E365" s="426" t="s">
        <v>186</v>
      </c>
      <c r="F365" s="426"/>
      <c r="G365" s="440"/>
      <c r="H365" s="441"/>
      <c r="I365" s="428">
        <v>1</v>
      </c>
      <c r="J365" s="530">
        <f t="shared" si="6"/>
        <v>0</v>
      </c>
      <c r="K365" s="289"/>
      <c r="L365" s="540"/>
      <c r="M365" s="530"/>
      <c r="N365" s="564"/>
    </row>
    <row r="366" spans="1:14" ht="14.25" customHeight="1" x14ac:dyDescent="0.25">
      <c r="A366" s="563"/>
      <c r="B366" s="529" t="s">
        <v>653</v>
      </c>
      <c r="C366" s="523" t="s">
        <v>661</v>
      </c>
      <c r="D366" s="426" t="s">
        <v>614</v>
      </c>
      <c r="E366" s="426" t="s">
        <v>186</v>
      </c>
      <c r="F366" s="426"/>
      <c r="G366" s="440"/>
      <c r="H366" s="441"/>
      <c r="I366" s="428">
        <v>1</v>
      </c>
      <c r="J366" s="530">
        <f t="shared" si="6"/>
        <v>0</v>
      </c>
      <c r="K366" s="289"/>
      <c r="L366" s="540"/>
      <c r="M366" s="530"/>
      <c r="N366" s="564"/>
    </row>
    <row r="367" spans="1:14" ht="14.25" customHeight="1" x14ac:dyDescent="0.25">
      <c r="A367" s="563"/>
      <c r="B367" s="529" t="s">
        <v>653</v>
      </c>
      <c r="C367" s="523" t="s">
        <v>661</v>
      </c>
      <c r="D367" s="426" t="s">
        <v>615</v>
      </c>
      <c r="E367" s="426" t="s">
        <v>186</v>
      </c>
      <c r="F367" s="426"/>
      <c r="G367" s="440"/>
      <c r="H367" s="441"/>
      <c r="I367" s="428">
        <v>1</v>
      </c>
      <c r="J367" s="530">
        <f t="shared" si="6"/>
        <v>0</v>
      </c>
      <c r="K367" s="289"/>
      <c r="L367" s="540"/>
      <c r="M367" s="530"/>
      <c r="N367" s="564"/>
    </row>
    <row r="368" spans="1:14" ht="14.25" customHeight="1" x14ac:dyDescent="0.25">
      <c r="A368" s="563"/>
      <c r="B368" s="529" t="s">
        <v>653</v>
      </c>
      <c r="C368" s="523" t="s">
        <v>661</v>
      </c>
      <c r="D368" s="426" t="s">
        <v>616</v>
      </c>
      <c r="E368" s="426" t="s">
        <v>186</v>
      </c>
      <c r="F368" s="426"/>
      <c r="G368" s="440"/>
      <c r="H368" s="441"/>
      <c r="I368" s="428">
        <v>1</v>
      </c>
      <c r="J368" s="530">
        <f t="shared" si="6"/>
        <v>0</v>
      </c>
      <c r="K368" s="289"/>
      <c r="L368" s="540"/>
      <c r="M368" s="530"/>
      <c r="N368" s="564"/>
    </row>
    <row r="369" spans="1:14" ht="14.25" customHeight="1" x14ac:dyDescent="0.25">
      <c r="A369" s="563"/>
      <c r="B369" s="529" t="s">
        <v>653</v>
      </c>
      <c r="C369" s="523" t="s">
        <v>661</v>
      </c>
      <c r="D369" s="426" t="s">
        <v>618</v>
      </c>
      <c r="E369" s="426" t="s">
        <v>693</v>
      </c>
      <c r="F369" s="426"/>
      <c r="G369" s="440"/>
      <c r="H369" s="441"/>
      <c r="I369" s="428">
        <v>1</v>
      </c>
      <c r="J369" s="530">
        <f t="shared" si="6"/>
        <v>0</v>
      </c>
      <c r="K369" s="289"/>
      <c r="L369" s="540"/>
      <c r="M369" s="530"/>
      <c r="N369" s="564"/>
    </row>
    <row r="370" spans="1:14" ht="14.25" customHeight="1" x14ac:dyDescent="0.25">
      <c r="A370" s="563"/>
      <c r="B370" s="529" t="s">
        <v>653</v>
      </c>
      <c r="C370" s="523" t="s">
        <v>661</v>
      </c>
      <c r="D370" s="426" t="s">
        <v>689</v>
      </c>
      <c r="E370" s="426" t="s">
        <v>694</v>
      </c>
      <c r="F370" s="426">
        <v>14.39</v>
      </c>
      <c r="G370" s="440">
        <v>1.2</v>
      </c>
      <c r="H370" s="441" t="s">
        <v>701</v>
      </c>
      <c r="I370" s="428">
        <v>1</v>
      </c>
      <c r="J370" s="530">
        <f>F370*G370</f>
        <v>17.268000000000001</v>
      </c>
      <c r="K370" s="289"/>
      <c r="L370" s="540"/>
      <c r="M370" s="530"/>
      <c r="N370" s="564"/>
    </row>
    <row r="371" spans="1:14" ht="14.25" customHeight="1" x14ac:dyDescent="0.25">
      <c r="A371" s="563"/>
      <c r="B371" s="529" t="s">
        <v>653</v>
      </c>
      <c r="C371" s="523" t="s">
        <v>661</v>
      </c>
      <c r="D371" s="426" t="s">
        <v>619</v>
      </c>
      <c r="E371" s="426" t="s">
        <v>186</v>
      </c>
      <c r="F371" s="426"/>
      <c r="G371" s="440"/>
      <c r="H371" s="441"/>
      <c r="I371" s="428">
        <v>1</v>
      </c>
      <c r="J371" s="530">
        <f t="shared" si="6"/>
        <v>0</v>
      </c>
      <c r="K371" s="289"/>
      <c r="L371" s="540"/>
      <c r="M371" s="530"/>
      <c r="N371" s="564"/>
    </row>
    <row r="372" spans="1:14" ht="14.25" customHeight="1" x14ac:dyDescent="0.25">
      <c r="A372" s="563"/>
      <c r="B372" s="529" t="s">
        <v>653</v>
      </c>
      <c r="C372" s="523" t="s">
        <v>661</v>
      </c>
      <c r="D372" s="426" t="s">
        <v>620</v>
      </c>
      <c r="E372" s="426" t="s">
        <v>186</v>
      </c>
      <c r="F372" s="426"/>
      <c r="G372" s="440"/>
      <c r="H372" s="441"/>
      <c r="I372" s="428">
        <v>1</v>
      </c>
      <c r="J372" s="530">
        <f t="shared" si="6"/>
        <v>0</v>
      </c>
      <c r="K372" s="289"/>
      <c r="L372" s="540"/>
      <c r="M372" s="530"/>
      <c r="N372" s="564"/>
    </row>
    <row r="373" spans="1:14" ht="14.25" customHeight="1" x14ac:dyDescent="0.25">
      <c r="A373" s="563"/>
      <c r="B373" s="529" t="s">
        <v>653</v>
      </c>
      <c r="C373" s="523" t="s">
        <v>661</v>
      </c>
      <c r="D373" s="426" t="s">
        <v>640</v>
      </c>
      <c r="E373" s="426" t="s">
        <v>186</v>
      </c>
      <c r="F373" s="426"/>
      <c r="G373" s="440"/>
      <c r="H373" s="441"/>
      <c r="I373" s="428">
        <v>1</v>
      </c>
      <c r="J373" s="530">
        <f t="shared" si="6"/>
        <v>0</v>
      </c>
      <c r="K373" s="289"/>
      <c r="L373" s="540"/>
      <c r="M373" s="530"/>
      <c r="N373" s="564"/>
    </row>
    <row r="374" spans="1:14" ht="14.25" customHeight="1" x14ac:dyDescent="0.25">
      <c r="A374" s="563"/>
      <c r="B374" s="529" t="s">
        <v>653</v>
      </c>
      <c r="C374" s="523" t="s">
        <v>661</v>
      </c>
      <c r="D374" s="426" t="s">
        <v>621</v>
      </c>
      <c r="E374" s="426" t="s">
        <v>186</v>
      </c>
      <c r="F374" s="426"/>
      <c r="G374" s="440"/>
      <c r="H374" s="441"/>
      <c r="I374" s="428">
        <v>1</v>
      </c>
      <c r="J374" s="530">
        <f t="shared" si="6"/>
        <v>0</v>
      </c>
      <c r="K374" s="289"/>
      <c r="L374" s="540"/>
      <c r="M374" s="530"/>
      <c r="N374" s="564"/>
    </row>
    <row r="375" spans="1:14" ht="14.25" customHeight="1" x14ac:dyDescent="0.25">
      <c r="A375" s="563"/>
      <c r="B375" s="529" t="s">
        <v>653</v>
      </c>
      <c r="C375" s="523" t="s">
        <v>661</v>
      </c>
      <c r="D375" s="426" t="s">
        <v>617</v>
      </c>
      <c r="E375" s="426" t="s">
        <v>186</v>
      </c>
      <c r="F375" s="426"/>
      <c r="G375" s="440"/>
      <c r="H375" s="441"/>
      <c r="I375" s="428">
        <v>1</v>
      </c>
      <c r="J375" s="530">
        <f t="shared" si="6"/>
        <v>0</v>
      </c>
      <c r="K375" s="289"/>
      <c r="L375" s="540"/>
      <c r="M375" s="530"/>
      <c r="N375" s="564"/>
    </row>
    <row r="376" spans="1:14" ht="14.25" customHeight="1" x14ac:dyDescent="0.25">
      <c r="A376" s="563"/>
      <c r="B376" s="529" t="s">
        <v>653</v>
      </c>
      <c r="C376" s="523" t="s">
        <v>661</v>
      </c>
      <c r="D376" s="426" t="s">
        <v>622</v>
      </c>
      <c r="E376" s="426" t="s">
        <v>686</v>
      </c>
      <c r="F376" s="426"/>
      <c r="G376" s="440"/>
      <c r="H376" s="441"/>
      <c r="I376" s="428">
        <v>1</v>
      </c>
      <c r="J376" s="530">
        <f t="shared" si="6"/>
        <v>0</v>
      </c>
      <c r="K376" s="289"/>
      <c r="L376" s="540"/>
      <c r="M376" s="530"/>
      <c r="N376" s="564"/>
    </row>
    <row r="377" spans="1:14" ht="14.25" customHeight="1" x14ac:dyDescent="0.25">
      <c r="A377" s="563"/>
      <c r="B377" s="529" t="s">
        <v>653</v>
      </c>
      <c r="C377" s="523" t="s">
        <v>661</v>
      </c>
      <c r="D377" s="426" t="s">
        <v>623</v>
      </c>
      <c r="E377" s="426" t="s">
        <v>186</v>
      </c>
      <c r="F377" s="426"/>
      <c r="G377" s="440"/>
      <c r="H377" s="441"/>
      <c r="I377" s="428">
        <v>1</v>
      </c>
      <c r="J377" s="530">
        <f t="shared" si="6"/>
        <v>0</v>
      </c>
      <c r="K377" s="289"/>
      <c r="L377" s="540"/>
      <c r="M377" s="530"/>
      <c r="N377" s="564"/>
    </row>
    <row r="378" spans="1:14" ht="14.25" customHeight="1" x14ac:dyDescent="0.25">
      <c r="A378" s="563"/>
      <c r="B378" s="529" t="s">
        <v>653</v>
      </c>
      <c r="C378" s="523" t="s">
        <v>661</v>
      </c>
      <c r="D378" s="426" t="s">
        <v>630</v>
      </c>
      <c r="E378" s="426" t="s">
        <v>686</v>
      </c>
      <c r="F378" s="426"/>
      <c r="G378" s="440"/>
      <c r="H378" s="441"/>
      <c r="I378" s="428">
        <v>1</v>
      </c>
      <c r="J378" s="530">
        <f t="shared" si="6"/>
        <v>0</v>
      </c>
      <c r="K378" s="289"/>
      <c r="L378" s="540"/>
      <c r="M378" s="530"/>
      <c r="N378" s="564"/>
    </row>
    <row r="379" spans="1:14" ht="14.25" customHeight="1" x14ac:dyDescent="0.25">
      <c r="A379" s="563"/>
      <c r="B379" s="529" t="s">
        <v>653</v>
      </c>
      <c r="C379" s="523" t="s">
        <v>661</v>
      </c>
      <c r="D379" s="426" t="s">
        <v>631</v>
      </c>
      <c r="E379" s="426" t="s">
        <v>186</v>
      </c>
      <c r="F379" s="426"/>
      <c r="G379" s="440"/>
      <c r="H379" s="441"/>
      <c r="I379" s="428">
        <v>1</v>
      </c>
      <c r="J379" s="530">
        <f t="shared" si="6"/>
        <v>0</v>
      </c>
      <c r="K379" s="289"/>
      <c r="L379" s="540"/>
      <c r="M379" s="530"/>
      <c r="N379" s="564"/>
    </row>
    <row r="380" spans="1:14" ht="14.25" customHeight="1" x14ac:dyDescent="0.25">
      <c r="A380" s="563"/>
      <c r="B380" s="529" t="s">
        <v>653</v>
      </c>
      <c r="C380" s="523" t="s">
        <v>661</v>
      </c>
      <c r="D380" s="426" t="s">
        <v>624</v>
      </c>
      <c r="E380" s="426" t="s">
        <v>686</v>
      </c>
      <c r="F380" s="426"/>
      <c r="G380" s="440"/>
      <c r="H380" s="441"/>
      <c r="I380" s="428">
        <v>1</v>
      </c>
      <c r="J380" s="530">
        <f t="shared" si="6"/>
        <v>0</v>
      </c>
      <c r="K380" s="289"/>
      <c r="L380" s="540"/>
      <c r="M380" s="530"/>
      <c r="N380" s="564"/>
    </row>
    <row r="381" spans="1:14" ht="14.25" customHeight="1" x14ac:dyDescent="0.25">
      <c r="A381" s="563"/>
      <c r="B381" s="529" t="s">
        <v>653</v>
      </c>
      <c r="C381" s="523" t="s">
        <v>661</v>
      </c>
      <c r="D381" s="426" t="s">
        <v>625</v>
      </c>
      <c r="E381" s="426" t="s">
        <v>186</v>
      </c>
      <c r="F381" s="426"/>
      <c r="G381" s="440"/>
      <c r="H381" s="441"/>
      <c r="I381" s="428">
        <v>1</v>
      </c>
      <c r="J381" s="530">
        <f t="shared" si="6"/>
        <v>0</v>
      </c>
      <c r="K381" s="289"/>
      <c r="L381" s="540"/>
      <c r="M381" s="530"/>
      <c r="N381" s="564"/>
    </row>
    <row r="382" spans="1:14" ht="14.25" customHeight="1" x14ac:dyDescent="0.25">
      <c r="A382" s="563"/>
      <c r="B382" s="529" t="s">
        <v>653</v>
      </c>
      <c r="C382" s="523" t="s">
        <v>661</v>
      </c>
      <c r="D382" s="426" t="s">
        <v>626</v>
      </c>
      <c r="E382" s="426" t="s">
        <v>686</v>
      </c>
      <c r="F382" s="426"/>
      <c r="G382" s="440"/>
      <c r="H382" s="441"/>
      <c r="I382" s="428">
        <v>1</v>
      </c>
      <c r="J382" s="530">
        <f t="shared" si="6"/>
        <v>0</v>
      </c>
      <c r="K382" s="289"/>
      <c r="L382" s="540"/>
      <c r="M382" s="530"/>
      <c r="N382" s="564"/>
    </row>
    <row r="383" spans="1:14" ht="14.25" customHeight="1" x14ac:dyDescent="0.25">
      <c r="A383" s="563"/>
      <c r="B383" s="529" t="s">
        <v>653</v>
      </c>
      <c r="C383" s="523" t="s">
        <v>661</v>
      </c>
      <c r="D383" s="426" t="s">
        <v>627</v>
      </c>
      <c r="E383" s="426" t="s">
        <v>186</v>
      </c>
      <c r="F383" s="426"/>
      <c r="G383" s="440"/>
      <c r="H383" s="441"/>
      <c r="I383" s="428">
        <v>1</v>
      </c>
      <c r="J383" s="530">
        <f t="shared" si="6"/>
        <v>0</v>
      </c>
      <c r="K383" s="289"/>
      <c r="L383" s="540"/>
      <c r="M383" s="530"/>
      <c r="N383" s="564"/>
    </row>
    <row r="384" spans="1:14" ht="14.25" customHeight="1" x14ac:dyDescent="0.25">
      <c r="A384" s="563"/>
      <c r="B384" s="529" t="s">
        <v>653</v>
      </c>
      <c r="C384" s="523" t="s">
        <v>662</v>
      </c>
      <c r="D384" s="426" t="s">
        <v>614</v>
      </c>
      <c r="E384" s="426" t="s">
        <v>186</v>
      </c>
      <c r="F384" s="426"/>
      <c r="G384" s="440"/>
      <c r="H384" s="441"/>
      <c r="I384" s="428">
        <v>1</v>
      </c>
      <c r="J384" s="530">
        <f t="shared" si="6"/>
        <v>0</v>
      </c>
      <c r="K384" s="289"/>
      <c r="L384" s="540"/>
      <c r="M384" s="530"/>
      <c r="N384" s="564"/>
    </row>
    <row r="385" spans="1:14" ht="14.25" customHeight="1" x14ac:dyDescent="0.25">
      <c r="A385" s="563"/>
      <c r="B385" s="529" t="s">
        <v>653</v>
      </c>
      <c r="C385" s="523" t="s">
        <v>662</v>
      </c>
      <c r="D385" s="426" t="s">
        <v>615</v>
      </c>
      <c r="E385" s="426" t="s">
        <v>186</v>
      </c>
      <c r="F385" s="426"/>
      <c r="G385" s="440"/>
      <c r="H385" s="441"/>
      <c r="I385" s="428">
        <v>1</v>
      </c>
      <c r="J385" s="530">
        <f t="shared" si="6"/>
        <v>0</v>
      </c>
      <c r="K385" s="289"/>
      <c r="L385" s="540"/>
      <c r="M385" s="530"/>
      <c r="N385" s="564"/>
    </row>
    <row r="386" spans="1:14" ht="14.25" customHeight="1" x14ac:dyDescent="0.25">
      <c r="A386" s="563"/>
      <c r="B386" s="529" t="s">
        <v>653</v>
      </c>
      <c r="C386" s="523" t="s">
        <v>662</v>
      </c>
      <c r="D386" s="426" t="s">
        <v>616</v>
      </c>
      <c r="E386" s="426" t="s">
        <v>186</v>
      </c>
      <c r="F386" s="426"/>
      <c r="G386" s="440"/>
      <c r="H386" s="441"/>
      <c r="I386" s="428">
        <v>1</v>
      </c>
      <c r="J386" s="530">
        <f t="shared" si="6"/>
        <v>0</v>
      </c>
      <c r="K386" s="289"/>
      <c r="L386" s="540"/>
      <c r="M386" s="530"/>
      <c r="N386" s="564"/>
    </row>
    <row r="387" spans="1:14" ht="14.25" customHeight="1" x14ac:dyDescent="0.25">
      <c r="A387" s="563"/>
      <c r="B387" s="529" t="s">
        <v>653</v>
      </c>
      <c r="C387" s="523" t="s">
        <v>662</v>
      </c>
      <c r="D387" s="426" t="s">
        <v>618</v>
      </c>
      <c r="E387" s="426" t="s">
        <v>693</v>
      </c>
      <c r="F387" s="426"/>
      <c r="G387" s="440"/>
      <c r="H387" s="441"/>
      <c r="I387" s="428">
        <v>1</v>
      </c>
      <c r="J387" s="530">
        <f t="shared" si="6"/>
        <v>0</v>
      </c>
      <c r="K387" s="289"/>
      <c r="L387" s="540"/>
      <c r="M387" s="530"/>
      <c r="N387" s="564"/>
    </row>
    <row r="388" spans="1:14" ht="14.25" customHeight="1" x14ac:dyDescent="0.25">
      <c r="A388" s="563"/>
      <c r="B388" s="529" t="s">
        <v>653</v>
      </c>
      <c r="C388" s="523" t="s">
        <v>662</v>
      </c>
      <c r="D388" s="426" t="s">
        <v>689</v>
      </c>
      <c r="E388" s="426" t="s">
        <v>694</v>
      </c>
      <c r="F388" s="426">
        <v>21.96</v>
      </c>
      <c r="G388" s="440">
        <v>1.2</v>
      </c>
      <c r="H388" s="441" t="s">
        <v>701</v>
      </c>
      <c r="I388" s="428">
        <v>1</v>
      </c>
      <c r="J388" s="530">
        <f>F388*G388</f>
        <v>26.352</v>
      </c>
      <c r="K388" s="289"/>
      <c r="L388" s="540"/>
      <c r="M388" s="530"/>
      <c r="N388" s="564"/>
    </row>
    <row r="389" spans="1:14" ht="14.25" customHeight="1" x14ac:dyDescent="0.25">
      <c r="A389" s="563"/>
      <c r="B389" s="529" t="s">
        <v>653</v>
      </c>
      <c r="C389" s="523" t="s">
        <v>662</v>
      </c>
      <c r="D389" s="426" t="s">
        <v>619</v>
      </c>
      <c r="E389" s="426" t="s">
        <v>186</v>
      </c>
      <c r="F389" s="426"/>
      <c r="G389" s="440"/>
      <c r="H389" s="441"/>
      <c r="I389" s="428">
        <v>1</v>
      </c>
      <c r="J389" s="530">
        <f t="shared" si="6"/>
        <v>0</v>
      </c>
      <c r="K389" s="289"/>
      <c r="L389" s="540"/>
      <c r="M389" s="530"/>
      <c r="N389" s="564"/>
    </row>
    <row r="390" spans="1:14" ht="14.25" customHeight="1" x14ac:dyDescent="0.25">
      <c r="A390" s="563"/>
      <c r="B390" s="529" t="s">
        <v>653</v>
      </c>
      <c r="C390" s="523" t="s">
        <v>662</v>
      </c>
      <c r="D390" s="426" t="s">
        <v>620</v>
      </c>
      <c r="E390" s="426" t="s">
        <v>186</v>
      </c>
      <c r="F390" s="426"/>
      <c r="G390" s="440"/>
      <c r="H390" s="441"/>
      <c r="I390" s="428">
        <v>1</v>
      </c>
      <c r="J390" s="530">
        <f t="shared" si="6"/>
        <v>0</v>
      </c>
      <c r="K390" s="289"/>
      <c r="L390" s="540"/>
      <c r="M390" s="530"/>
      <c r="N390" s="564"/>
    </row>
    <row r="391" spans="1:14" ht="14.25" customHeight="1" x14ac:dyDescent="0.25">
      <c r="A391" s="563"/>
      <c r="B391" s="529" t="s">
        <v>653</v>
      </c>
      <c r="C391" s="523" t="s">
        <v>662</v>
      </c>
      <c r="D391" s="426" t="s">
        <v>621</v>
      </c>
      <c r="E391" s="426" t="s">
        <v>186</v>
      </c>
      <c r="F391" s="426"/>
      <c r="G391" s="440"/>
      <c r="H391" s="441"/>
      <c r="I391" s="428">
        <v>1</v>
      </c>
      <c r="J391" s="530">
        <f t="shared" si="6"/>
        <v>0</v>
      </c>
      <c r="K391" s="289"/>
      <c r="L391" s="540"/>
      <c r="M391" s="530"/>
      <c r="N391" s="564"/>
    </row>
    <row r="392" spans="1:14" ht="14.25" customHeight="1" x14ac:dyDescent="0.25">
      <c r="A392" s="563"/>
      <c r="B392" s="529" t="s">
        <v>653</v>
      </c>
      <c r="C392" s="523" t="s">
        <v>662</v>
      </c>
      <c r="D392" s="426" t="s">
        <v>617</v>
      </c>
      <c r="E392" s="426" t="s">
        <v>186</v>
      </c>
      <c r="F392" s="426"/>
      <c r="G392" s="440"/>
      <c r="H392" s="441"/>
      <c r="I392" s="428">
        <v>1</v>
      </c>
      <c r="J392" s="530">
        <f t="shared" si="6"/>
        <v>0</v>
      </c>
      <c r="K392" s="289"/>
      <c r="L392" s="540"/>
      <c r="M392" s="530"/>
      <c r="N392" s="564"/>
    </row>
    <row r="393" spans="1:14" ht="14.25" customHeight="1" x14ac:dyDescent="0.25">
      <c r="A393" s="563"/>
      <c r="B393" s="529" t="s">
        <v>653</v>
      </c>
      <c r="C393" s="523" t="s">
        <v>662</v>
      </c>
      <c r="D393" s="426" t="s">
        <v>622</v>
      </c>
      <c r="E393" s="426" t="s">
        <v>686</v>
      </c>
      <c r="F393" s="426"/>
      <c r="G393" s="440"/>
      <c r="H393" s="441"/>
      <c r="I393" s="428">
        <v>1</v>
      </c>
      <c r="J393" s="530">
        <f t="shared" si="6"/>
        <v>0</v>
      </c>
      <c r="K393" s="289"/>
      <c r="L393" s="540"/>
      <c r="M393" s="530"/>
      <c r="N393" s="564"/>
    </row>
    <row r="394" spans="1:14" ht="14.25" customHeight="1" x14ac:dyDescent="0.25">
      <c r="A394" s="563"/>
      <c r="B394" s="529" t="s">
        <v>653</v>
      </c>
      <c r="C394" s="523" t="s">
        <v>662</v>
      </c>
      <c r="D394" s="426" t="s">
        <v>623</v>
      </c>
      <c r="E394" s="426" t="s">
        <v>186</v>
      </c>
      <c r="F394" s="426"/>
      <c r="G394" s="440"/>
      <c r="H394" s="441"/>
      <c r="I394" s="428">
        <v>1</v>
      </c>
      <c r="J394" s="530">
        <f t="shared" si="6"/>
        <v>0</v>
      </c>
      <c r="K394" s="289"/>
      <c r="L394" s="540"/>
      <c r="M394" s="530"/>
      <c r="N394" s="564"/>
    </row>
    <row r="395" spans="1:14" ht="14.25" customHeight="1" x14ac:dyDescent="0.25">
      <c r="A395" s="563"/>
      <c r="B395" s="529" t="s">
        <v>653</v>
      </c>
      <c r="C395" s="523" t="s">
        <v>662</v>
      </c>
      <c r="D395" s="426" t="s">
        <v>624</v>
      </c>
      <c r="E395" s="426" t="s">
        <v>686</v>
      </c>
      <c r="F395" s="426"/>
      <c r="G395" s="440"/>
      <c r="H395" s="441"/>
      <c r="I395" s="428">
        <v>1</v>
      </c>
      <c r="J395" s="530">
        <f t="shared" si="6"/>
        <v>0</v>
      </c>
      <c r="K395" s="289"/>
      <c r="L395" s="540"/>
      <c r="M395" s="530"/>
      <c r="N395" s="564"/>
    </row>
    <row r="396" spans="1:14" ht="14.25" customHeight="1" x14ac:dyDescent="0.25">
      <c r="A396" s="563"/>
      <c r="B396" s="529" t="s">
        <v>653</v>
      </c>
      <c r="C396" s="523" t="s">
        <v>662</v>
      </c>
      <c r="D396" s="426" t="s">
        <v>625</v>
      </c>
      <c r="E396" s="426" t="s">
        <v>186</v>
      </c>
      <c r="F396" s="426"/>
      <c r="G396" s="440"/>
      <c r="H396" s="441"/>
      <c r="I396" s="428">
        <v>1</v>
      </c>
      <c r="J396" s="530">
        <f t="shared" ref="J396:J459" si="7">G396*I396</f>
        <v>0</v>
      </c>
      <c r="K396" s="289"/>
      <c r="L396" s="540"/>
      <c r="M396" s="530"/>
      <c r="N396" s="564"/>
    </row>
    <row r="397" spans="1:14" ht="14.25" customHeight="1" x14ac:dyDescent="0.25">
      <c r="A397" s="563"/>
      <c r="B397" s="529" t="s">
        <v>653</v>
      </c>
      <c r="C397" s="523" t="s">
        <v>662</v>
      </c>
      <c r="D397" s="426" t="s">
        <v>626</v>
      </c>
      <c r="E397" s="426" t="s">
        <v>686</v>
      </c>
      <c r="F397" s="426"/>
      <c r="G397" s="440"/>
      <c r="H397" s="441"/>
      <c r="I397" s="428">
        <v>1</v>
      </c>
      <c r="J397" s="530">
        <f t="shared" si="7"/>
        <v>0</v>
      </c>
      <c r="K397" s="289"/>
      <c r="L397" s="540"/>
      <c r="M397" s="530"/>
      <c r="N397" s="564"/>
    </row>
    <row r="398" spans="1:14" ht="14.25" customHeight="1" x14ac:dyDescent="0.25">
      <c r="A398" s="563"/>
      <c r="B398" s="529" t="s">
        <v>653</v>
      </c>
      <c r="C398" s="523" t="s">
        <v>662</v>
      </c>
      <c r="D398" s="426" t="s">
        <v>627</v>
      </c>
      <c r="E398" s="426" t="s">
        <v>186</v>
      </c>
      <c r="F398" s="426"/>
      <c r="G398" s="440"/>
      <c r="H398" s="441"/>
      <c r="I398" s="428">
        <v>1</v>
      </c>
      <c r="J398" s="530">
        <f t="shared" si="7"/>
        <v>0</v>
      </c>
      <c r="K398" s="289"/>
      <c r="L398" s="540"/>
      <c r="M398" s="530"/>
      <c r="N398" s="564"/>
    </row>
    <row r="399" spans="1:14" ht="14.25" customHeight="1" x14ac:dyDescent="0.25">
      <c r="A399" s="563"/>
      <c r="B399" s="529" t="s">
        <v>667</v>
      </c>
      <c r="C399" s="523" t="s">
        <v>666</v>
      </c>
      <c r="D399" s="426" t="s">
        <v>614</v>
      </c>
      <c r="E399" s="426" t="s">
        <v>186</v>
      </c>
      <c r="F399" s="426"/>
      <c r="G399" s="440"/>
      <c r="H399" s="441"/>
      <c r="I399" s="428">
        <v>1</v>
      </c>
      <c r="J399" s="530">
        <f t="shared" si="7"/>
        <v>0</v>
      </c>
      <c r="K399" s="289"/>
      <c r="L399" s="540"/>
      <c r="M399" s="530"/>
      <c r="N399" s="564"/>
    </row>
    <row r="400" spans="1:14" ht="14.25" customHeight="1" x14ac:dyDescent="0.25">
      <c r="A400" s="563"/>
      <c r="B400" s="529" t="s">
        <v>667</v>
      </c>
      <c r="C400" s="523" t="s">
        <v>666</v>
      </c>
      <c r="D400" s="426" t="s">
        <v>615</v>
      </c>
      <c r="E400" s="426" t="s">
        <v>186</v>
      </c>
      <c r="F400" s="426"/>
      <c r="G400" s="440"/>
      <c r="H400" s="441"/>
      <c r="I400" s="428">
        <v>1</v>
      </c>
      <c r="J400" s="530">
        <f t="shared" si="7"/>
        <v>0</v>
      </c>
      <c r="K400" s="289"/>
      <c r="L400" s="540"/>
      <c r="M400" s="530"/>
      <c r="N400" s="564"/>
    </row>
    <row r="401" spans="1:14" ht="14.25" customHeight="1" x14ac:dyDescent="0.25">
      <c r="A401" s="563"/>
      <c r="B401" s="529" t="s">
        <v>667</v>
      </c>
      <c r="C401" s="523" t="s">
        <v>666</v>
      </c>
      <c r="D401" s="426" t="s">
        <v>616</v>
      </c>
      <c r="E401" s="426" t="s">
        <v>186</v>
      </c>
      <c r="F401" s="426"/>
      <c r="G401" s="440"/>
      <c r="H401" s="441"/>
      <c r="I401" s="428">
        <v>1</v>
      </c>
      <c r="J401" s="530">
        <f t="shared" si="7"/>
        <v>0</v>
      </c>
      <c r="K401" s="289"/>
      <c r="L401" s="540"/>
      <c r="M401" s="530"/>
      <c r="N401" s="564"/>
    </row>
    <row r="402" spans="1:14" ht="14.25" customHeight="1" x14ac:dyDescent="0.25">
      <c r="A402" s="563"/>
      <c r="B402" s="529" t="s">
        <v>667</v>
      </c>
      <c r="C402" s="523" t="s">
        <v>666</v>
      </c>
      <c r="D402" s="426" t="s">
        <v>618</v>
      </c>
      <c r="E402" s="426" t="s">
        <v>693</v>
      </c>
      <c r="F402" s="426"/>
      <c r="G402" s="440"/>
      <c r="H402" s="441"/>
      <c r="I402" s="428">
        <v>1</v>
      </c>
      <c r="J402" s="530">
        <f t="shared" si="7"/>
        <v>0</v>
      </c>
      <c r="K402" s="289"/>
      <c r="L402" s="540"/>
      <c r="M402" s="530"/>
      <c r="N402" s="564"/>
    </row>
    <row r="403" spans="1:14" ht="14.25" customHeight="1" x14ac:dyDescent="0.25">
      <c r="A403" s="563"/>
      <c r="B403" s="529" t="s">
        <v>667</v>
      </c>
      <c r="C403" s="523" t="s">
        <v>666</v>
      </c>
      <c r="D403" s="426" t="s">
        <v>689</v>
      </c>
      <c r="E403" s="426" t="s">
        <v>694</v>
      </c>
      <c r="F403" s="426">
        <v>14.39</v>
      </c>
      <c r="G403" s="440">
        <v>1.2</v>
      </c>
      <c r="H403" s="441" t="s">
        <v>701</v>
      </c>
      <c r="I403" s="428">
        <v>1</v>
      </c>
      <c r="J403" s="530">
        <f>F403*G403</f>
        <v>17.268000000000001</v>
      </c>
      <c r="K403" s="289"/>
      <c r="L403" s="540"/>
      <c r="M403" s="530"/>
      <c r="N403" s="564"/>
    </row>
    <row r="404" spans="1:14" ht="14.25" customHeight="1" x14ac:dyDescent="0.25">
      <c r="A404" s="563"/>
      <c r="B404" s="529" t="s">
        <v>667</v>
      </c>
      <c r="C404" s="523" t="s">
        <v>666</v>
      </c>
      <c r="D404" s="426" t="s">
        <v>619</v>
      </c>
      <c r="E404" s="426" t="s">
        <v>186</v>
      </c>
      <c r="F404" s="426"/>
      <c r="G404" s="440"/>
      <c r="H404" s="441"/>
      <c r="I404" s="428">
        <v>1</v>
      </c>
      <c r="J404" s="530">
        <f t="shared" si="7"/>
        <v>0</v>
      </c>
      <c r="K404" s="289"/>
      <c r="L404" s="540"/>
      <c r="M404" s="530"/>
      <c r="N404" s="564"/>
    </row>
    <row r="405" spans="1:14" ht="14.25" customHeight="1" x14ac:dyDescent="0.25">
      <c r="A405" s="563"/>
      <c r="B405" s="529" t="s">
        <v>667</v>
      </c>
      <c r="C405" s="523" t="s">
        <v>666</v>
      </c>
      <c r="D405" s="426" t="s">
        <v>620</v>
      </c>
      <c r="E405" s="426" t="s">
        <v>186</v>
      </c>
      <c r="F405" s="426"/>
      <c r="G405" s="440"/>
      <c r="H405" s="441"/>
      <c r="I405" s="428">
        <v>1</v>
      </c>
      <c r="J405" s="530">
        <f t="shared" si="7"/>
        <v>0</v>
      </c>
      <c r="K405" s="289"/>
      <c r="L405" s="540"/>
      <c r="M405" s="530"/>
      <c r="N405" s="564"/>
    </row>
    <row r="406" spans="1:14" ht="14.25" customHeight="1" x14ac:dyDescent="0.25">
      <c r="A406" s="563"/>
      <c r="B406" s="529" t="s">
        <v>667</v>
      </c>
      <c r="C406" s="523" t="s">
        <v>666</v>
      </c>
      <c r="D406" s="426" t="s">
        <v>639</v>
      </c>
      <c r="E406" s="426" t="s">
        <v>186</v>
      </c>
      <c r="F406" s="426"/>
      <c r="G406" s="440"/>
      <c r="H406" s="441"/>
      <c r="I406" s="428">
        <v>1</v>
      </c>
      <c r="J406" s="530">
        <f t="shared" si="7"/>
        <v>0</v>
      </c>
      <c r="K406" s="289"/>
      <c r="L406" s="540"/>
      <c r="M406" s="530"/>
      <c r="N406" s="564"/>
    </row>
    <row r="407" spans="1:14" ht="14.25" customHeight="1" x14ac:dyDescent="0.25">
      <c r="A407" s="563"/>
      <c r="B407" s="529" t="s">
        <v>667</v>
      </c>
      <c r="C407" s="523" t="s">
        <v>666</v>
      </c>
      <c r="D407" s="426" t="s">
        <v>651</v>
      </c>
      <c r="E407" s="426" t="s">
        <v>686</v>
      </c>
      <c r="F407" s="426"/>
      <c r="G407" s="440"/>
      <c r="H407" s="441"/>
      <c r="I407" s="428">
        <v>1</v>
      </c>
      <c r="J407" s="530">
        <f t="shared" si="7"/>
        <v>0</v>
      </c>
      <c r="K407" s="289"/>
      <c r="L407" s="540"/>
      <c r="M407" s="530"/>
      <c r="N407" s="564"/>
    </row>
    <row r="408" spans="1:14" ht="14.25" customHeight="1" x14ac:dyDescent="0.25">
      <c r="A408" s="563"/>
      <c r="B408" s="529" t="s">
        <v>667</v>
      </c>
      <c r="C408" s="523" t="s">
        <v>666</v>
      </c>
      <c r="D408" s="426" t="s">
        <v>621</v>
      </c>
      <c r="E408" s="426" t="s">
        <v>186</v>
      </c>
      <c r="F408" s="426"/>
      <c r="G408" s="440"/>
      <c r="H408" s="441"/>
      <c r="I408" s="428">
        <v>1</v>
      </c>
      <c r="J408" s="530">
        <f t="shared" si="7"/>
        <v>0</v>
      </c>
      <c r="K408" s="289"/>
      <c r="L408" s="540"/>
      <c r="M408" s="530"/>
      <c r="N408" s="564"/>
    </row>
    <row r="409" spans="1:14" ht="14.25" customHeight="1" x14ac:dyDescent="0.25">
      <c r="A409" s="563"/>
      <c r="B409" s="529" t="s">
        <v>667</v>
      </c>
      <c r="C409" s="523" t="s">
        <v>666</v>
      </c>
      <c r="D409" s="426" t="s">
        <v>617</v>
      </c>
      <c r="E409" s="426" t="s">
        <v>186</v>
      </c>
      <c r="F409" s="426"/>
      <c r="G409" s="440"/>
      <c r="H409" s="441"/>
      <c r="I409" s="428">
        <v>1</v>
      </c>
      <c r="J409" s="530">
        <f t="shared" si="7"/>
        <v>0</v>
      </c>
      <c r="K409" s="289"/>
      <c r="L409" s="540"/>
      <c r="M409" s="530"/>
      <c r="N409" s="564"/>
    </row>
    <row r="410" spans="1:14" ht="14.25" customHeight="1" x14ac:dyDescent="0.25">
      <c r="A410" s="563"/>
      <c r="B410" s="529" t="s">
        <v>667</v>
      </c>
      <c r="C410" s="523" t="s">
        <v>666</v>
      </c>
      <c r="D410" s="426" t="s">
        <v>622</v>
      </c>
      <c r="E410" s="426" t="s">
        <v>686</v>
      </c>
      <c r="F410" s="426"/>
      <c r="G410" s="440"/>
      <c r="H410" s="441"/>
      <c r="I410" s="428">
        <v>1</v>
      </c>
      <c r="J410" s="530">
        <f t="shared" si="7"/>
        <v>0</v>
      </c>
      <c r="K410" s="289"/>
      <c r="L410" s="540"/>
      <c r="M410" s="530"/>
      <c r="N410" s="564"/>
    </row>
    <row r="411" spans="1:14" ht="14.25" customHeight="1" x14ac:dyDescent="0.25">
      <c r="A411" s="563"/>
      <c r="B411" s="529" t="s">
        <v>667</v>
      </c>
      <c r="C411" s="523" t="s">
        <v>666</v>
      </c>
      <c r="D411" s="426" t="s">
        <v>623</v>
      </c>
      <c r="E411" s="426" t="s">
        <v>186</v>
      </c>
      <c r="F411" s="426"/>
      <c r="G411" s="440"/>
      <c r="H411" s="441"/>
      <c r="I411" s="428">
        <v>1</v>
      </c>
      <c r="J411" s="530">
        <f t="shared" si="7"/>
        <v>0</v>
      </c>
      <c r="K411" s="289"/>
      <c r="L411" s="540"/>
      <c r="M411" s="530"/>
      <c r="N411" s="564"/>
    </row>
    <row r="412" spans="1:14" ht="14.25" customHeight="1" x14ac:dyDescent="0.25">
      <c r="A412" s="563"/>
      <c r="B412" s="529" t="s">
        <v>667</v>
      </c>
      <c r="C412" s="523" t="s">
        <v>666</v>
      </c>
      <c r="D412" s="426" t="s">
        <v>630</v>
      </c>
      <c r="E412" s="426" t="s">
        <v>686</v>
      </c>
      <c r="F412" s="426"/>
      <c r="G412" s="440"/>
      <c r="H412" s="441"/>
      <c r="I412" s="428">
        <v>1</v>
      </c>
      <c r="J412" s="530">
        <f t="shared" si="7"/>
        <v>0</v>
      </c>
      <c r="K412" s="289"/>
      <c r="L412" s="540"/>
      <c r="M412" s="530"/>
      <c r="N412" s="564"/>
    </row>
    <row r="413" spans="1:14" ht="14.25" customHeight="1" x14ac:dyDescent="0.25">
      <c r="A413" s="563"/>
      <c r="B413" s="529" t="s">
        <v>667</v>
      </c>
      <c r="C413" s="523" t="s">
        <v>666</v>
      </c>
      <c r="D413" s="426" t="s">
        <v>631</v>
      </c>
      <c r="E413" s="426" t="s">
        <v>186</v>
      </c>
      <c r="F413" s="426"/>
      <c r="G413" s="440"/>
      <c r="H413" s="441"/>
      <c r="I413" s="428">
        <v>1</v>
      </c>
      <c r="J413" s="530">
        <f t="shared" si="7"/>
        <v>0</v>
      </c>
      <c r="K413" s="289"/>
      <c r="L413" s="540"/>
      <c r="M413" s="530"/>
      <c r="N413" s="564"/>
    </row>
    <row r="414" spans="1:14" ht="14.25" customHeight="1" x14ac:dyDescent="0.25">
      <c r="A414" s="563"/>
      <c r="B414" s="529" t="s">
        <v>667</v>
      </c>
      <c r="C414" s="523" t="s">
        <v>666</v>
      </c>
      <c r="D414" s="426" t="s">
        <v>624</v>
      </c>
      <c r="E414" s="426" t="s">
        <v>686</v>
      </c>
      <c r="F414" s="426"/>
      <c r="G414" s="440"/>
      <c r="H414" s="441"/>
      <c r="I414" s="428">
        <v>1</v>
      </c>
      <c r="J414" s="530">
        <f t="shared" si="7"/>
        <v>0</v>
      </c>
      <c r="K414" s="289"/>
      <c r="L414" s="540"/>
      <c r="M414" s="530"/>
      <c r="N414" s="564"/>
    </row>
    <row r="415" spans="1:14" ht="14.25" customHeight="1" x14ac:dyDescent="0.25">
      <c r="A415" s="563"/>
      <c r="B415" s="529" t="s">
        <v>667</v>
      </c>
      <c r="C415" s="523" t="s">
        <v>666</v>
      </c>
      <c r="D415" s="426" t="s">
        <v>625</v>
      </c>
      <c r="E415" s="426" t="s">
        <v>186</v>
      </c>
      <c r="F415" s="426"/>
      <c r="G415" s="440"/>
      <c r="H415" s="441"/>
      <c r="I415" s="428">
        <v>1</v>
      </c>
      <c r="J415" s="530">
        <f t="shared" si="7"/>
        <v>0</v>
      </c>
      <c r="K415" s="289"/>
      <c r="L415" s="540"/>
      <c r="M415" s="530"/>
      <c r="N415" s="564"/>
    </row>
    <row r="416" spans="1:14" ht="14.25" customHeight="1" x14ac:dyDescent="0.25">
      <c r="A416" s="563"/>
      <c r="B416" s="529" t="s">
        <v>667</v>
      </c>
      <c r="C416" s="523" t="s">
        <v>666</v>
      </c>
      <c r="D416" s="426" t="s">
        <v>626</v>
      </c>
      <c r="E416" s="426" t="s">
        <v>686</v>
      </c>
      <c r="F416" s="426"/>
      <c r="G416" s="440"/>
      <c r="H416" s="441"/>
      <c r="I416" s="428">
        <v>1</v>
      </c>
      <c r="J416" s="530">
        <f t="shared" si="7"/>
        <v>0</v>
      </c>
      <c r="K416" s="289"/>
      <c r="L416" s="540"/>
      <c r="M416" s="530"/>
      <c r="N416" s="564"/>
    </row>
    <row r="417" spans="1:14" ht="14.25" customHeight="1" x14ac:dyDescent="0.25">
      <c r="A417" s="563"/>
      <c r="B417" s="529" t="s">
        <v>667</v>
      </c>
      <c r="C417" s="523" t="s">
        <v>666</v>
      </c>
      <c r="D417" s="426" t="s">
        <v>627</v>
      </c>
      <c r="E417" s="426" t="s">
        <v>186</v>
      </c>
      <c r="F417" s="426"/>
      <c r="G417" s="440"/>
      <c r="H417" s="441"/>
      <c r="I417" s="428">
        <v>1</v>
      </c>
      <c r="J417" s="530">
        <f t="shared" si="7"/>
        <v>0</v>
      </c>
      <c r="K417" s="289"/>
      <c r="L417" s="540"/>
      <c r="M417" s="530"/>
      <c r="N417" s="564"/>
    </row>
    <row r="418" spans="1:14" ht="14.25" customHeight="1" x14ac:dyDescent="0.25">
      <c r="A418" s="563"/>
      <c r="B418" s="529" t="s">
        <v>667</v>
      </c>
      <c r="C418" s="523" t="s">
        <v>666</v>
      </c>
      <c r="D418" s="426" t="s">
        <v>675</v>
      </c>
      <c r="E418" s="426" t="s">
        <v>686</v>
      </c>
      <c r="F418" s="426"/>
      <c r="G418" s="440"/>
      <c r="H418" s="441"/>
      <c r="I418" s="428">
        <v>1</v>
      </c>
      <c r="J418" s="530">
        <f t="shared" si="7"/>
        <v>0</v>
      </c>
      <c r="K418" s="289"/>
      <c r="L418" s="540"/>
      <c r="M418" s="530"/>
      <c r="N418" s="564"/>
    </row>
    <row r="419" spans="1:14" ht="14.25" customHeight="1" x14ac:dyDescent="0.25">
      <c r="A419" s="563"/>
      <c r="B419" s="529" t="s">
        <v>667</v>
      </c>
      <c r="C419" s="523" t="s">
        <v>666</v>
      </c>
      <c r="D419" s="426" t="s">
        <v>676</v>
      </c>
      <c r="E419" s="426" t="s">
        <v>186</v>
      </c>
      <c r="F419" s="426"/>
      <c r="G419" s="440"/>
      <c r="H419" s="441"/>
      <c r="I419" s="428">
        <v>1</v>
      </c>
      <c r="J419" s="530">
        <f t="shared" si="7"/>
        <v>0</v>
      </c>
      <c r="K419" s="289"/>
      <c r="L419" s="540"/>
      <c r="M419" s="530"/>
      <c r="N419" s="564"/>
    </row>
    <row r="420" spans="1:14" ht="14.25" customHeight="1" x14ac:dyDescent="0.25">
      <c r="A420" s="563"/>
      <c r="B420" s="529" t="s">
        <v>667</v>
      </c>
      <c r="C420" s="523" t="s">
        <v>666</v>
      </c>
      <c r="D420" s="426" t="s">
        <v>677</v>
      </c>
      <c r="E420" s="426" t="s">
        <v>686</v>
      </c>
      <c r="F420" s="426"/>
      <c r="G420" s="440"/>
      <c r="H420" s="441"/>
      <c r="I420" s="428">
        <v>1</v>
      </c>
      <c r="J420" s="530">
        <f t="shared" si="7"/>
        <v>0</v>
      </c>
      <c r="K420" s="289"/>
      <c r="L420" s="540"/>
      <c r="M420" s="530"/>
      <c r="N420" s="564"/>
    </row>
    <row r="421" spans="1:14" ht="14.25" customHeight="1" x14ac:dyDescent="0.25">
      <c r="A421" s="563"/>
      <c r="B421" s="529" t="s">
        <v>667</v>
      </c>
      <c r="C421" s="523" t="s">
        <v>666</v>
      </c>
      <c r="D421" s="426" t="s">
        <v>678</v>
      </c>
      <c r="E421" s="426" t="s">
        <v>186</v>
      </c>
      <c r="F421" s="426"/>
      <c r="G421" s="440"/>
      <c r="H421" s="441"/>
      <c r="I421" s="428">
        <v>1</v>
      </c>
      <c r="J421" s="530">
        <f t="shared" si="7"/>
        <v>0</v>
      </c>
      <c r="K421" s="289"/>
      <c r="L421" s="540"/>
      <c r="M421" s="530"/>
      <c r="N421" s="564"/>
    </row>
    <row r="422" spans="1:14" ht="14.25" customHeight="1" x14ac:dyDescent="0.25">
      <c r="A422" s="563"/>
      <c r="B422" s="529" t="s">
        <v>667</v>
      </c>
      <c r="C422" s="523" t="s">
        <v>666</v>
      </c>
      <c r="D422" s="426" t="s">
        <v>679</v>
      </c>
      <c r="E422" s="426" t="s">
        <v>686</v>
      </c>
      <c r="F422" s="426"/>
      <c r="G422" s="440"/>
      <c r="H422" s="441"/>
      <c r="I422" s="428">
        <v>1</v>
      </c>
      <c r="J422" s="530">
        <f t="shared" si="7"/>
        <v>0</v>
      </c>
      <c r="K422" s="289"/>
      <c r="L422" s="540"/>
      <c r="M422" s="530"/>
      <c r="N422" s="564"/>
    </row>
    <row r="423" spans="1:14" ht="14.25" customHeight="1" x14ac:dyDescent="0.25">
      <c r="A423" s="563"/>
      <c r="B423" s="529" t="s">
        <v>667</v>
      </c>
      <c r="C423" s="523" t="s">
        <v>666</v>
      </c>
      <c r="D423" s="426" t="s">
        <v>680</v>
      </c>
      <c r="E423" s="426" t="s">
        <v>186</v>
      </c>
      <c r="F423" s="426"/>
      <c r="G423" s="440"/>
      <c r="H423" s="441"/>
      <c r="I423" s="428">
        <v>1</v>
      </c>
      <c r="J423" s="530">
        <f t="shared" si="7"/>
        <v>0</v>
      </c>
      <c r="K423" s="289"/>
      <c r="L423" s="540"/>
      <c r="M423" s="530"/>
      <c r="N423" s="564"/>
    </row>
    <row r="424" spans="1:14" ht="14.25" customHeight="1" x14ac:dyDescent="0.25">
      <c r="A424" s="563"/>
      <c r="B424" s="529" t="s">
        <v>667</v>
      </c>
      <c r="C424" s="523" t="s">
        <v>666</v>
      </c>
      <c r="D424" s="426" t="s">
        <v>681</v>
      </c>
      <c r="E424" s="426" t="s">
        <v>686</v>
      </c>
      <c r="F424" s="426"/>
      <c r="G424" s="440"/>
      <c r="H424" s="441"/>
      <c r="I424" s="428">
        <v>1</v>
      </c>
      <c r="J424" s="530">
        <f t="shared" si="7"/>
        <v>0</v>
      </c>
      <c r="K424" s="289"/>
      <c r="L424" s="540"/>
      <c r="M424" s="530"/>
      <c r="N424" s="564"/>
    </row>
    <row r="425" spans="1:14" ht="14.25" customHeight="1" x14ac:dyDescent="0.25">
      <c r="A425" s="563"/>
      <c r="B425" s="529" t="s">
        <v>667</v>
      </c>
      <c r="C425" s="523" t="s">
        <v>666</v>
      </c>
      <c r="D425" s="426" t="s">
        <v>682</v>
      </c>
      <c r="E425" s="426" t="s">
        <v>186</v>
      </c>
      <c r="F425" s="426"/>
      <c r="G425" s="440"/>
      <c r="H425" s="441"/>
      <c r="I425" s="428">
        <v>1</v>
      </c>
      <c r="J425" s="530">
        <f t="shared" si="7"/>
        <v>0</v>
      </c>
      <c r="K425" s="289"/>
      <c r="L425" s="540"/>
      <c r="M425" s="530"/>
      <c r="N425" s="564"/>
    </row>
    <row r="426" spans="1:14" ht="14.25" customHeight="1" x14ac:dyDescent="0.25">
      <c r="A426" s="563"/>
      <c r="B426" s="529" t="s">
        <v>667</v>
      </c>
      <c r="C426" s="523" t="s">
        <v>666</v>
      </c>
      <c r="D426" s="426" t="s">
        <v>683</v>
      </c>
      <c r="E426" s="426" t="s">
        <v>693</v>
      </c>
      <c r="F426" s="426"/>
      <c r="G426" s="440"/>
      <c r="H426" s="441"/>
      <c r="I426" s="428">
        <v>1</v>
      </c>
      <c r="J426" s="530">
        <f t="shared" si="7"/>
        <v>0</v>
      </c>
      <c r="K426" s="289"/>
      <c r="L426" s="540"/>
      <c r="M426" s="530"/>
      <c r="N426" s="564"/>
    </row>
    <row r="427" spans="1:14" ht="14.25" customHeight="1" x14ac:dyDescent="0.25">
      <c r="A427" s="563"/>
      <c r="B427" s="529" t="s">
        <v>667</v>
      </c>
      <c r="C427" s="523" t="s">
        <v>666</v>
      </c>
      <c r="D427" s="426" t="s">
        <v>684</v>
      </c>
      <c r="E427" s="426" t="s">
        <v>694</v>
      </c>
      <c r="F427" s="426">
        <v>21.96</v>
      </c>
      <c r="G427" s="440">
        <v>1.2</v>
      </c>
      <c r="H427" s="441" t="s">
        <v>701</v>
      </c>
      <c r="I427" s="428">
        <v>1</v>
      </c>
      <c r="J427" s="530">
        <f>F427*G427</f>
        <v>26.352</v>
      </c>
      <c r="K427" s="289"/>
      <c r="L427" s="540"/>
      <c r="M427" s="530"/>
      <c r="N427" s="564"/>
    </row>
    <row r="428" spans="1:14" ht="14.25" customHeight="1" x14ac:dyDescent="0.25">
      <c r="A428" s="563"/>
      <c r="B428" s="529" t="s">
        <v>667</v>
      </c>
      <c r="C428" s="523" t="s">
        <v>666</v>
      </c>
      <c r="D428" s="426" t="s">
        <v>685</v>
      </c>
      <c r="E428" s="426"/>
      <c r="F428" s="426"/>
      <c r="G428" s="440"/>
      <c r="H428" s="441"/>
      <c r="I428" s="428">
        <v>1</v>
      </c>
      <c r="J428" s="530">
        <f t="shared" si="7"/>
        <v>0</v>
      </c>
      <c r="K428" s="289"/>
      <c r="L428" s="540"/>
      <c r="M428" s="530"/>
      <c r="N428" s="564"/>
    </row>
    <row r="429" spans="1:14" ht="14.25" customHeight="1" x14ac:dyDescent="0.25">
      <c r="A429" s="563"/>
      <c r="B429" s="529" t="s">
        <v>671</v>
      </c>
      <c r="C429" s="523" t="s">
        <v>635</v>
      </c>
      <c r="D429" s="426" t="s">
        <v>628</v>
      </c>
      <c r="E429" s="426" t="s">
        <v>197</v>
      </c>
      <c r="F429" s="426"/>
      <c r="G429" s="440"/>
      <c r="H429" s="441"/>
      <c r="I429" s="428">
        <v>1</v>
      </c>
      <c r="J429" s="530">
        <f t="shared" si="7"/>
        <v>0</v>
      </c>
      <c r="K429" s="289"/>
      <c r="L429" s="540"/>
      <c r="M429" s="530"/>
      <c r="N429" s="564"/>
    </row>
    <row r="430" spans="1:14" ht="14.25" customHeight="1" x14ac:dyDescent="0.25">
      <c r="A430" s="563"/>
      <c r="B430" s="529" t="s">
        <v>672</v>
      </c>
      <c r="C430" s="523" t="s">
        <v>674</v>
      </c>
      <c r="D430" s="426" t="s">
        <v>614</v>
      </c>
      <c r="E430" s="426" t="s">
        <v>186</v>
      </c>
      <c r="F430" s="426"/>
      <c r="G430" s="440"/>
      <c r="H430" s="441"/>
      <c r="I430" s="428">
        <v>1</v>
      </c>
      <c r="J430" s="530">
        <f t="shared" si="7"/>
        <v>0</v>
      </c>
      <c r="K430" s="289"/>
      <c r="L430" s="540"/>
      <c r="M430" s="530"/>
      <c r="N430" s="564"/>
    </row>
    <row r="431" spans="1:14" ht="14.25" customHeight="1" x14ac:dyDescent="0.25">
      <c r="A431" s="563"/>
      <c r="B431" s="529" t="s">
        <v>672</v>
      </c>
      <c r="C431" s="523" t="s">
        <v>674</v>
      </c>
      <c r="D431" s="426" t="s">
        <v>615</v>
      </c>
      <c r="E431" s="426" t="s">
        <v>186</v>
      </c>
      <c r="F431" s="426"/>
      <c r="G431" s="440"/>
      <c r="H431" s="441"/>
      <c r="I431" s="428">
        <v>1</v>
      </c>
      <c r="J431" s="530">
        <f t="shared" si="7"/>
        <v>0</v>
      </c>
      <c r="K431" s="289"/>
      <c r="L431" s="540"/>
      <c r="M431" s="530"/>
      <c r="N431" s="564"/>
    </row>
    <row r="432" spans="1:14" ht="14.25" customHeight="1" x14ac:dyDescent="0.25">
      <c r="A432" s="563"/>
      <c r="B432" s="529" t="s">
        <v>672</v>
      </c>
      <c r="C432" s="523" t="s">
        <v>674</v>
      </c>
      <c r="D432" s="426" t="s">
        <v>616</v>
      </c>
      <c r="E432" s="426" t="s">
        <v>186</v>
      </c>
      <c r="F432" s="426"/>
      <c r="G432" s="440"/>
      <c r="H432" s="441"/>
      <c r="I432" s="428">
        <v>1</v>
      </c>
      <c r="J432" s="530">
        <f t="shared" si="7"/>
        <v>0</v>
      </c>
      <c r="K432" s="289"/>
      <c r="L432" s="540"/>
      <c r="M432" s="530"/>
      <c r="N432" s="564"/>
    </row>
    <row r="433" spans="1:14" ht="14.25" customHeight="1" x14ac:dyDescent="0.25">
      <c r="A433" s="563"/>
      <c r="B433" s="529" t="s">
        <v>672</v>
      </c>
      <c r="C433" s="523" t="s">
        <v>674</v>
      </c>
      <c r="D433" s="426" t="s">
        <v>618</v>
      </c>
      <c r="E433" s="426" t="s">
        <v>693</v>
      </c>
      <c r="F433" s="426"/>
      <c r="G433" s="440"/>
      <c r="H433" s="441"/>
      <c r="I433" s="428">
        <v>1</v>
      </c>
      <c r="J433" s="530">
        <f t="shared" si="7"/>
        <v>0</v>
      </c>
      <c r="K433" s="289"/>
      <c r="L433" s="540"/>
      <c r="M433" s="530"/>
      <c r="N433" s="564"/>
    </row>
    <row r="434" spans="1:14" ht="14.25" customHeight="1" x14ac:dyDescent="0.25">
      <c r="A434" s="563"/>
      <c r="B434" s="529" t="s">
        <v>672</v>
      </c>
      <c r="C434" s="523" t="s">
        <v>674</v>
      </c>
      <c r="D434" s="426" t="s">
        <v>689</v>
      </c>
      <c r="E434" s="426" t="s">
        <v>694</v>
      </c>
      <c r="F434" s="426">
        <v>12.48</v>
      </c>
      <c r="G434" s="440">
        <v>1.2</v>
      </c>
      <c r="H434" s="441" t="s">
        <v>701</v>
      </c>
      <c r="I434" s="428">
        <v>1</v>
      </c>
      <c r="J434" s="530">
        <f>F434*G434</f>
        <v>14.975999999999999</v>
      </c>
      <c r="K434" s="289"/>
      <c r="L434" s="540"/>
      <c r="M434" s="530"/>
      <c r="N434" s="564"/>
    </row>
    <row r="435" spans="1:14" ht="14.25" customHeight="1" x14ac:dyDescent="0.25">
      <c r="A435" s="563"/>
      <c r="B435" s="529" t="s">
        <v>672</v>
      </c>
      <c r="C435" s="523" t="s">
        <v>674</v>
      </c>
      <c r="D435" s="426" t="s">
        <v>619</v>
      </c>
      <c r="E435" s="426" t="s">
        <v>186</v>
      </c>
      <c r="F435" s="426"/>
      <c r="G435" s="440"/>
      <c r="H435" s="441"/>
      <c r="I435" s="428">
        <v>1</v>
      </c>
      <c r="J435" s="530">
        <f t="shared" si="7"/>
        <v>0</v>
      </c>
      <c r="K435" s="289"/>
      <c r="L435" s="540"/>
      <c r="M435" s="530"/>
      <c r="N435" s="564"/>
    </row>
    <row r="436" spans="1:14" ht="14.25" customHeight="1" x14ac:dyDescent="0.25">
      <c r="A436" s="563"/>
      <c r="B436" s="529" t="s">
        <v>672</v>
      </c>
      <c r="C436" s="523" t="s">
        <v>674</v>
      </c>
      <c r="D436" s="426" t="s">
        <v>620</v>
      </c>
      <c r="E436" s="426" t="s">
        <v>186</v>
      </c>
      <c r="F436" s="426"/>
      <c r="G436" s="440"/>
      <c r="H436" s="441"/>
      <c r="I436" s="428">
        <v>1</v>
      </c>
      <c r="J436" s="530">
        <f t="shared" si="7"/>
        <v>0</v>
      </c>
      <c r="K436" s="289"/>
      <c r="L436" s="540"/>
      <c r="M436" s="530"/>
      <c r="N436" s="564"/>
    </row>
    <row r="437" spans="1:14" ht="14.25" customHeight="1" x14ac:dyDescent="0.25">
      <c r="A437" s="563"/>
      <c r="B437" s="529" t="s">
        <v>672</v>
      </c>
      <c r="C437" s="523" t="s">
        <v>674</v>
      </c>
      <c r="D437" s="426" t="s">
        <v>640</v>
      </c>
      <c r="E437" s="426" t="s">
        <v>186</v>
      </c>
      <c r="F437" s="426"/>
      <c r="G437" s="440"/>
      <c r="H437" s="441"/>
      <c r="I437" s="428">
        <v>1</v>
      </c>
      <c r="J437" s="530">
        <f t="shared" si="7"/>
        <v>0</v>
      </c>
      <c r="K437" s="289"/>
      <c r="L437" s="540"/>
      <c r="M437" s="530"/>
      <c r="N437" s="564"/>
    </row>
    <row r="438" spans="1:14" ht="14.25" customHeight="1" x14ac:dyDescent="0.25">
      <c r="A438" s="563"/>
      <c r="B438" s="529" t="s">
        <v>672</v>
      </c>
      <c r="C438" s="523" t="s">
        <v>674</v>
      </c>
      <c r="D438" s="426" t="s">
        <v>621</v>
      </c>
      <c r="E438" s="426" t="s">
        <v>186</v>
      </c>
      <c r="F438" s="426"/>
      <c r="G438" s="440"/>
      <c r="H438" s="441"/>
      <c r="I438" s="428">
        <v>1</v>
      </c>
      <c r="J438" s="530">
        <f t="shared" si="7"/>
        <v>0</v>
      </c>
      <c r="K438" s="289"/>
      <c r="L438" s="540"/>
      <c r="M438" s="530"/>
      <c r="N438" s="564"/>
    </row>
    <row r="439" spans="1:14" ht="14.25" customHeight="1" x14ac:dyDescent="0.25">
      <c r="A439" s="563"/>
      <c r="B439" s="529" t="s">
        <v>672</v>
      </c>
      <c r="C439" s="523" t="s">
        <v>674</v>
      </c>
      <c r="D439" s="426" t="s">
        <v>617</v>
      </c>
      <c r="E439" s="426" t="s">
        <v>186</v>
      </c>
      <c r="F439" s="426"/>
      <c r="G439" s="440"/>
      <c r="H439" s="441"/>
      <c r="I439" s="428">
        <v>1</v>
      </c>
      <c r="J439" s="530">
        <f t="shared" si="7"/>
        <v>0</v>
      </c>
      <c r="K439" s="289"/>
      <c r="L439" s="540"/>
      <c r="M439" s="530"/>
      <c r="N439" s="564"/>
    </row>
    <row r="440" spans="1:14" ht="14.25" customHeight="1" x14ac:dyDescent="0.25">
      <c r="A440" s="563"/>
      <c r="B440" s="529" t="s">
        <v>672</v>
      </c>
      <c r="C440" s="523" t="s">
        <v>674</v>
      </c>
      <c r="D440" s="426" t="s">
        <v>622</v>
      </c>
      <c r="E440" s="426" t="s">
        <v>686</v>
      </c>
      <c r="F440" s="426"/>
      <c r="G440" s="440"/>
      <c r="H440" s="441"/>
      <c r="I440" s="428">
        <v>1</v>
      </c>
      <c r="J440" s="530">
        <f t="shared" si="7"/>
        <v>0</v>
      </c>
      <c r="K440" s="289"/>
      <c r="L440" s="540"/>
      <c r="M440" s="530"/>
      <c r="N440" s="564"/>
    </row>
    <row r="441" spans="1:14" ht="14.25" customHeight="1" x14ac:dyDescent="0.25">
      <c r="A441" s="563"/>
      <c r="B441" s="529" t="s">
        <v>672</v>
      </c>
      <c r="C441" s="523" t="s">
        <v>674</v>
      </c>
      <c r="D441" s="426" t="s">
        <v>623</v>
      </c>
      <c r="E441" s="426" t="s">
        <v>186</v>
      </c>
      <c r="F441" s="426"/>
      <c r="G441" s="440"/>
      <c r="H441" s="441"/>
      <c r="I441" s="428">
        <v>1</v>
      </c>
      <c r="J441" s="530">
        <f t="shared" si="7"/>
        <v>0</v>
      </c>
      <c r="K441" s="289"/>
      <c r="L441" s="540"/>
      <c r="M441" s="530"/>
      <c r="N441" s="564"/>
    </row>
    <row r="442" spans="1:14" ht="14.25" customHeight="1" x14ac:dyDescent="0.25">
      <c r="A442" s="563"/>
      <c r="B442" s="529" t="s">
        <v>672</v>
      </c>
      <c r="C442" s="523" t="s">
        <v>674</v>
      </c>
      <c r="D442" s="426" t="s">
        <v>630</v>
      </c>
      <c r="E442" s="426" t="s">
        <v>686</v>
      </c>
      <c r="F442" s="426"/>
      <c r="G442" s="440"/>
      <c r="H442" s="441"/>
      <c r="I442" s="428">
        <v>1</v>
      </c>
      <c r="J442" s="530">
        <f t="shared" si="7"/>
        <v>0</v>
      </c>
      <c r="K442" s="289"/>
      <c r="L442" s="540"/>
      <c r="M442" s="530"/>
      <c r="N442" s="564"/>
    </row>
    <row r="443" spans="1:14" ht="14.25" customHeight="1" x14ac:dyDescent="0.25">
      <c r="A443" s="563"/>
      <c r="B443" s="529" t="s">
        <v>672</v>
      </c>
      <c r="C443" s="523" t="s">
        <v>674</v>
      </c>
      <c r="D443" s="426" t="s">
        <v>631</v>
      </c>
      <c r="E443" s="426" t="s">
        <v>186</v>
      </c>
      <c r="F443" s="426"/>
      <c r="G443" s="440"/>
      <c r="H443" s="441"/>
      <c r="I443" s="428">
        <v>1</v>
      </c>
      <c r="J443" s="530">
        <f t="shared" si="7"/>
        <v>0</v>
      </c>
      <c r="K443" s="289"/>
      <c r="L443" s="540"/>
      <c r="M443" s="530"/>
      <c r="N443" s="564"/>
    </row>
    <row r="444" spans="1:14" ht="14.25" customHeight="1" x14ac:dyDescent="0.25">
      <c r="A444" s="563"/>
      <c r="B444" s="529" t="s">
        <v>672</v>
      </c>
      <c r="C444" s="523" t="s">
        <v>674</v>
      </c>
      <c r="D444" s="426" t="s">
        <v>624</v>
      </c>
      <c r="E444" s="426" t="s">
        <v>686</v>
      </c>
      <c r="F444" s="426"/>
      <c r="G444" s="440"/>
      <c r="H444" s="441"/>
      <c r="I444" s="428">
        <v>1</v>
      </c>
      <c r="J444" s="530">
        <f t="shared" si="7"/>
        <v>0</v>
      </c>
      <c r="K444" s="289"/>
      <c r="L444" s="540"/>
      <c r="M444" s="530"/>
      <c r="N444" s="564"/>
    </row>
    <row r="445" spans="1:14" ht="14.25" customHeight="1" x14ac:dyDescent="0.25">
      <c r="A445" s="563"/>
      <c r="B445" s="529" t="s">
        <v>672</v>
      </c>
      <c r="C445" s="523" t="s">
        <v>674</v>
      </c>
      <c r="D445" s="426" t="s">
        <v>625</v>
      </c>
      <c r="E445" s="426" t="s">
        <v>186</v>
      </c>
      <c r="F445" s="426"/>
      <c r="G445" s="440"/>
      <c r="H445" s="441"/>
      <c r="I445" s="428">
        <v>1</v>
      </c>
      <c r="J445" s="530">
        <f t="shared" si="7"/>
        <v>0</v>
      </c>
      <c r="K445" s="289"/>
      <c r="L445" s="540"/>
      <c r="M445" s="530"/>
      <c r="N445" s="564"/>
    </row>
    <row r="446" spans="1:14" ht="14.25" customHeight="1" x14ac:dyDescent="0.25">
      <c r="A446" s="563"/>
      <c r="B446" s="529" t="s">
        <v>672</v>
      </c>
      <c r="C446" s="523" t="s">
        <v>674</v>
      </c>
      <c r="D446" s="426" t="s">
        <v>626</v>
      </c>
      <c r="E446" s="426" t="s">
        <v>686</v>
      </c>
      <c r="F446" s="426"/>
      <c r="G446" s="440"/>
      <c r="H446" s="441"/>
      <c r="I446" s="428">
        <v>1</v>
      </c>
      <c r="J446" s="530">
        <f t="shared" si="7"/>
        <v>0</v>
      </c>
      <c r="K446" s="289"/>
      <c r="L446" s="540"/>
      <c r="M446" s="530"/>
      <c r="N446" s="564"/>
    </row>
    <row r="447" spans="1:14" ht="14.25" customHeight="1" x14ac:dyDescent="0.25">
      <c r="A447" s="563"/>
      <c r="B447" s="529" t="s">
        <v>672</v>
      </c>
      <c r="C447" s="523" t="s">
        <v>674</v>
      </c>
      <c r="D447" s="426" t="s">
        <v>627</v>
      </c>
      <c r="E447" s="426" t="s">
        <v>186</v>
      </c>
      <c r="F447" s="426"/>
      <c r="G447" s="440"/>
      <c r="H447" s="441"/>
      <c r="I447" s="428">
        <v>1</v>
      </c>
      <c r="J447" s="530">
        <f t="shared" si="7"/>
        <v>0</v>
      </c>
      <c r="K447" s="289"/>
      <c r="L447" s="540"/>
      <c r="M447" s="530"/>
      <c r="N447" s="564"/>
    </row>
    <row r="448" spans="1:14" ht="14.25" customHeight="1" x14ac:dyDescent="0.25">
      <c r="A448" s="563"/>
      <c r="B448" s="529" t="s">
        <v>672</v>
      </c>
      <c r="C448" s="523" t="s">
        <v>674</v>
      </c>
      <c r="D448" s="426" t="s">
        <v>683</v>
      </c>
      <c r="E448" s="426" t="s">
        <v>693</v>
      </c>
      <c r="F448" s="426"/>
      <c r="G448" s="440"/>
      <c r="H448" s="441"/>
      <c r="I448" s="428">
        <v>1</v>
      </c>
      <c r="J448" s="530">
        <f t="shared" si="7"/>
        <v>0</v>
      </c>
      <c r="K448" s="289"/>
      <c r="L448" s="540"/>
      <c r="M448" s="530"/>
      <c r="N448" s="564"/>
    </row>
    <row r="449" spans="1:14" ht="14.25" customHeight="1" x14ac:dyDescent="0.25">
      <c r="A449" s="563"/>
      <c r="B449" s="529" t="s">
        <v>672</v>
      </c>
      <c r="C449" s="523" t="s">
        <v>674</v>
      </c>
      <c r="D449" s="426" t="s">
        <v>684</v>
      </c>
      <c r="E449" s="426" t="s">
        <v>694</v>
      </c>
      <c r="F449" s="426">
        <v>21.96</v>
      </c>
      <c r="G449" s="440">
        <v>1.2</v>
      </c>
      <c r="H449" s="441" t="s">
        <v>701</v>
      </c>
      <c r="I449" s="428">
        <v>1</v>
      </c>
      <c r="J449" s="530">
        <f>F449*G449</f>
        <v>26.352</v>
      </c>
      <c r="K449" s="289"/>
      <c r="L449" s="540"/>
      <c r="M449" s="530"/>
      <c r="N449" s="564"/>
    </row>
    <row r="450" spans="1:14" ht="14.25" customHeight="1" x14ac:dyDescent="0.25">
      <c r="A450" s="563"/>
      <c r="B450" s="529" t="s">
        <v>672</v>
      </c>
      <c r="C450" s="523" t="s">
        <v>674</v>
      </c>
      <c r="D450" s="426" t="s">
        <v>685</v>
      </c>
      <c r="E450" s="426"/>
      <c r="F450" s="426"/>
      <c r="G450" s="440"/>
      <c r="H450" s="441"/>
      <c r="I450" s="428">
        <v>1</v>
      </c>
      <c r="J450" s="530">
        <f t="shared" si="7"/>
        <v>0</v>
      </c>
      <c r="K450" s="289"/>
      <c r="L450" s="540"/>
      <c r="M450" s="530"/>
      <c r="N450" s="564"/>
    </row>
    <row r="451" spans="1:14" ht="14.25" customHeight="1" x14ac:dyDescent="0.25">
      <c r="A451" s="563"/>
      <c r="B451" s="529" t="s">
        <v>672</v>
      </c>
      <c r="C451" s="523" t="s">
        <v>673</v>
      </c>
      <c r="D451" s="426" t="s">
        <v>614</v>
      </c>
      <c r="E451" s="426" t="s">
        <v>186</v>
      </c>
      <c r="F451" s="426"/>
      <c r="G451" s="440"/>
      <c r="H451" s="441"/>
      <c r="I451" s="428">
        <v>1</v>
      </c>
      <c r="J451" s="530">
        <f t="shared" si="7"/>
        <v>0</v>
      </c>
      <c r="K451" s="289"/>
      <c r="L451" s="540"/>
      <c r="M451" s="530"/>
      <c r="N451" s="564"/>
    </row>
    <row r="452" spans="1:14" ht="14.25" customHeight="1" x14ac:dyDescent="0.25">
      <c r="A452" s="563"/>
      <c r="B452" s="529" t="s">
        <v>672</v>
      </c>
      <c r="C452" s="523" t="s">
        <v>673</v>
      </c>
      <c r="D452" s="426" t="s">
        <v>615</v>
      </c>
      <c r="E452" s="426" t="s">
        <v>186</v>
      </c>
      <c r="F452" s="426"/>
      <c r="G452" s="440"/>
      <c r="H452" s="441"/>
      <c r="I452" s="428">
        <v>1</v>
      </c>
      <c r="J452" s="530">
        <f t="shared" si="7"/>
        <v>0</v>
      </c>
      <c r="K452" s="289"/>
      <c r="L452" s="540"/>
      <c r="M452" s="530"/>
      <c r="N452" s="564"/>
    </row>
    <row r="453" spans="1:14" ht="14.25" customHeight="1" x14ac:dyDescent="0.25">
      <c r="A453" s="563"/>
      <c r="B453" s="529" t="s">
        <v>672</v>
      </c>
      <c r="C453" s="523" t="s">
        <v>673</v>
      </c>
      <c r="D453" s="426" t="s">
        <v>616</v>
      </c>
      <c r="E453" s="426" t="s">
        <v>186</v>
      </c>
      <c r="F453" s="426"/>
      <c r="G453" s="440"/>
      <c r="H453" s="441"/>
      <c r="I453" s="428">
        <v>1</v>
      </c>
      <c r="J453" s="530">
        <f t="shared" si="7"/>
        <v>0</v>
      </c>
      <c r="K453" s="289"/>
      <c r="L453" s="540"/>
      <c r="M453" s="530"/>
      <c r="N453" s="564"/>
    </row>
    <row r="454" spans="1:14" ht="14.25" customHeight="1" x14ac:dyDescent="0.25">
      <c r="A454" s="563"/>
      <c r="B454" s="529" t="s">
        <v>672</v>
      </c>
      <c r="C454" s="523" t="s">
        <v>673</v>
      </c>
      <c r="D454" s="426" t="s">
        <v>618</v>
      </c>
      <c r="E454" s="426" t="s">
        <v>693</v>
      </c>
      <c r="F454" s="426"/>
      <c r="G454" s="440"/>
      <c r="H454" s="441"/>
      <c r="I454" s="428">
        <v>1</v>
      </c>
      <c r="J454" s="530">
        <f t="shared" si="7"/>
        <v>0</v>
      </c>
      <c r="K454" s="289"/>
      <c r="L454" s="540"/>
      <c r="M454" s="530"/>
      <c r="N454" s="564"/>
    </row>
    <row r="455" spans="1:14" ht="14.25" customHeight="1" x14ac:dyDescent="0.25">
      <c r="A455" s="563"/>
      <c r="B455" s="529" t="s">
        <v>672</v>
      </c>
      <c r="C455" s="523" t="s">
        <v>673</v>
      </c>
      <c r="D455" s="426" t="s">
        <v>689</v>
      </c>
      <c r="E455" s="426" t="s">
        <v>694</v>
      </c>
      <c r="F455" s="426">
        <v>14.45</v>
      </c>
      <c r="G455" s="440">
        <v>1.2</v>
      </c>
      <c r="H455" s="441" t="s">
        <v>701</v>
      </c>
      <c r="I455" s="428">
        <v>1</v>
      </c>
      <c r="J455" s="530">
        <f>F455*G455</f>
        <v>17.34</v>
      </c>
      <c r="K455" s="289"/>
      <c r="L455" s="540"/>
      <c r="M455" s="530"/>
      <c r="N455" s="564"/>
    </row>
    <row r="456" spans="1:14" ht="14.25" customHeight="1" x14ac:dyDescent="0.25">
      <c r="A456" s="563"/>
      <c r="B456" s="529" t="s">
        <v>672</v>
      </c>
      <c r="C456" s="523" t="s">
        <v>673</v>
      </c>
      <c r="D456" s="426" t="s">
        <v>619</v>
      </c>
      <c r="E456" s="426" t="s">
        <v>186</v>
      </c>
      <c r="F456" s="426"/>
      <c r="G456" s="440"/>
      <c r="H456" s="441"/>
      <c r="I456" s="428">
        <v>1</v>
      </c>
      <c r="J456" s="530">
        <f t="shared" si="7"/>
        <v>0</v>
      </c>
      <c r="K456" s="289"/>
      <c r="L456" s="540"/>
      <c r="M456" s="530"/>
      <c r="N456" s="564"/>
    </row>
    <row r="457" spans="1:14" ht="14.25" customHeight="1" x14ac:dyDescent="0.25">
      <c r="A457" s="563"/>
      <c r="B457" s="529" t="s">
        <v>672</v>
      </c>
      <c r="C457" s="523" t="s">
        <v>673</v>
      </c>
      <c r="D457" s="426" t="s">
        <v>620</v>
      </c>
      <c r="E457" s="426" t="s">
        <v>186</v>
      </c>
      <c r="F457" s="426"/>
      <c r="G457" s="440"/>
      <c r="H457" s="441"/>
      <c r="I457" s="428">
        <v>1</v>
      </c>
      <c r="J457" s="530">
        <f t="shared" si="7"/>
        <v>0</v>
      </c>
      <c r="K457" s="289"/>
      <c r="L457" s="540"/>
      <c r="M457" s="530"/>
      <c r="N457" s="564"/>
    </row>
    <row r="458" spans="1:14" ht="14.25" customHeight="1" x14ac:dyDescent="0.25">
      <c r="A458" s="563"/>
      <c r="B458" s="529" t="s">
        <v>672</v>
      </c>
      <c r="C458" s="523" t="s">
        <v>673</v>
      </c>
      <c r="D458" s="426" t="s">
        <v>621</v>
      </c>
      <c r="E458" s="426" t="s">
        <v>186</v>
      </c>
      <c r="F458" s="426"/>
      <c r="G458" s="440"/>
      <c r="H458" s="441"/>
      <c r="I458" s="428">
        <v>1</v>
      </c>
      <c r="J458" s="530">
        <f t="shared" si="7"/>
        <v>0</v>
      </c>
      <c r="K458" s="289"/>
      <c r="L458" s="540"/>
      <c r="M458" s="530"/>
      <c r="N458" s="564"/>
    </row>
    <row r="459" spans="1:14" ht="14.25" customHeight="1" x14ac:dyDescent="0.25">
      <c r="A459" s="563"/>
      <c r="B459" s="529" t="s">
        <v>672</v>
      </c>
      <c r="C459" s="523" t="s">
        <v>673</v>
      </c>
      <c r="D459" s="426" t="s">
        <v>617</v>
      </c>
      <c r="E459" s="426" t="s">
        <v>186</v>
      </c>
      <c r="F459" s="426"/>
      <c r="G459" s="440"/>
      <c r="H459" s="441"/>
      <c r="I459" s="428">
        <v>1</v>
      </c>
      <c r="J459" s="530">
        <f t="shared" si="7"/>
        <v>0</v>
      </c>
      <c r="K459" s="289"/>
      <c r="L459" s="540"/>
      <c r="M459" s="530"/>
      <c r="N459" s="564"/>
    </row>
    <row r="460" spans="1:14" ht="14.25" customHeight="1" x14ac:dyDescent="0.25">
      <c r="A460" s="563"/>
      <c r="B460" s="529" t="s">
        <v>672</v>
      </c>
      <c r="C460" s="523" t="s">
        <v>673</v>
      </c>
      <c r="D460" s="426" t="s">
        <v>622</v>
      </c>
      <c r="E460" s="426" t="s">
        <v>686</v>
      </c>
      <c r="F460" s="426"/>
      <c r="G460" s="440"/>
      <c r="H460" s="441"/>
      <c r="I460" s="428">
        <v>1</v>
      </c>
      <c r="J460" s="530">
        <f t="shared" ref="J460:J469" si="8">G460*I460</f>
        <v>0</v>
      </c>
      <c r="K460" s="289"/>
      <c r="L460" s="540"/>
      <c r="M460" s="530"/>
      <c r="N460" s="564"/>
    </row>
    <row r="461" spans="1:14" ht="14.25" customHeight="1" x14ac:dyDescent="0.25">
      <c r="A461" s="563"/>
      <c r="B461" s="529" t="s">
        <v>672</v>
      </c>
      <c r="C461" s="523" t="s">
        <v>673</v>
      </c>
      <c r="D461" s="426" t="s">
        <v>623</v>
      </c>
      <c r="E461" s="426" t="s">
        <v>186</v>
      </c>
      <c r="F461" s="426"/>
      <c r="G461" s="440"/>
      <c r="H461" s="441"/>
      <c r="I461" s="428">
        <v>1</v>
      </c>
      <c r="J461" s="530">
        <f t="shared" si="8"/>
        <v>0</v>
      </c>
      <c r="K461" s="289"/>
      <c r="L461" s="540"/>
      <c r="M461" s="530"/>
      <c r="N461" s="564"/>
    </row>
    <row r="462" spans="1:14" ht="14.25" customHeight="1" x14ac:dyDescent="0.25">
      <c r="A462" s="563"/>
      <c r="B462" s="529" t="s">
        <v>672</v>
      </c>
      <c r="C462" s="523" t="s">
        <v>673</v>
      </c>
      <c r="D462" s="426" t="s">
        <v>624</v>
      </c>
      <c r="E462" s="426" t="s">
        <v>686</v>
      </c>
      <c r="F462" s="426"/>
      <c r="G462" s="440"/>
      <c r="H462" s="441"/>
      <c r="I462" s="428">
        <v>1</v>
      </c>
      <c r="J462" s="530">
        <f t="shared" si="8"/>
        <v>0</v>
      </c>
      <c r="K462" s="289"/>
      <c r="L462" s="540"/>
      <c r="M462" s="530"/>
      <c r="N462" s="564"/>
    </row>
    <row r="463" spans="1:14" ht="14.25" customHeight="1" x14ac:dyDescent="0.25">
      <c r="A463" s="563"/>
      <c r="B463" s="529" t="s">
        <v>672</v>
      </c>
      <c r="C463" s="523" t="s">
        <v>673</v>
      </c>
      <c r="D463" s="426" t="s">
        <v>625</v>
      </c>
      <c r="E463" s="426" t="s">
        <v>186</v>
      </c>
      <c r="F463" s="426"/>
      <c r="G463" s="440"/>
      <c r="H463" s="441"/>
      <c r="I463" s="428">
        <v>1</v>
      </c>
      <c r="J463" s="530">
        <f t="shared" si="8"/>
        <v>0</v>
      </c>
      <c r="K463" s="289"/>
      <c r="L463" s="540"/>
      <c r="M463" s="530"/>
      <c r="N463" s="564"/>
    </row>
    <row r="464" spans="1:14" ht="14.25" customHeight="1" x14ac:dyDescent="0.25">
      <c r="A464" s="563"/>
      <c r="B464" s="529" t="s">
        <v>672</v>
      </c>
      <c r="C464" s="523" t="s">
        <v>673</v>
      </c>
      <c r="D464" s="426" t="s">
        <v>626</v>
      </c>
      <c r="E464" s="426" t="s">
        <v>686</v>
      </c>
      <c r="F464" s="426"/>
      <c r="G464" s="440"/>
      <c r="H464" s="441"/>
      <c r="I464" s="428">
        <v>1</v>
      </c>
      <c r="J464" s="530">
        <f t="shared" si="8"/>
        <v>0</v>
      </c>
      <c r="K464" s="289"/>
      <c r="L464" s="540"/>
      <c r="M464" s="530"/>
      <c r="N464" s="564"/>
    </row>
    <row r="465" spans="1:14" ht="14.25" customHeight="1" x14ac:dyDescent="0.25">
      <c r="A465" s="563"/>
      <c r="B465" s="529" t="s">
        <v>672</v>
      </c>
      <c r="C465" s="523" t="s">
        <v>673</v>
      </c>
      <c r="D465" s="426" t="s">
        <v>627</v>
      </c>
      <c r="E465" s="426" t="s">
        <v>186</v>
      </c>
      <c r="F465" s="426"/>
      <c r="G465" s="440"/>
      <c r="H465" s="441"/>
      <c r="I465" s="428">
        <v>1</v>
      </c>
      <c r="J465" s="530">
        <f t="shared" si="8"/>
        <v>0</v>
      </c>
      <c r="K465" s="289"/>
      <c r="L465" s="540"/>
      <c r="M465" s="530"/>
      <c r="N465" s="564"/>
    </row>
    <row r="466" spans="1:14" ht="14.25" customHeight="1" x14ac:dyDescent="0.25">
      <c r="A466" s="563"/>
      <c r="B466" s="529" t="s">
        <v>672</v>
      </c>
      <c r="C466" s="523" t="s">
        <v>673</v>
      </c>
      <c r="D466" s="426" t="s">
        <v>683</v>
      </c>
      <c r="E466" s="426" t="s">
        <v>693</v>
      </c>
      <c r="F466" s="426"/>
      <c r="G466" s="440"/>
      <c r="H466" s="441"/>
      <c r="I466" s="428">
        <v>1</v>
      </c>
      <c r="J466" s="530">
        <f t="shared" si="8"/>
        <v>0</v>
      </c>
      <c r="K466" s="289"/>
      <c r="L466" s="540"/>
      <c r="M466" s="530"/>
      <c r="N466" s="564"/>
    </row>
    <row r="467" spans="1:14" ht="14.25" customHeight="1" x14ac:dyDescent="0.25">
      <c r="A467" s="563"/>
      <c r="B467" s="529" t="s">
        <v>672</v>
      </c>
      <c r="C467" s="523" t="s">
        <v>673</v>
      </c>
      <c r="D467" s="426" t="s">
        <v>684</v>
      </c>
      <c r="E467" s="426" t="s">
        <v>694</v>
      </c>
      <c r="F467" s="426">
        <v>21.96</v>
      </c>
      <c r="G467" s="440">
        <v>1.2</v>
      </c>
      <c r="H467" s="441" t="s">
        <v>701</v>
      </c>
      <c r="I467" s="428">
        <v>1</v>
      </c>
      <c r="J467" s="530">
        <f>F467*G467</f>
        <v>26.352</v>
      </c>
      <c r="K467" s="289"/>
      <c r="L467" s="540"/>
      <c r="M467" s="530"/>
      <c r="N467" s="564"/>
    </row>
    <row r="468" spans="1:14" ht="14.25" customHeight="1" x14ac:dyDescent="0.25">
      <c r="A468" s="563"/>
      <c r="B468" s="529" t="s">
        <v>672</v>
      </c>
      <c r="C468" s="523" t="s">
        <v>673</v>
      </c>
      <c r="D468" s="426" t="s">
        <v>685</v>
      </c>
      <c r="E468" s="426"/>
      <c r="F468" s="426"/>
      <c r="G468" s="440"/>
      <c r="H468" s="441"/>
      <c r="I468" s="428">
        <v>1</v>
      </c>
      <c r="J468" s="530">
        <f t="shared" si="8"/>
        <v>0</v>
      </c>
      <c r="K468" s="289"/>
      <c r="L468" s="540"/>
      <c r="M468" s="530"/>
      <c r="N468" s="564"/>
    </row>
    <row r="469" spans="1:14" ht="14.25" customHeight="1" thickBot="1" x14ac:dyDescent="0.3">
      <c r="A469" s="565"/>
      <c r="B469" s="532" t="s">
        <v>671</v>
      </c>
      <c r="C469" s="533" t="s">
        <v>635</v>
      </c>
      <c r="D469" s="534" t="s">
        <v>642</v>
      </c>
      <c r="E469" s="534" t="s">
        <v>186</v>
      </c>
      <c r="F469" s="534"/>
      <c r="G469" s="535"/>
      <c r="H469" s="536"/>
      <c r="I469" s="537">
        <v>1</v>
      </c>
      <c r="J469" s="538">
        <f t="shared" si="8"/>
        <v>0</v>
      </c>
      <c r="K469" s="566"/>
      <c r="L469" s="541"/>
      <c r="M469" s="538"/>
      <c r="N469" s="567"/>
    </row>
    <row r="470" spans="1:14" ht="14.25" hidden="1" customHeight="1" x14ac:dyDescent="0.25">
      <c r="A470" s="289"/>
      <c r="G470" s="251"/>
      <c r="I470" s="251"/>
      <c r="J470" s="251"/>
      <c r="K470" s="289"/>
      <c r="M470" s="251"/>
      <c r="N470" s="289"/>
    </row>
    <row r="471" spans="1:14" ht="14.25" hidden="1" customHeight="1" x14ac:dyDescent="0.25">
      <c r="A471" s="289"/>
      <c r="G471" s="251"/>
      <c r="I471" s="251"/>
      <c r="J471" s="251"/>
      <c r="K471" s="289"/>
      <c r="M471" s="251"/>
      <c r="N471" s="289"/>
    </row>
    <row r="472" spans="1:14" ht="14.25" hidden="1" customHeight="1" x14ac:dyDescent="0.25">
      <c r="A472" s="289"/>
      <c r="G472" s="251"/>
      <c r="I472" s="251"/>
      <c r="J472" s="251"/>
      <c r="K472" s="289"/>
      <c r="M472" s="251"/>
      <c r="N472" s="289"/>
    </row>
    <row r="473" spans="1:14" ht="14.25" hidden="1" customHeight="1" x14ac:dyDescent="0.25">
      <c r="A473" s="289"/>
      <c r="G473" s="251"/>
      <c r="I473" s="251"/>
      <c r="J473" s="251"/>
      <c r="K473" s="289"/>
      <c r="M473" s="251"/>
      <c r="N473" s="289"/>
    </row>
    <row r="474" spans="1:14" ht="14.25" hidden="1" customHeight="1" x14ac:dyDescent="0.25">
      <c r="A474" s="289"/>
      <c r="G474" s="251"/>
      <c r="I474" s="251"/>
      <c r="J474" s="251"/>
      <c r="K474" s="289"/>
      <c r="M474" s="251"/>
      <c r="N474" s="289"/>
    </row>
    <row r="475" spans="1:14" ht="14.25" hidden="1" customHeight="1" x14ac:dyDescent="0.25">
      <c r="A475" s="289"/>
      <c r="G475" s="251"/>
      <c r="I475" s="251"/>
      <c r="J475" s="251"/>
      <c r="K475" s="289"/>
      <c r="M475" s="251"/>
      <c r="N475" s="289"/>
    </row>
    <row r="476" spans="1:14" ht="14.25" hidden="1" customHeight="1" x14ac:dyDescent="0.25">
      <c r="A476" s="289"/>
      <c r="G476" s="251"/>
      <c r="I476" s="251"/>
      <c r="J476" s="251"/>
      <c r="K476" s="289"/>
      <c r="M476" s="251"/>
      <c r="N476" s="289"/>
    </row>
    <row r="477" spans="1:14" ht="14.25" hidden="1" customHeight="1" x14ac:dyDescent="0.25">
      <c r="A477" s="289"/>
      <c r="G477" s="251"/>
      <c r="I477" s="251"/>
      <c r="J477" s="251"/>
      <c r="K477" s="289"/>
      <c r="M477" s="251"/>
      <c r="N477" s="289"/>
    </row>
    <row r="478" spans="1:14" ht="14.25" hidden="1" customHeight="1" x14ac:dyDescent="0.25">
      <c r="A478" s="289"/>
      <c r="G478" s="251"/>
      <c r="I478" s="251"/>
      <c r="J478" s="251"/>
      <c r="K478" s="289"/>
      <c r="M478" s="251"/>
      <c r="N478" s="289"/>
    </row>
    <row r="479" spans="1:14" ht="14.25" hidden="1" customHeight="1" x14ac:dyDescent="0.25">
      <c r="A479" s="289"/>
      <c r="G479" s="251"/>
      <c r="I479" s="251"/>
      <c r="J479" s="251"/>
      <c r="K479" s="289"/>
      <c r="M479" s="251"/>
      <c r="N479" s="289"/>
    </row>
    <row r="480" spans="1:14" ht="14.25" hidden="1" customHeight="1" x14ac:dyDescent="0.25">
      <c r="A480" s="289"/>
      <c r="G480" s="251"/>
      <c r="I480" s="251"/>
      <c r="J480" s="251"/>
      <c r="K480" s="289"/>
      <c r="M480" s="251"/>
      <c r="N480" s="289"/>
    </row>
    <row r="481" spans="1:14" ht="14.25" hidden="1" customHeight="1" x14ac:dyDescent="0.25">
      <c r="A481" s="289"/>
      <c r="G481" s="251"/>
      <c r="I481" s="251"/>
      <c r="J481" s="251"/>
      <c r="K481" s="289"/>
      <c r="M481" s="251"/>
      <c r="N481" s="289"/>
    </row>
    <row r="482" spans="1:14" ht="14.25" hidden="1" customHeight="1" x14ac:dyDescent="0.25">
      <c r="A482" s="289"/>
      <c r="G482" s="251"/>
      <c r="I482" s="251"/>
      <c r="J482" s="251"/>
      <c r="K482" s="289"/>
      <c r="M482" s="251"/>
      <c r="N482" s="289"/>
    </row>
    <row r="483" spans="1:14" ht="14.25" hidden="1" customHeight="1" x14ac:dyDescent="0.25">
      <c r="A483" s="289"/>
      <c r="G483" s="251"/>
      <c r="I483" s="251"/>
      <c r="J483" s="251"/>
      <c r="K483" s="289"/>
      <c r="M483" s="251"/>
      <c r="N483" s="289"/>
    </row>
    <row r="484" spans="1:14" ht="14.25" hidden="1" customHeight="1" x14ac:dyDescent="0.25">
      <c r="A484" s="289"/>
      <c r="G484" s="251"/>
      <c r="I484" s="251"/>
      <c r="J484" s="251"/>
      <c r="K484" s="289"/>
      <c r="M484" s="251"/>
      <c r="N484" s="289"/>
    </row>
    <row r="485" spans="1:14" ht="14.25" hidden="1" customHeight="1" x14ac:dyDescent="0.25">
      <c r="A485" s="289"/>
      <c r="G485" s="251"/>
      <c r="I485" s="251"/>
      <c r="J485" s="251"/>
      <c r="K485" s="289"/>
      <c r="M485" s="251"/>
      <c r="N485" s="289"/>
    </row>
    <row r="486" spans="1:14" ht="14.25" hidden="1" customHeight="1" x14ac:dyDescent="0.25">
      <c r="A486" s="289"/>
      <c r="G486" s="251"/>
      <c r="I486" s="251"/>
      <c r="J486" s="251"/>
      <c r="K486" s="289"/>
      <c r="M486" s="251"/>
      <c r="N486" s="289"/>
    </row>
    <row r="487" spans="1:14" ht="14.25" hidden="1" customHeight="1" x14ac:dyDescent="0.25">
      <c r="A487" s="289"/>
      <c r="G487" s="251"/>
      <c r="I487" s="251"/>
      <c r="J487" s="251"/>
      <c r="K487" s="289"/>
      <c r="M487" s="251"/>
      <c r="N487" s="289"/>
    </row>
    <row r="488" spans="1:14" ht="14.25" hidden="1" customHeight="1" x14ac:dyDescent="0.25">
      <c r="A488" s="289"/>
      <c r="G488" s="251"/>
      <c r="I488" s="251"/>
      <c r="J488" s="251"/>
      <c r="K488" s="289"/>
      <c r="M488" s="251"/>
      <c r="N488" s="289"/>
    </row>
    <row r="489" spans="1:14" ht="14.25" hidden="1" customHeight="1" x14ac:dyDescent="0.25">
      <c r="A489" s="289"/>
      <c r="G489" s="251"/>
      <c r="I489" s="251"/>
      <c r="J489" s="251"/>
      <c r="K489" s="289"/>
      <c r="M489" s="251"/>
      <c r="N489" s="289"/>
    </row>
    <row r="490" spans="1:14" ht="14.25" hidden="1" customHeight="1" x14ac:dyDescent="0.25">
      <c r="A490" s="289"/>
      <c r="G490" s="251"/>
      <c r="I490" s="251"/>
      <c r="J490" s="251"/>
      <c r="K490" s="289"/>
      <c r="M490" s="251"/>
      <c r="N490" s="289"/>
    </row>
    <row r="491" spans="1:14" ht="14.25" hidden="1" customHeight="1" x14ac:dyDescent="0.25">
      <c r="A491" s="289"/>
      <c r="G491" s="251"/>
      <c r="I491" s="251"/>
      <c r="J491" s="251"/>
      <c r="K491" s="289"/>
      <c r="M491" s="251"/>
      <c r="N491" s="289"/>
    </row>
    <row r="492" spans="1:14" ht="14.25" hidden="1" customHeight="1" x14ac:dyDescent="0.25">
      <c r="A492" s="289"/>
      <c r="G492" s="251"/>
      <c r="I492" s="251"/>
      <c r="J492" s="251"/>
      <c r="K492" s="289"/>
      <c r="M492" s="251"/>
      <c r="N492" s="289"/>
    </row>
    <row r="493" spans="1:14" ht="14.25" hidden="1" customHeight="1" x14ac:dyDescent="0.25">
      <c r="A493" s="289"/>
      <c r="G493" s="251"/>
      <c r="I493" s="251"/>
      <c r="J493" s="251"/>
      <c r="K493" s="289"/>
      <c r="M493" s="251"/>
      <c r="N493" s="289"/>
    </row>
    <row r="494" spans="1:14" ht="14.25" hidden="1" customHeight="1" x14ac:dyDescent="0.25">
      <c r="A494" s="289"/>
      <c r="G494" s="251"/>
      <c r="I494" s="251"/>
      <c r="J494" s="251"/>
      <c r="K494" s="289"/>
      <c r="M494" s="251"/>
      <c r="N494" s="289"/>
    </row>
    <row r="495" spans="1:14" ht="14.25" hidden="1" customHeight="1" x14ac:dyDescent="0.25">
      <c r="A495" s="289"/>
      <c r="G495" s="251"/>
      <c r="I495" s="251"/>
      <c r="J495" s="251"/>
      <c r="K495" s="289"/>
      <c r="M495" s="251"/>
      <c r="N495" s="289"/>
    </row>
    <row r="496" spans="1:14" ht="14.25" hidden="1" customHeight="1" x14ac:dyDescent="0.25">
      <c r="A496" s="289"/>
      <c r="G496" s="251"/>
      <c r="I496" s="251"/>
      <c r="J496" s="251"/>
      <c r="K496" s="289"/>
      <c r="M496" s="251"/>
      <c r="N496" s="289"/>
    </row>
    <row r="497" spans="1:14" ht="14.25" hidden="1" customHeight="1" x14ac:dyDescent="0.25">
      <c r="A497" s="289"/>
      <c r="G497" s="251"/>
      <c r="I497" s="251"/>
      <c r="J497" s="251"/>
      <c r="K497" s="289"/>
      <c r="M497" s="251"/>
      <c r="N497" s="289"/>
    </row>
    <row r="498" spans="1:14" ht="14.25" hidden="1" customHeight="1" x14ac:dyDescent="0.25">
      <c r="A498" s="289"/>
      <c r="G498" s="251"/>
      <c r="I498" s="251"/>
      <c r="J498" s="251"/>
      <c r="K498" s="289"/>
      <c r="M498" s="251"/>
      <c r="N498" s="289"/>
    </row>
    <row r="499" spans="1:14" ht="14.25" hidden="1" customHeight="1" x14ac:dyDescent="0.25">
      <c r="A499" s="289"/>
      <c r="G499" s="251"/>
      <c r="I499" s="251"/>
      <c r="J499" s="251"/>
      <c r="K499" s="289"/>
      <c r="M499" s="251"/>
      <c r="N499" s="289"/>
    </row>
    <row r="500" spans="1:14" ht="14.25" hidden="1" customHeight="1" x14ac:dyDescent="0.25">
      <c r="A500" s="289"/>
      <c r="G500" s="251"/>
      <c r="I500" s="251"/>
      <c r="J500" s="251"/>
      <c r="K500" s="289"/>
      <c r="M500" s="251"/>
      <c r="N500" s="289"/>
    </row>
    <row r="501" spans="1:14" ht="14.25" hidden="1" customHeight="1" x14ac:dyDescent="0.25">
      <c r="A501" s="289"/>
      <c r="G501" s="251"/>
      <c r="I501" s="251"/>
      <c r="J501" s="251"/>
      <c r="K501" s="289"/>
      <c r="M501" s="251"/>
      <c r="N501" s="289"/>
    </row>
    <row r="502" spans="1:14" ht="14.25" hidden="1" customHeight="1" x14ac:dyDescent="0.25">
      <c r="A502" s="289"/>
      <c r="G502" s="251"/>
      <c r="I502" s="251"/>
      <c r="J502" s="251"/>
      <c r="K502" s="289"/>
      <c r="M502" s="251"/>
      <c r="N502" s="289"/>
    </row>
    <row r="503" spans="1:14" ht="14.25" hidden="1" customHeight="1" x14ac:dyDescent="0.25">
      <c r="A503" s="289"/>
      <c r="G503" s="251"/>
      <c r="I503" s="251"/>
      <c r="J503" s="251"/>
      <c r="K503" s="289"/>
      <c r="M503" s="251"/>
      <c r="N503" s="289"/>
    </row>
    <row r="504" spans="1:14" ht="14.25" hidden="1" customHeight="1" x14ac:dyDescent="0.25">
      <c r="A504" s="289"/>
      <c r="G504" s="251"/>
      <c r="I504" s="251"/>
      <c r="J504" s="251"/>
      <c r="K504" s="289"/>
      <c r="M504" s="251"/>
      <c r="N504" s="289"/>
    </row>
    <row r="505" spans="1:14" ht="14.25" hidden="1" customHeight="1" x14ac:dyDescent="0.25">
      <c r="A505" s="289"/>
      <c r="G505" s="251"/>
      <c r="I505" s="251"/>
      <c r="J505" s="251"/>
      <c r="K505" s="289"/>
      <c r="M505" s="251"/>
      <c r="N505" s="289"/>
    </row>
    <row r="506" spans="1:14" ht="14.25" hidden="1" customHeight="1" x14ac:dyDescent="0.25">
      <c r="A506" s="289"/>
      <c r="G506" s="251"/>
      <c r="I506" s="251"/>
      <c r="J506" s="251"/>
      <c r="K506" s="289"/>
      <c r="M506" s="251"/>
      <c r="N506" s="289"/>
    </row>
    <row r="507" spans="1:14" ht="14.25" hidden="1" customHeight="1" x14ac:dyDescent="0.25">
      <c r="A507" s="289"/>
      <c r="G507" s="251"/>
      <c r="I507" s="251"/>
      <c r="J507" s="251"/>
      <c r="K507" s="289"/>
      <c r="M507" s="251"/>
      <c r="N507" s="289"/>
    </row>
    <row r="508" spans="1:14" ht="14.25" hidden="1" customHeight="1" x14ac:dyDescent="0.25">
      <c r="A508" s="289"/>
      <c r="G508" s="251"/>
      <c r="I508" s="251"/>
      <c r="J508" s="251"/>
      <c r="K508" s="289"/>
      <c r="M508" s="251"/>
      <c r="N508" s="289"/>
    </row>
    <row r="509" spans="1:14" ht="14.25" hidden="1" customHeight="1" x14ac:dyDescent="0.25">
      <c r="A509" s="289"/>
      <c r="G509" s="251"/>
      <c r="I509" s="251"/>
      <c r="J509" s="251"/>
      <c r="K509" s="289"/>
      <c r="M509" s="251"/>
      <c r="N509" s="289"/>
    </row>
    <row r="510" spans="1:14" ht="14.25" hidden="1" customHeight="1" x14ac:dyDescent="0.25">
      <c r="A510" s="289"/>
      <c r="G510" s="251"/>
      <c r="I510" s="251"/>
      <c r="J510" s="251"/>
      <c r="K510" s="289"/>
      <c r="M510" s="251"/>
      <c r="N510" s="289"/>
    </row>
    <row r="511" spans="1:14" ht="14.25" hidden="1" customHeight="1" x14ac:dyDescent="0.25">
      <c r="A511" s="289"/>
      <c r="G511" s="251"/>
      <c r="I511" s="251"/>
      <c r="J511" s="251"/>
      <c r="K511" s="289"/>
      <c r="M511" s="251"/>
      <c r="N511" s="289"/>
    </row>
    <row r="512" spans="1:14" ht="14.25" hidden="1" customHeight="1" x14ac:dyDescent="0.25">
      <c r="A512" s="289"/>
      <c r="G512" s="251"/>
      <c r="I512" s="251"/>
      <c r="J512" s="251"/>
      <c r="K512" s="289"/>
      <c r="M512" s="251"/>
      <c r="N512" s="289"/>
    </row>
    <row r="513" spans="1:14" ht="14.25" hidden="1" customHeight="1" x14ac:dyDescent="0.25">
      <c r="A513" s="289"/>
      <c r="G513" s="251"/>
      <c r="I513" s="251"/>
      <c r="J513" s="251"/>
      <c r="K513" s="289"/>
      <c r="M513" s="251"/>
      <c r="N513" s="289"/>
    </row>
    <row r="514" spans="1:14" ht="14.25" hidden="1" customHeight="1" x14ac:dyDescent="0.25">
      <c r="A514" s="289"/>
      <c r="G514" s="251"/>
      <c r="I514" s="251"/>
      <c r="J514" s="251"/>
      <c r="K514" s="289"/>
      <c r="M514" s="251"/>
      <c r="N514" s="289"/>
    </row>
    <row r="515" spans="1:14" ht="14.25" hidden="1" customHeight="1" x14ac:dyDescent="0.25">
      <c r="A515" s="289"/>
      <c r="G515" s="251"/>
      <c r="I515" s="251"/>
      <c r="J515" s="251"/>
      <c r="K515" s="289"/>
      <c r="M515" s="251"/>
      <c r="N515" s="289"/>
    </row>
    <row r="516" spans="1:14" ht="14.25" hidden="1" customHeight="1" x14ac:dyDescent="0.25">
      <c r="A516" s="289"/>
      <c r="G516" s="251"/>
      <c r="I516" s="251"/>
      <c r="J516" s="251"/>
      <c r="K516" s="289"/>
      <c r="M516" s="251"/>
      <c r="N516" s="289"/>
    </row>
    <row r="517" spans="1:14" ht="14.25" hidden="1" customHeight="1" x14ac:dyDescent="0.25">
      <c r="A517" s="289"/>
      <c r="G517" s="251"/>
      <c r="I517" s="251"/>
      <c r="J517" s="251"/>
      <c r="K517" s="289"/>
      <c r="M517" s="251"/>
      <c r="N517" s="289"/>
    </row>
    <row r="518" spans="1:14" ht="14.25" hidden="1" customHeight="1" x14ac:dyDescent="0.25">
      <c r="A518" s="289"/>
      <c r="G518" s="251"/>
      <c r="I518" s="251"/>
      <c r="J518" s="251"/>
      <c r="K518" s="289"/>
      <c r="M518" s="251"/>
      <c r="N518" s="289"/>
    </row>
    <row r="519" spans="1:14" ht="14.25" hidden="1" customHeight="1" x14ac:dyDescent="0.25">
      <c r="A519" s="289"/>
      <c r="G519" s="251"/>
      <c r="I519" s="251"/>
      <c r="J519" s="251"/>
      <c r="K519" s="289"/>
      <c r="M519" s="251"/>
      <c r="N519" s="289"/>
    </row>
    <row r="520" spans="1:14" ht="14.25" hidden="1" customHeight="1" x14ac:dyDescent="0.25">
      <c r="A520" s="289"/>
      <c r="G520" s="251"/>
      <c r="I520" s="251"/>
      <c r="J520" s="251"/>
      <c r="K520" s="289"/>
      <c r="M520" s="251"/>
      <c r="N520" s="289"/>
    </row>
    <row r="521" spans="1:14" ht="14.25" hidden="1" customHeight="1" x14ac:dyDescent="0.25">
      <c r="A521" s="289"/>
      <c r="G521" s="251"/>
      <c r="I521" s="251"/>
      <c r="J521" s="251"/>
      <c r="K521" s="289"/>
      <c r="M521" s="251"/>
      <c r="N521" s="289"/>
    </row>
    <row r="522" spans="1:14" ht="14.25" hidden="1" customHeight="1" x14ac:dyDescent="0.25">
      <c r="A522" s="289"/>
      <c r="G522" s="251"/>
      <c r="I522" s="251"/>
      <c r="J522" s="251"/>
      <c r="K522" s="289"/>
      <c r="M522" s="251"/>
      <c r="N522" s="289"/>
    </row>
    <row r="523" spans="1:14" ht="14.25" hidden="1" customHeight="1" x14ac:dyDescent="0.25">
      <c r="A523" s="289"/>
      <c r="G523" s="251"/>
      <c r="I523" s="251"/>
      <c r="J523" s="251"/>
      <c r="K523" s="289"/>
      <c r="M523" s="251"/>
      <c r="N523" s="289"/>
    </row>
    <row r="524" spans="1:14" ht="14.25" hidden="1" customHeight="1" x14ac:dyDescent="0.25">
      <c r="A524" s="289"/>
      <c r="G524" s="251"/>
      <c r="I524" s="251"/>
      <c r="J524" s="251"/>
      <c r="K524" s="289"/>
      <c r="M524" s="251"/>
      <c r="N524" s="289"/>
    </row>
    <row r="525" spans="1:14" ht="14.25" hidden="1" customHeight="1" x14ac:dyDescent="0.25">
      <c r="A525" s="289"/>
      <c r="G525" s="251"/>
      <c r="I525" s="251"/>
      <c r="J525" s="251"/>
      <c r="K525" s="289"/>
      <c r="M525" s="251"/>
      <c r="N525" s="289"/>
    </row>
    <row r="526" spans="1:14" ht="14.25" hidden="1" customHeight="1" x14ac:dyDescent="0.25">
      <c r="A526" s="289"/>
      <c r="G526" s="251"/>
      <c r="I526" s="251"/>
      <c r="J526" s="251"/>
      <c r="K526" s="289"/>
      <c r="M526" s="251"/>
      <c r="N526" s="289"/>
    </row>
    <row r="527" spans="1:14" ht="14.25" hidden="1" customHeight="1" x14ac:dyDescent="0.25">
      <c r="A527" s="289"/>
      <c r="G527" s="251"/>
      <c r="I527" s="251"/>
      <c r="J527" s="251"/>
      <c r="K527" s="289"/>
      <c r="M527" s="251"/>
      <c r="N527" s="289"/>
    </row>
    <row r="528" spans="1:14" ht="14.25" hidden="1" customHeight="1" x14ac:dyDescent="0.25">
      <c r="A528" s="289"/>
      <c r="G528" s="251"/>
      <c r="I528" s="251"/>
      <c r="J528" s="251"/>
      <c r="K528" s="289"/>
      <c r="M528" s="251"/>
      <c r="N528" s="289"/>
    </row>
    <row r="529" spans="1:14" ht="14.25" hidden="1" customHeight="1" x14ac:dyDescent="0.25">
      <c r="A529" s="289"/>
      <c r="G529" s="251"/>
      <c r="I529" s="251"/>
      <c r="J529" s="251"/>
      <c r="K529" s="289"/>
      <c r="M529" s="251"/>
      <c r="N529" s="289"/>
    </row>
    <row r="530" spans="1:14" ht="14.25" hidden="1" customHeight="1" x14ac:dyDescent="0.25">
      <c r="A530" s="289"/>
      <c r="G530" s="251"/>
      <c r="I530" s="251"/>
      <c r="J530" s="251"/>
      <c r="K530" s="289"/>
      <c r="M530" s="251"/>
      <c r="N530" s="289"/>
    </row>
    <row r="531" spans="1:14" ht="14.25" hidden="1" customHeight="1" x14ac:dyDescent="0.25">
      <c r="A531" s="289"/>
      <c r="G531" s="251"/>
      <c r="I531" s="251"/>
      <c r="J531" s="251"/>
      <c r="K531" s="289"/>
      <c r="M531" s="251"/>
      <c r="N531" s="289"/>
    </row>
    <row r="532" spans="1:14" ht="14.25" hidden="1" customHeight="1" x14ac:dyDescent="0.25">
      <c r="A532" s="289"/>
      <c r="G532" s="251"/>
      <c r="I532" s="251"/>
      <c r="J532" s="251"/>
      <c r="K532" s="289"/>
      <c r="M532" s="251"/>
      <c r="N532" s="289"/>
    </row>
    <row r="533" spans="1:14" ht="14.25" hidden="1" customHeight="1" x14ac:dyDescent="0.25">
      <c r="A533" s="289"/>
      <c r="G533" s="251"/>
      <c r="I533" s="251"/>
      <c r="J533" s="251"/>
      <c r="K533" s="289"/>
      <c r="M533" s="251"/>
      <c r="N533" s="289"/>
    </row>
    <row r="534" spans="1:14" ht="14.25" hidden="1" customHeight="1" x14ac:dyDescent="0.25">
      <c r="A534" s="289"/>
      <c r="G534" s="251"/>
      <c r="I534" s="251"/>
      <c r="J534" s="251"/>
      <c r="K534" s="289"/>
      <c r="M534" s="251"/>
      <c r="N534" s="289"/>
    </row>
    <row r="535" spans="1:14" ht="14.25" hidden="1" customHeight="1" x14ac:dyDescent="0.25">
      <c r="A535" s="289"/>
      <c r="G535" s="251"/>
      <c r="I535" s="251"/>
      <c r="J535" s="251"/>
      <c r="K535" s="289"/>
      <c r="M535" s="251"/>
      <c r="N535" s="289"/>
    </row>
    <row r="536" spans="1:14" ht="14.25" hidden="1" customHeight="1" x14ac:dyDescent="0.25">
      <c r="A536" s="289"/>
      <c r="G536" s="251"/>
      <c r="I536" s="251"/>
      <c r="J536" s="251"/>
      <c r="K536" s="289"/>
      <c r="M536" s="251"/>
      <c r="N536" s="289"/>
    </row>
    <row r="537" spans="1:14" ht="14.25" hidden="1" customHeight="1" x14ac:dyDescent="0.25">
      <c r="A537" s="289"/>
      <c r="G537" s="251"/>
      <c r="I537" s="251"/>
      <c r="J537" s="251"/>
      <c r="K537" s="289"/>
      <c r="M537" s="251"/>
      <c r="N537" s="289"/>
    </row>
    <row r="538" spans="1:14" ht="14.25" hidden="1" customHeight="1" x14ac:dyDescent="0.25">
      <c r="A538" s="289"/>
      <c r="G538" s="251"/>
      <c r="I538" s="251"/>
      <c r="J538" s="251"/>
      <c r="K538" s="289"/>
      <c r="M538" s="251"/>
      <c r="N538" s="289"/>
    </row>
    <row r="539" spans="1:14" ht="14.25" hidden="1" customHeight="1" x14ac:dyDescent="0.25">
      <c r="A539" s="289"/>
      <c r="G539" s="251"/>
      <c r="I539" s="251"/>
      <c r="J539" s="251"/>
      <c r="K539" s="289"/>
      <c r="M539" s="251"/>
      <c r="N539" s="289"/>
    </row>
    <row r="540" spans="1:14" ht="14.25" hidden="1" customHeight="1" x14ac:dyDescent="0.25">
      <c r="A540" s="289"/>
      <c r="G540" s="251"/>
      <c r="I540" s="251"/>
      <c r="J540" s="251"/>
      <c r="K540" s="289"/>
      <c r="M540" s="251"/>
      <c r="N540" s="289"/>
    </row>
    <row r="541" spans="1:14" ht="14.25" hidden="1" customHeight="1" x14ac:dyDescent="0.25">
      <c r="A541" s="289"/>
      <c r="G541" s="251"/>
      <c r="I541" s="251"/>
      <c r="J541" s="251"/>
      <c r="K541" s="289"/>
      <c r="M541" s="251"/>
      <c r="N541" s="289"/>
    </row>
    <row r="542" spans="1:14" ht="14.25" hidden="1" customHeight="1" x14ac:dyDescent="0.25">
      <c r="A542" s="289"/>
      <c r="G542" s="251"/>
      <c r="I542" s="251"/>
      <c r="J542" s="251"/>
      <c r="K542" s="289"/>
      <c r="M542" s="251"/>
      <c r="N542" s="289"/>
    </row>
    <row r="543" spans="1:14" ht="14.25" hidden="1" customHeight="1" x14ac:dyDescent="0.25">
      <c r="A543" s="289"/>
      <c r="G543" s="251"/>
      <c r="I543" s="251"/>
      <c r="J543" s="251"/>
      <c r="K543" s="289"/>
      <c r="M543" s="251"/>
      <c r="N543" s="289"/>
    </row>
    <row r="544" spans="1:14" ht="14.25" hidden="1" customHeight="1" x14ac:dyDescent="0.25">
      <c r="A544" s="289"/>
      <c r="G544" s="251"/>
      <c r="I544" s="251"/>
      <c r="J544" s="251"/>
      <c r="K544" s="289"/>
      <c r="M544" s="251"/>
      <c r="N544" s="289"/>
    </row>
    <row r="545" spans="1:14" ht="14.25" hidden="1" customHeight="1" x14ac:dyDescent="0.25">
      <c r="A545" s="289"/>
      <c r="G545" s="251"/>
      <c r="I545" s="251"/>
      <c r="J545" s="251"/>
      <c r="K545" s="289"/>
      <c r="M545" s="251"/>
      <c r="N545" s="289"/>
    </row>
    <row r="546" spans="1:14" ht="14.25" hidden="1" customHeight="1" x14ac:dyDescent="0.25">
      <c r="A546" s="289"/>
      <c r="G546" s="251"/>
      <c r="I546" s="251"/>
      <c r="J546" s="251"/>
      <c r="K546" s="289"/>
      <c r="M546" s="251"/>
      <c r="N546" s="289"/>
    </row>
    <row r="547" spans="1:14" ht="14.25" hidden="1" customHeight="1" x14ac:dyDescent="0.25">
      <c r="A547" s="289"/>
      <c r="G547" s="251"/>
      <c r="I547" s="251"/>
      <c r="J547" s="251"/>
      <c r="K547" s="289"/>
      <c r="M547" s="251"/>
      <c r="N547" s="289"/>
    </row>
    <row r="548" spans="1:14" ht="14.25" hidden="1" customHeight="1" x14ac:dyDescent="0.25">
      <c r="A548" s="289"/>
      <c r="G548" s="251"/>
      <c r="I548" s="251"/>
      <c r="J548" s="251"/>
      <c r="K548" s="289"/>
      <c r="M548" s="251"/>
      <c r="N548" s="289"/>
    </row>
    <row r="549" spans="1:14" ht="14.25" hidden="1" customHeight="1" x14ac:dyDescent="0.25">
      <c r="A549" s="289"/>
      <c r="G549" s="251"/>
      <c r="I549" s="251"/>
      <c r="J549" s="251"/>
      <c r="K549" s="289"/>
      <c r="M549" s="251"/>
      <c r="N549" s="289"/>
    </row>
    <row r="550" spans="1:14" ht="14.25" hidden="1" customHeight="1" x14ac:dyDescent="0.25">
      <c r="A550" s="289"/>
      <c r="G550" s="251"/>
      <c r="I550" s="251"/>
      <c r="J550" s="251"/>
      <c r="K550" s="289"/>
      <c r="M550" s="251"/>
      <c r="N550" s="289"/>
    </row>
    <row r="551" spans="1:14" ht="14.25" hidden="1" customHeight="1" x14ac:dyDescent="0.25">
      <c r="A551" s="289"/>
      <c r="G551" s="251"/>
      <c r="I551" s="251"/>
      <c r="J551" s="251"/>
      <c r="K551" s="289"/>
      <c r="M551" s="251"/>
      <c r="N551" s="289"/>
    </row>
    <row r="552" spans="1:14" ht="14.25" hidden="1" customHeight="1" x14ac:dyDescent="0.25">
      <c r="A552" s="289"/>
      <c r="G552" s="251"/>
      <c r="I552" s="251"/>
      <c r="J552" s="251"/>
      <c r="K552" s="289"/>
      <c r="M552" s="251"/>
      <c r="N552" s="289"/>
    </row>
    <row r="553" spans="1:14" ht="14.25" hidden="1" customHeight="1" x14ac:dyDescent="0.25">
      <c r="A553" s="289"/>
      <c r="G553" s="251"/>
      <c r="I553" s="251"/>
      <c r="J553" s="251"/>
      <c r="K553" s="289"/>
      <c r="M553" s="251"/>
      <c r="N553" s="289"/>
    </row>
    <row r="554" spans="1:14" ht="14.25" hidden="1" customHeight="1" x14ac:dyDescent="0.25">
      <c r="A554" s="289"/>
      <c r="G554" s="251"/>
      <c r="I554" s="251"/>
      <c r="J554" s="251"/>
      <c r="K554" s="289"/>
      <c r="M554" s="251"/>
      <c r="N554" s="289"/>
    </row>
    <row r="555" spans="1:14" ht="14.25" hidden="1" customHeight="1" x14ac:dyDescent="0.25">
      <c r="A555" s="289"/>
      <c r="G555" s="251"/>
      <c r="I555" s="251"/>
      <c r="J555" s="251"/>
      <c r="K555" s="289"/>
      <c r="M555" s="251"/>
      <c r="N555" s="289"/>
    </row>
    <row r="556" spans="1:14" ht="14.25" hidden="1" customHeight="1" x14ac:dyDescent="0.25">
      <c r="A556" s="289"/>
      <c r="G556" s="251"/>
      <c r="I556" s="251"/>
      <c r="J556" s="251"/>
      <c r="K556" s="289"/>
      <c r="M556" s="251"/>
      <c r="N556" s="289"/>
    </row>
    <row r="557" spans="1:14" ht="14.25" hidden="1" customHeight="1" x14ac:dyDescent="0.25">
      <c r="A557" s="289"/>
      <c r="G557" s="251"/>
      <c r="I557" s="251"/>
      <c r="J557" s="251"/>
      <c r="K557" s="289"/>
      <c r="M557" s="251"/>
      <c r="N557" s="289"/>
    </row>
    <row r="558" spans="1:14" ht="14.25" hidden="1" customHeight="1" x14ac:dyDescent="0.25">
      <c r="A558" s="289"/>
      <c r="G558" s="251"/>
      <c r="I558" s="251"/>
      <c r="J558" s="251"/>
      <c r="K558" s="289"/>
      <c r="M558" s="251"/>
      <c r="N558" s="289"/>
    </row>
    <row r="559" spans="1:14" ht="14.25" hidden="1" customHeight="1" x14ac:dyDescent="0.25">
      <c r="A559" s="289"/>
      <c r="G559" s="251"/>
      <c r="I559" s="251"/>
      <c r="J559" s="251"/>
      <c r="K559" s="289"/>
      <c r="M559" s="251"/>
      <c r="N559" s="289"/>
    </row>
    <row r="560" spans="1:14" ht="14.25" hidden="1" customHeight="1" x14ac:dyDescent="0.25">
      <c r="A560" s="289"/>
      <c r="G560" s="251"/>
      <c r="I560" s="251"/>
      <c r="J560" s="251"/>
      <c r="K560" s="289"/>
      <c r="M560" s="251"/>
      <c r="N560" s="289"/>
    </row>
    <row r="561" spans="1:14" ht="14.25" hidden="1" customHeight="1" x14ac:dyDescent="0.25">
      <c r="A561" s="289"/>
      <c r="G561" s="251"/>
      <c r="I561" s="251"/>
      <c r="J561" s="251"/>
      <c r="K561" s="289"/>
      <c r="M561" s="251"/>
      <c r="N561" s="289"/>
    </row>
    <row r="562" spans="1:14" ht="14.25" hidden="1" customHeight="1" x14ac:dyDescent="0.25">
      <c r="A562" s="289"/>
      <c r="G562" s="251"/>
      <c r="I562" s="251"/>
      <c r="J562" s="251"/>
      <c r="K562" s="289"/>
      <c r="M562" s="251"/>
      <c r="N562" s="289"/>
    </row>
    <row r="563" spans="1:14" ht="14.25" hidden="1" customHeight="1" x14ac:dyDescent="0.25">
      <c r="A563" s="289"/>
      <c r="G563" s="251"/>
      <c r="I563" s="251"/>
      <c r="J563" s="251"/>
      <c r="K563" s="289"/>
      <c r="M563" s="251"/>
      <c r="N563" s="289"/>
    </row>
    <row r="564" spans="1:14" ht="14.25" hidden="1" customHeight="1" x14ac:dyDescent="0.25">
      <c r="A564" s="289"/>
      <c r="G564" s="251"/>
      <c r="I564" s="251"/>
      <c r="J564" s="251"/>
      <c r="K564" s="289"/>
      <c r="M564" s="251"/>
      <c r="N564" s="289"/>
    </row>
    <row r="565" spans="1:14" ht="14.25" hidden="1" customHeight="1" x14ac:dyDescent="0.25">
      <c r="A565" s="289"/>
      <c r="G565" s="251"/>
      <c r="I565" s="251"/>
      <c r="J565" s="251"/>
      <c r="K565" s="289"/>
      <c r="M565" s="251"/>
      <c r="N565" s="289"/>
    </row>
    <row r="566" spans="1:14" ht="14.25" hidden="1" customHeight="1" x14ac:dyDescent="0.25">
      <c r="A566" s="289"/>
      <c r="G566" s="251"/>
      <c r="I566" s="251"/>
      <c r="J566" s="251"/>
      <c r="K566" s="289"/>
      <c r="M566" s="251"/>
      <c r="N566" s="289"/>
    </row>
    <row r="567" spans="1:14" ht="14.25" hidden="1" customHeight="1" x14ac:dyDescent="0.25">
      <c r="A567" s="289"/>
      <c r="G567" s="251"/>
      <c r="I567" s="251"/>
      <c r="J567" s="251"/>
      <c r="K567" s="289"/>
      <c r="M567" s="251"/>
      <c r="N567" s="289"/>
    </row>
    <row r="568" spans="1:14" ht="14.25" hidden="1" customHeight="1" x14ac:dyDescent="0.25">
      <c r="A568" s="289"/>
      <c r="G568" s="251"/>
      <c r="I568" s="251"/>
      <c r="J568" s="251"/>
      <c r="K568" s="289"/>
      <c r="M568" s="251"/>
      <c r="N568" s="289"/>
    </row>
    <row r="569" spans="1:14" ht="14.25" hidden="1" customHeight="1" x14ac:dyDescent="0.25">
      <c r="A569" s="289"/>
      <c r="G569" s="251"/>
      <c r="I569" s="251"/>
      <c r="J569" s="251"/>
      <c r="K569" s="289"/>
      <c r="M569" s="251"/>
      <c r="N569" s="289"/>
    </row>
    <row r="570" spans="1:14" ht="14.25" hidden="1" customHeight="1" x14ac:dyDescent="0.25">
      <c r="A570" s="289"/>
      <c r="G570" s="251"/>
      <c r="I570" s="251"/>
      <c r="J570" s="251"/>
      <c r="K570" s="289"/>
      <c r="M570" s="251"/>
      <c r="N570" s="289"/>
    </row>
    <row r="571" spans="1:14" ht="14.25" hidden="1" customHeight="1" x14ac:dyDescent="0.25">
      <c r="A571" s="289"/>
      <c r="G571" s="251"/>
      <c r="I571" s="251"/>
      <c r="J571" s="251"/>
      <c r="K571" s="289"/>
      <c r="M571" s="251"/>
      <c r="N571" s="289"/>
    </row>
    <row r="572" spans="1:14" ht="14.25" hidden="1" customHeight="1" x14ac:dyDescent="0.25">
      <c r="A572" s="289"/>
      <c r="G572" s="251"/>
      <c r="I572" s="251"/>
      <c r="J572" s="251"/>
      <c r="K572" s="289"/>
      <c r="M572" s="251"/>
      <c r="N572" s="289"/>
    </row>
    <row r="573" spans="1:14" ht="14.25" hidden="1" customHeight="1" x14ac:dyDescent="0.25">
      <c r="A573" s="289"/>
      <c r="G573" s="251"/>
      <c r="I573" s="251"/>
      <c r="J573" s="251"/>
      <c r="K573" s="289"/>
      <c r="M573" s="251"/>
      <c r="N573" s="289"/>
    </row>
    <row r="574" spans="1:14" ht="14.25" hidden="1" customHeight="1" x14ac:dyDescent="0.25">
      <c r="A574" s="289"/>
      <c r="G574" s="251"/>
      <c r="I574" s="251"/>
      <c r="J574" s="251"/>
      <c r="K574" s="289"/>
      <c r="M574" s="251"/>
      <c r="N574" s="289"/>
    </row>
    <row r="575" spans="1:14" ht="14.25" hidden="1" customHeight="1" x14ac:dyDescent="0.25">
      <c r="A575" s="289"/>
      <c r="G575" s="251"/>
      <c r="I575" s="251"/>
      <c r="J575" s="251"/>
      <c r="K575" s="289"/>
      <c r="M575" s="251"/>
      <c r="N575" s="289"/>
    </row>
    <row r="576" spans="1:14" ht="14.25" hidden="1" customHeight="1" x14ac:dyDescent="0.25">
      <c r="A576" s="289"/>
      <c r="G576" s="251"/>
      <c r="I576" s="251"/>
      <c r="J576" s="251"/>
      <c r="K576" s="289"/>
      <c r="M576" s="251"/>
      <c r="N576" s="289"/>
    </row>
    <row r="577" spans="1:14" ht="14.25" hidden="1" customHeight="1" x14ac:dyDescent="0.25">
      <c r="A577" s="289"/>
      <c r="G577" s="251"/>
      <c r="I577" s="251"/>
      <c r="J577" s="251"/>
      <c r="K577" s="289"/>
      <c r="M577" s="251"/>
      <c r="N577" s="289"/>
    </row>
    <row r="578" spans="1:14" ht="14.25" hidden="1" customHeight="1" x14ac:dyDescent="0.25">
      <c r="A578" s="289"/>
      <c r="G578" s="251"/>
      <c r="I578" s="251"/>
      <c r="J578" s="251"/>
      <c r="K578" s="289"/>
      <c r="M578" s="251"/>
      <c r="N578" s="289"/>
    </row>
    <row r="579" spans="1:14" ht="14.25" hidden="1" customHeight="1" x14ac:dyDescent="0.25">
      <c r="A579" s="289"/>
      <c r="G579" s="251"/>
      <c r="I579" s="251"/>
      <c r="J579" s="251"/>
      <c r="K579" s="289"/>
      <c r="M579" s="251"/>
      <c r="N579" s="289"/>
    </row>
    <row r="580" spans="1:14" ht="14.25" hidden="1" customHeight="1" x14ac:dyDescent="0.25">
      <c r="A580" s="289"/>
      <c r="G580" s="251"/>
      <c r="I580" s="251"/>
      <c r="J580" s="251"/>
      <c r="K580" s="289"/>
      <c r="M580" s="251"/>
      <c r="N580" s="289"/>
    </row>
    <row r="581" spans="1:14" ht="14.25" hidden="1" customHeight="1" x14ac:dyDescent="0.25">
      <c r="A581" s="289"/>
      <c r="G581" s="251"/>
      <c r="I581" s="251"/>
      <c r="J581" s="251"/>
      <c r="K581" s="289"/>
      <c r="M581" s="251"/>
      <c r="N581" s="289"/>
    </row>
    <row r="582" spans="1:14" ht="14.25" hidden="1" customHeight="1" x14ac:dyDescent="0.25">
      <c r="A582" s="289"/>
      <c r="G582" s="251"/>
      <c r="I582" s="251"/>
      <c r="J582" s="251"/>
      <c r="K582" s="289"/>
      <c r="M582" s="251"/>
      <c r="N582" s="289"/>
    </row>
    <row r="583" spans="1:14" ht="14.25" hidden="1" customHeight="1" x14ac:dyDescent="0.25">
      <c r="A583" s="289"/>
      <c r="G583" s="251"/>
      <c r="I583" s="251"/>
      <c r="J583" s="251"/>
      <c r="K583" s="289"/>
      <c r="M583" s="251"/>
      <c r="N583" s="289"/>
    </row>
    <row r="584" spans="1:14" ht="14.25" hidden="1" customHeight="1" x14ac:dyDescent="0.25">
      <c r="A584" s="289"/>
      <c r="G584" s="251"/>
      <c r="I584" s="251"/>
      <c r="J584" s="251"/>
      <c r="K584" s="289"/>
      <c r="M584" s="251"/>
      <c r="N584" s="289"/>
    </row>
    <row r="585" spans="1:14" ht="14.25" hidden="1" customHeight="1" x14ac:dyDescent="0.25">
      <c r="A585" s="289"/>
      <c r="G585" s="251"/>
      <c r="I585" s="251"/>
      <c r="J585" s="251"/>
      <c r="K585" s="289"/>
      <c r="M585" s="251"/>
      <c r="N585" s="289"/>
    </row>
    <row r="586" spans="1:14" ht="14.25" hidden="1" customHeight="1" x14ac:dyDescent="0.25">
      <c r="A586" s="289"/>
      <c r="G586" s="251"/>
      <c r="I586" s="251"/>
      <c r="J586" s="251"/>
      <c r="K586" s="289"/>
      <c r="M586" s="251"/>
      <c r="N586" s="289"/>
    </row>
    <row r="587" spans="1:14" ht="14.25" hidden="1" customHeight="1" x14ac:dyDescent="0.25">
      <c r="A587" s="289"/>
      <c r="G587" s="251"/>
      <c r="I587" s="251"/>
      <c r="J587" s="251"/>
      <c r="K587" s="289"/>
      <c r="M587" s="251"/>
      <c r="N587" s="289"/>
    </row>
    <row r="588" spans="1:14" ht="14.25" hidden="1" customHeight="1" x14ac:dyDescent="0.25">
      <c r="A588" s="289"/>
      <c r="G588" s="251"/>
      <c r="I588" s="251"/>
      <c r="J588" s="251"/>
      <c r="K588" s="289"/>
      <c r="M588" s="251"/>
      <c r="N588" s="289"/>
    </row>
    <row r="589" spans="1:14" ht="14.25" hidden="1" customHeight="1" x14ac:dyDescent="0.25">
      <c r="A589" s="289"/>
      <c r="G589" s="251"/>
      <c r="I589" s="251"/>
      <c r="J589" s="251"/>
      <c r="K589" s="289"/>
      <c r="M589" s="251"/>
      <c r="N589" s="289"/>
    </row>
    <row r="590" spans="1:14" ht="14.25" hidden="1" customHeight="1" x14ac:dyDescent="0.25">
      <c r="A590" s="289"/>
      <c r="G590" s="251"/>
      <c r="I590" s="251"/>
      <c r="J590" s="251"/>
      <c r="K590" s="289"/>
      <c r="M590" s="251"/>
      <c r="N590" s="289"/>
    </row>
    <row r="591" spans="1:14" ht="14.25" hidden="1" customHeight="1" x14ac:dyDescent="0.25">
      <c r="A591" s="289"/>
      <c r="G591" s="251"/>
      <c r="I591" s="251"/>
      <c r="J591" s="251"/>
      <c r="K591" s="289"/>
      <c r="M591" s="251"/>
      <c r="N591" s="289"/>
    </row>
    <row r="592" spans="1:14" ht="14.25" hidden="1" customHeight="1" x14ac:dyDescent="0.25">
      <c r="A592" s="289"/>
      <c r="G592" s="251"/>
      <c r="I592" s="251"/>
      <c r="J592" s="251"/>
      <c r="K592" s="289"/>
      <c r="M592" s="251"/>
      <c r="N592" s="289"/>
    </row>
    <row r="593" spans="1:14" ht="14.25" hidden="1" customHeight="1" x14ac:dyDescent="0.25">
      <c r="A593" s="289"/>
      <c r="G593" s="251"/>
      <c r="I593" s="251"/>
      <c r="J593" s="251"/>
      <c r="K593" s="289"/>
      <c r="M593" s="251"/>
      <c r="N593" s="289"/>
    </row>
    <row r="594" spans="1:14" ht="14.25" hidden="1" customHeight="1" x14ac:dyDescent="0.25">
      <c r="A594" s="289"/>
      <c r="G594" s="251"/>
      <c r="I594" s="251"/>
      <c r="J594" s="251"/>
      <c r="K594" s="289"/>
      <c r="M594" s="251"/>
      <c r="N594" s="289"/>
    </row>
    <row r="595" spans="1:14" ht="14.25" hidden="1" customHeight="1" x14ac:dyDescent="0.25">
      <c r="A595" s="289"/>
      <c r="G595" s="251"/>
      <c r="I595" s="251"/>
      <c r="J595" s="251"/>
      <c r="K595" s="289"/>
      <c r="M595" s="251"/>
      <c r="N595" s="289"/>
    </row>
    <row r="596" spans="1:14" ht="14.25" hidden="1" customHeight="1" x14ac:dyDescent="0.25">
      <c r="A596" s="289"/>
      <c r="G596" s="251"/>
      <c r="I596" s="251"/>
      <c r="J596" s="251"/>
      <c r="K596" s="289"/>
      <c r="M596" s="251"/>
      <c r="N596" s="289"/>
    </row>
    <row r="597" spans="1:14" ht="14.25" hidden="1" customHeight="1" x14ac:dyDescent="0.25">
      <c r="A597" s="289"/>
      <c r="G597" s="251"/>
      <c r="I597" s="251"/>
      <c r="J597" s="251"/>
      <c r="K597" s="289"/>
      <c r="M597" s="251"/>
      <c r="N597" s="289"/>
    </row>
    <row r="598" spans="1:14" ht="14.25" hidden="1" customHeight="1" x14ac:dyDescent="0.25">
      <c r="A598" s="289"/>
      <c r="G598" s="251"/>
      <c r="I598" s="251"/>
      <c r="J598" s="251"/>
      <c r="K598" s="289"/>
      <c r="M598" s="251"/>
      <c r="N598" s="289"/>
    </row>
    <row r="599" spans="1:14" ht="14.25" hidden="1" customHeight="1" x14ac:dyDescent="0.25">
      <c r="A599" s="289"/>
      <c r="G599" s="251"/>
      <c r="I599" s="251"/>
      <c r="J599" s="251"/>
      <c r="K599" s="289"/>
      <c r="M599" s="251"/>
      <c r="N599" s="289"/>
    </row>
    <row r="600" spans="1:14" ht="14.25" hidden="1" customHeight="1" x14ac:dyDescent="0.25">
      <c r="A600" s="289"/>
      <c r="G600" s="251"/>
      <c r="I600" s="251"/>
      <c r="J600" s="251"/>
      <c r="K600" s="289"/>
      <c r="M600" s="251"/>
      <c r="N600" s="289"/>
    </row>
    <row r="601" spans="1:14" ht="14.25" hidden="1" customHeight="1" x14ac:dyDescent="0.25">
      <c r="A601" s="289"/>
      <c r="G601" s="251"/>
      <c r="I601" s="251"/>
      <c r="J601" s="251"/>
      <c r="K601" s="289"/>
      <c r="M601" s="251"/>
      <c r="N601" s="289"/>
    </row>
    <row r="602" spans="1:14" ht="14.25" hidden="1" customHeight="1" x14ac:dyDescent="0.25">
      <c r="A602" s="289"/>
      <c r="G602" s="251"/>
      <c r="I602" s="251"/>
      <c r="J602" s="251"/>
      <c r="K602" s="289"/>
      <c r="M602" s="251"/>
      <c r="N602" s="289"/>
    </row>
    <row r="603" spans="1:14" ht="14.25" hidden="1" customHeight="1" x14ac:dyDescent="0.25">
      <c r="A603" s="289"/>
      <c r="G603" s="251"/>
      <c r="I603" s="251"/>
      <c r="J603" s="251"/>
      <c r="K603" s="289"/>
      <c r="M603" s="251"/>
      <c r="N603" s="289"/>
    </row>
    <row r="604" spans="1:14" ht="14.25" hidden="1" customHeight="1" x14ac:dyDescent="0.25">
      <c r="A604" s="289"/>
      <c r="G604" s="251"/>
      <c r="I604" s="251"/>
      <c r="J604" s="251"/>
      <c r="K604" s="289"/>
      <c r="M604" s="251"/>
      <c r="N604" s="289"/>
    </row>
    <row r="605" spans="1:14" ht="14.25" hidden="1" customHeight="1" x14ac:dyDescent="0.25">
      <c r="A605" s="289"/>
      <c r="G605" s="251"/>
      <c r="I605" s="251"/>
      <c r="J605" s="251"/>
      <c r="K605" s="289"/>
      <c r="M605" s="251"/>
      <c r="N605" s="289"/>
    </row>
    <row r="606" spans="1:14" ht="14.25" hidden="1" customHeight="1" x14ac:dyDescent="0.25">
      <c r="A606" s="289"/>
      <c r="G606" s="251"/>
      <c r="I606" s="251"/>
      <c r="J606" s="251"/>
      <c r="K606" s="289"/>
      <c r="M606" s="251"/>
      <c r="N606" s="289"/>
    </row>
    <row r="607" spans="1:14" ht="14.25" hidden="1" customHeight="1" x14ac:dyDescent="0.25">
      <c r="A607" s="289"/>
      <c r="G607" s="251"/>
      <c r="I607" s="251"/>
      <c r="J607" s="251"/>
      <c r="K607" s="289"/>
      <c r="M607" s="251"/>
      <c r="N607" s="289"/>
    </row>
    <row r="608" spans="1:14" ht="14.25" hidden="1" customHeight="1" x14ac:dyDescent="0.25">
      <c r="A608" s="289"/>
      <c r="G608" s="251"/>
      <c r="I608" s="251"/>
      <c r="J608" s="251"/>
      <c r="K608" s="289"/>
      <c r="M608" s="251"/>
      <c r="N608" s="289"/>
    </row>
    <row r="609" spans="1:14" ht="14.25" hidden="1" customHeight="1" x14ac:dyDescent="0.25">
      <c r="A609" s="289"/>
      <c r="G609" s="251"/>
      <c r="I609" s="251"/>
      <c r="J609" s="251"/>
      <c r="K609" s="289"/>
      <c r="M609" s="251"/>
      <c r="N609" s="289"/>
    </row>
    <row r="610" spans="1:14" ht="14.25" hidden="1" customHeight="1" x14ac:dyDescent="0.25">
      <c r="A610" s="289"/>
      <c r="G610" s="251"/>
      <c r="I610" s="251"/>
      <c r="J610" s="251"/>
      <c r="K610" s="289"/>
      <c r="M610" s="251"/>
      <c r="N610" s="289"/>
    </row>
    <row r="611" spans="1:14" ht="14.25" hidden="1" customHeight="1" x14ac:dyDescent="0.25">
      <c r="A611" s="289"/>
      <c r="G611" s="251"/>
      <c r="I611" s="251"/>
      <c r="J611" s="251"/>
      <c r="K611" s="289"/>
      <c r="M611" s="251"/>
      <c r="N611" s="289"/>
    </row>
    <row r="612" spans="1:14" ht="14.25" hidden="1" customHeight="1" x14ac:dyDescent="0.25">
      <c r="A612" s="289"/>
      <c r="G612" s="251"/>
      <c r="I612" s="251"/>
      <c r="J612" s="251"/>
      <c r="K612" s="289"/>
      <c r="M612" s="251"/>
      <c r="N612" s="289"/>
    </row>
    <row r="613" spans="1:14" ht="14.25" hidden="1" customHeight="1" x14ac:dyDescent="0.25">
      <c r="A613" s="289"/>
      <c r="G613" s="251"/>
      <c r="I613" s="251"/>
      <c r="J613" s="251"/>
      <c r="K613" s="289"/>
      <c r="M613" s="251"/>
      <c r="N613" s="289"/>
    </row>
    <row r="614" spans="1:14" ht="14.25" hidden="1" customHeight="1" x14ac:dyDescent="0.25">
      <c r="A614" s="289"/>
      <c r="G614" s="251"/>
      <c r="I614" s="251"/>
      <c r="J614" s="251"/>
      <c r="K614" s="289"/>
      <c r="M614" s="251"/>
      <c r="N614" s="289"/>
    </row>
    <row r="615" spans="1:14" ht="14.25" hidden="1" customHeight="1" x14ac:dyDescent="0.25">
      <c r="A615" s="289"/>
      <c r="G615" s="251"/>
      <c r="I615" s="251"/>
      <c r="J615" s="251"/>
      <c r="K615" s="289"/>
      <c r="M615" s="251"/>
      <c r="N615" s="289"/>
    </row>
    <row r="616" spans="1:14" ht="14.25" hidden="1" customHeight="1" x14ac:dyDescent="0.25">
      <c r="A616" s="289"/>
      <c r="G616" s="251"/>
      <c r="I616" s="251"/>
      <c r="J616" s="251"/>
      <c r="K616" s="289"/>
      <c r="M616" s="251"/>
      <c r="N616" s="289"/>
    </row>
    <row r="617" spans="1:14" ht="14.25" hidden="1" customHeight="1" x14ac:dyDescent="0.25">
      <c r="A617" s="289"/>
      <c r="G617" s="251"/>
      <c r="I617" s="251"/>
      <c r="J617" s="251"/>
      <c r="K617" s="289"/>
      <c r="M617" s="251"/>
      <c r="N617" s="289"/>
    </row>
    <row r="618" spans="1:14" ht="14.25" hidden="1" customHeight="1" x14ac:dyDescent="0.25">
      <c r="A618" s="289"/>
      <c r="G618" s="251"/>
      <c r="I618" s="251"/>
      <c r="J618" s="251"/>
      <c r="K618" s="289"/>
      <c r="M618" s="251"/>
      <c r="N618" s="289"/>
    </row>
    <row r="619" spans="1:14" ht="14.25" hidden="1" customHeight="1" x14ac:dyDescent="0.25">
      <c r="A619" s="289"/>
      <c r="G619" s="251"/>
      <c r="I619" s="251"/>
      <c r="J619" s="251"/>
      <c r="K619" s="289"/>
      <c r="M619" s="251"/>
      <c r="N619" s="289"/>
    </row>
    <row r="620" spans="1:14" ht="14.25" hidden="1" customHeight="1" x14ac:dyDescent="0.25">
      <c r="A620" s="289"/>
      <c r="G620" s="251"/>
      <c r="I620" s="251"/>
      <c r="J620" s="251"/>
      <c r="K620" s="289"/>
      <c r="M620" s="251"/>
      <c r="N620" s="289"/>
    </row>
    <row r="621" spans="1:14" ht="14.25" hidden="1" customHeight="1" x14ac:dyDescent="0.25">
      <c r="A621" s="289"/>
      <c r="G621" s="251"/>
      <c r="I621" s="251"/>
      <c r="J621" s="251"/>
      <c r="K621" s="289"/>
      <c r="M621" s="251"/>
      <c r="N621" s="289"/>
    </row>
    <row r="622" spans="1:14" ht="14.25" hidden="1" customHeight="1" x14ac:dyDescent="0.25">
      <c r="A622" s="289"/>
      <c r="G622" s="251"/>
      <c r="I622" s="251"/>
      <c r="J622" s="251"/>
      <c r="K622" s="289"/>
      <c r="M622" s="251"/>
      <c r="N622" s="289"/>
    </row>
    <row r="623" spans="1:14" ht="14.25" hidden="1" customHeight="1" x14ac:dyDescent="0.25">
      <c r="A623" s="289"/>
      <c r="G623" s="251"/>
      <c r="I623" s="251"/>
      <c r="J623" s="251"/>
      <c r="K623" s="289"/>
      <c r="M623" s="251"/>
      <c r="N623" s="289"/>
    </row>
    <row r="624" spans="1:14" ht="14.25" hidden="1" customHeight="1" x14ac:dyDescent="0.25">
      <c r="A624" s="289"/>
      <c r="G624" s="251"/>
      <c r="I624" s="251"/>
      <c r="J624" s="251"/>
      <c r="K624" s="289"/>
      <c r="M624" s="251"/>
      <c r="N624" s="289"/>
    </row>
    <row r="625" spans="1:14" ht="14.25" hidden="1" customHeight="1" x14ac:dyDescent="0.25">
      <c r="A625" s="289"/>
      <c r="G625" s="251"/>
      <c r="I625" s="251"/>
      <c r="J625" s="251"/>
      <c r="K625" s="289"/>
      <c r="M625" s="251"/>
      <c r="N625" s="289"/>
    </row>
    <row r="626" spans="1:14" ht="14.25" hidden="1" customHeight="1" x14ac:dyDescent="0.25">
      <c r="A626" s="289"/>
      <c r="G626" s="251"/>
      <c r="I626" s="251"/>
      <c r="J626" s="251"/>
      <c r="K626" s="289"/>
      <c r="M626" s="251"/>
      <c r="N626" s="289"/>
    </row>
    <row r="627" spans="1:14" ht="14.25" hidden="1" customHeight="1" x14ac:dyDescent="0.25">
      <c r="A627" s="289"/>
      <c r="G627" s="251"/>
      <c r="I627" s="251"/>
      <c r="J627" s="251"/>
      <c r="K627" s="289"/>
      <c r="M627" s="251"/>
      <c r="N627" s="289"/>
    </row>
    <row r="628" spans="1:14" ht="14.25" hidden="1" customHeight="1" x14ac:dyDescent="0.25">
      <c r="A628" s="289"/>
      <c r="G628" s="251"/>
      <c r="I628" s="251"/>
      <c r="J628" s="251"/>
      <c r="K628" s="289"/>
      <c r="M628" s="251"/>
      <c r="N628" s="289"/>
    </row>
    <row r="629" spans="1:14" ht="14.25" hidden="1" customHeight="1" x14ac:dyDescent="0.25">
      <c r="A629" s="289"/>
      <c r="G629" s="251"/>
      <c r="I629" s="251"/>
      <c r="J629" s="251"/>
      <c r="K629" s="289"/>
      <c r="M629" s="251"/>
      <c r="N629" s="289"/>
    </row>
    <row r="630" spans="1:14" ht="14.25" hidden="1" customHeight="1" x14ac:dyDescent="0.25">
      <c r="A630" s="289"/>
      <c r="G630" s="251"/>
      <c r="I630" s="251"/>
      <c r="J630" s="251"/>
      <c r="K630" s="289"/>
      <c r="M630" s="251"/>
      <c r="N630" s="289"/>
    </row>
    <row r="631" spans="1:14" ht="14.25" hidden="1" customHeight="1" x14ac:dyDescent="0.25">
      <c r="A631" s="289"/>
      <c r="G631" s="251"/>
      <c r="I631" s="251"/>
      <c r="J631" s="251"/>
      <c r="K631" s="289"/>
      <c r="M631" s="251"/>
      <c r="N631" s="289"/>
    </row>
    <row r="632" spans="1:14" ht="14.25" hidden="1" customHeight="1" x14ac:dyDescent="0.25">
      <c r="A632" s="289"/>
      <c r="G632" s="251"/>
      <c r="I632" s="251"/>
      <c r="J632" s="251"/>
      <c r="K632" s="289"/>
      <c r="M632" s="251"/>
      <c r="N632" s="289"/>
    </row>
    <row r="633" spans="1:14" ht="14.25" hidden="1" customHeight="1" x14ac:dyDescent="0.25">
      <c r="A633" s="289"/>
      <c r="G633" s="251"/>
      <c r="I633" s="251"/>
      <c r="J633" s="251"/>
      <c r="K633" s="289"/>
      <c r="M633" s="251"/>
      <c r="N633" s="289"/>
    </row>
    <row r="634" spans="1:14" ht="14.25" hidden="1" customHeight="1" x14ac:dyDescent="0.25">
      <c r="A634" s="289"/>
      <c r="G634" s="251"/>
      <c r="I634" s="251"/>
      <c r="J634" s="251"/>
      <c r="K634" s="289"/>
      <c r="M634" s="251"/>
      <c r="N634" s="289"/>
    </row>
    <row r="635" spans="1:14" ht="14.25" hidden="1" customHeight="1" x14ac:dyDescent="0.25">
      <c r="A635" s="289"/>
      <c r="G635" s="251"/>
      <c r="I635" s="251"/>
      <c r="J635" s="251"/>
      <c r="K635" s="289"/>
      <c r="M635" s="251"/>
      <c r="N635" s="289"/>
    </row>
    <row r="636" spans="1:14" ht="14.25" hidden="1" customHeight="1" x14ac:dyDescent="0.25">
      <c r="A636" s="289"/>
      <c r="G636" s="251"/>
      <c r="I636" s="251"/>
      <c r="J636" s="251"/>
      <c r="K636" s="289"/>
      <c r="M636" s="251"/>
      <c r="N636" s="289"/>
    </row>
    <row r="637" spans="1:14" ht="14.25" hidden="1" customHeight="1" x14ac:dyDescent="0.25">
      <c r="A637" s="289"/>
      <c r="G637" s="251"/>
      <c r="I637" s="251"/>
      <c r="J637" s="251"/>
      <c r="K637" s="289"/>
      <c r="M637" s="251"/>
      <c r="N637" s="289"/>
    </row>
    <row r="638" spans="1:14" ht="14.25" hidden="1" customHeight="1" x14ac:dyDescent="0.25">
      <c r="A638" s="289"/>
      <c r="G638" s="251"/>
      <c r="I638" s="251"/>
      <c r="J638" s="251"/>
      <c r="K638" s="289"/>
      <c r="M638" s="251"/>
      <c r="N638" s="289"/>
    </row>
    <row r="639" spans="1:14" ht="14.25" hidden="1" customHeight="1" x14ac:dyDescent="0.25">
      <c r="A639" s="289"/>
      <c r="G639" s="251"/>
      <c r="I639" s="251"/>
      <c r="J639" s="251"/>
      <c r="K639" s="289"/>
      <c r="M639" s="251"/>
      <c r="N639" s="289"/>
    </row>
    <row r="640" spans="1:14" ht="14.25" hidden="1" customHeight="1" x14ac:dyDescent="0.25">
      <c r="A640" s="289"/>
      <c r="G640" s="251"/>
      <c r="I640" s="251"/>
      <c r="J640" s="251"/>
      <c r="K640" s="289"/>
      <c r="M640" s="251"/>
      <c r="N640" s="289"/>
    </row>
    <row r="641" spans="1:14" ht="14.25" hidden="1" customHeight="1" x14ac:dyDescent="0.25">
      <c r="A641" s="289"/>
      <c r="G641" s="251"/>
      <c r="I641" s="251"/>
      <c r="J641" s="251"/>
      <c r="K641" s="289"/>
      <c r="M641" s="251"/>
      <c r="N641" s="289"/>
    </row>
    <row r="642" spans="1:14" ht="14.25" hidden="1" customHeight="1" x14ac:dyDescent="0.25">
      <c r="A642" s="289"/>
      <c r="G642" s="251"/>
      <c r="I642" s="251"/>
      <c r="J642" s="251"/>
      <c r="K642" s="289"/>
      <c r="M642" s="251"/>
      <c r="N642" s="289"/>
    </row>
    <row r="643" spans="1:14" ht="14.25" hidden="1" customHeight="1" x14ac:dyDescent="0.25">
      <c r="A643" s="289"/>
      <c r="G643" s="251"/>
      <c r="I643" s="251"/>
      <c r="J643" s="251"/>
      <c r="K643" s="289"/>
      <c r="M643" s="251"/>
      <c r="N643" s="289"/>
    </row>
    <row r="644" spans="1:14" ht="14.25" hidden="1" customHeight="1" x14ac:dyDescent="0.25">
      <c r="A644" s="289"/>
      <c r="G644" s="251"/>
      <c r="I644" s="251"/>
      <c r="J644" s="251"/>
      <c r="K644" s="289"/>
      <c r="M644" s="251"/>
      <c r="N644" s="289"/>
    </row>
    <row r="645" spans="1:14" ht="14.25" hidden="1" customHeight="1" x14ac:dyDescent="0.25">
      <c r="A645" s="289"/>
      <c r="G645" s="251"/>
      <c r="I645" s="251"/>
      <c r="J645" s="251"/>
      <c r="K645" s="289"/>
      <c r="M645" s="251"/>
      <c r="N645" s="289"/>
    </row>
    <row r="646" spans="1:14" ht="14.25" hidden="1" customHeight="1" x14ac:dyDescent="0.25">
      <c r="A646" s="289"/>
      <c r="G646" s="251"/>
      <c r="I646" s="251"/>
      <c r="J646" s="251"/>
      <c r="K646" s="289"/>
      <c r="M646" s="251"/>
      <c r="N646" s="289"/>
    </row>
    <row r="647" spans="1:14" ht="14.25" hidden="1" customHeight="1" x14ac:dyDescent="0.25">
      <c r="A647" s="289"/>
      <c r="G647" s="251"/>
      <c r="I647" s="251"/>
      <c r="J647" s="251"/>
      <c r="K647" s="289"/>
      <c r="M647" s="251"/>
      <c r="N647" s="289"/>
    </row>
    <row r="648" spans="1:14" ht="14.25" hidden="1" customHeight="1" x14ac:dyDescent="0.25">
      <c r="A648" s="289"/>
      <c r="G648" s="251"/>
      <c r="I648" s="251"/>
      <c r="J648" s="251"/>
      <c r="K648" s="289"/>
      <c r="M648" s="251"/>
      <c r="N648" s="289"/>
    </row>
    <row r="649" spans="1:14" ht="14.25" hidden="1" customHeight="1" x14ac:dyDescent="0.25">
      <c r="A649" s="289"/>
      <c r="G649" s="251"/>
      <c r="I649" s="251"/>
      <c r="J649" s="251"/>
      <c r="K649" s="289"/>
      <c r="M649" s="251"/>
      <c r="N649" s="289"/>
    </row>
    <row r="650" spans="1:14" ht="14.25" hidden="1" customHeight="1" x14ac:dyDescent="0.25">
      <c r="A650" s="289"/>
      <c r="G650" s="251"/>
      <c r="I650" s="251"/>
      <c r="J650" s="251"/>
      <c r="K650" s="289"/>
      <c r="M650" s="251"/>
      <c r="N650" s="289"/>
    </row>
    <row r="651" spans="1:14" ht="14.25" hidden="1" customHeight="1" x14ac:dyDescent="0.25">
      <c r="A651" s="289"/>
      <c r="G651" s="251"/>
      <c r="I651" s="251"/>
      <c r="J651" s="251"/>
      <c r="K651" s="289"/>
      <c r="M651" s="251"/>
      <c r="N651" s="289"/>
    </row>
    <row r="652" spans="1:14" ht="14.25" hidden="1" customHeight="1" x14ac:dyDescent="0.25">
      <c r="A652" s="289"/>
      <c r="G652" s="251"/>
      <c r="I652" s="251"/>
      <c r="J652" s="251"/>
      <c r="K652" s="289"/>
      <c r="M652" s="251"/>
      <c r="N652" s="289"/>
    </row>
    <row r="653" spans="1:14" ht="14.25" hidden="1" customHeight="1" x14ac:dyDescent="0.25">
      <c r="A653" s="289"/>
      <c r="G653" s="251"/>
      <c r="I653" s="251"/>
      <c r="J653" s="251"/>
      <c r="K653" s="289"/>
      <c r="M653" s="251"/>
      <c r="N653" s="289"/>
    </row>
    <row r="654" spans="1:14" ht="14.25" hidden="1" customHeight="1" x14ac:dyDescent="0.25">
      <c r="A654" s="289"/>
      <c r="G654" s="251"/>
      <c r="I654" s="251"/>
      <c r="J654" s="251"/>
      <c r="K654" s="289"/>
      <c r="M654" s="251"/>
      <c r="N654" s="289"/>
    </row>
    <row r="655" spans="1:14" ht="14.25" hidden="1" customHeight="1" x14ac:dyDescent="0.25">
      <c r="A655" s="289"/>
      <c r="G655" s="251"/>
      <c r="I655" s="251"/>
      <c r="J655" s="251"/>
      <c r="K655" s="289"/>
      <c r="M655" s="251"/>
      <c r="N655" s="289"/>
    </row>
    <row r="656" spans="1:14" ht="14.25" hidden="1" customHeight="1" x14ac:dyDescent="0.25">
      <c r="A656" s="289"/>
      <c r="G656" s="251"/>
      <c r="I656" s="251"/>
      <c r="J656" s="251"/>
      <c r="K656" s="289"/>
      <c r="M656" s="251"/>
      <c r="N656" s="289"/>
    </row>
    <row r="657" spans="1:14" ht="14.25" hidden="1" customHeight="1" x14ac:dyDescent="0.25">
      <c r="A657" s="289"/>
      <c r="G657" s="251"/>
      <c r="I657" s="251"/>
      <c r="J657" s="251"/>
      <c r="K657" s="289"/>
      <c r="M657" s="251"/>
      <c r="N657" s="289"/>
    </row>
    <row r="658" spans="1:14" ht="14.25" hidden="1" customHeight="1" x14ac:dyDescent="0.25">
      <c r="A658" s="289"/>
      <c r="G658" s="251"/>
      <c r="I658" s="251"/>
      <c r="J658" s="251"/>
      <c r="K658" s="289"/>
      <c r="M658" s="251"/>
      <c r="N658" s="289"/>
    </row>
    <row r="659" spans="1:14" ht="14.25" hidden="1" customHeight="1" x14ac:dyDescent="0.25">
      <c r="A659" s="289"/>
      <c r="G659" s="251"/>
      <c r="I659" s="251"/>
      <c r="J659" s="251"/>
      <c r="K659" s="289"/>
      <c r="M659" s="251"/>
      <c r="N659" s="289"/>
    </row>
    <row r="660" spans="1:14" ht="14.25" hidden="1" customHeight="1" x14ac:dyDescent="0.25">
      <c r="A660" s="289"/>
      <c r="G660" s="251"/>
      <c r="I660" s="251"/>
      <c r="J660" s="251"/>
      <c r="K660" s="289"/>
      <c r="M660" s="251"/>
      <c r="N660" s="289"/>
    </row>
    <row r="661" spans="1:14" ht="14.25" hidden="1" customHeight="1" x14ac:dyDescent="0.25">
      <c r="A661" s="289"/>
      <c r="G661" s="251"/>
      <c r="I661" s="251"/>
      <c r="J661" s="251"/>
      <c r="K661" s="289"/>
      <c r="M661" s="251"/>
      <c r="N661" s="289"/>
    </row>
    <row r="662" spans="1:14" ht="14.25" hidden="1" customHeight="1" x14ac:dyDescent="0.25">
      <c r="A662" s="289"/>
      <c r="G662" s="251"/>
      <c r="I662" s="251"/>
      <c r="J662" s="251"/>
      <c r="K662" s="289"/>
      <c r="M662" s="251"/>
      <c r="N662" s="289"/>
    </row>
    <row r="663" spans="1:14" ht="14.25" hidden="1" customHeight="1" x14ac:dyDescent="0.25">
      <c r="A663" s="289"/>
      <c r="G663" s="251"/>
      <c r="I663" s="251"/>
      <c r="J663" s="251"/>
      <c r="K663" s="289"/>
      <c r="M663" s="251"/>
      <c r="N663" s="289"/>
    </row>
    <row r="664" spans="1:14" ht="14.25" hidden="1" customHeight="1" x14ac:dyDescent="0.25">
      <c r="A664" s="289"/>
      <c r="G664" s="251"/>
      <c r="I664" s="251"/>
      <c r="J664" s="251"/>
      <c r="K664" s="289"/>
      <c r="M664" s="251"/>
      <c r="N664" s="289"/>
    </row>
    <row r="665" spans="1:14" ht="14.25" hidden="1" customHeight="1" x14ac:dyDescent="0.25">
      <c r="A665" s="289"/>
      <c r="G665" s="251"/>
      <c r="I665" s="251"/>
      <c r="J665" s="251"/>
      <c r="K665" s="289"/>
      <c r="M665" s="251"/>
      <c r="N665" s="289"/>
    </row>
    <row r="666" spans="1:14" ht="14.25" hidden="1" customHeight="1" x14ac:dyDescent="0.25">
      <c r="A666" s="289"/>
      <c r="G666" s="251"/>
      <c r="I666" s="251"/>
      <c r="J666" s="251"/>
      <c r="K666" s="289"/>
      <c r="M666" s="251"/>
      <c r="N666" s="289"/>
    </row>
    <row r="667" spans="1:14" ht="14.25" hidden="1" customHeight="1" x14ac:dyDescent="0.25">
      <c r="A667" s="289"/>
      <c r="G667" s="251"/>
      <c r="I667" s="251"/>
      <c r="J667" s="251"/>
      <c r="K667" s="289"/>
      <c r="M667" s="251"/>
      <c r="N667" s="289"/>
    </row>
    <row r="668" spans="1:14" ht="14.25" hidden="1" customHeight="1" x14ac:dyDescent="0.25">
      <c r="A668" s="289"/>
      <c r="G668" s="251"/>
      <c r="I668" s="251"/>
      <c r="J668" s="251"/>
      <c r="K668" s="289"/>
      <c r="M668" s="251"/>
      <c r="N668" s="289"/>
    </row>
    <row r="669" spans="1:14" ht="14.25" hidden="1" customHeight="1" x14ac:dyDescent="0.25">
      <c r="A669" s="289"/>
      <c r="G669" s="251"/>
      <c r="I669" s="251"/>
      <c r="J669" s="251"/>
      <c r="K669" s="289"/>
      <c r="M669" s="251"/>
      <c r="N669" s="289"/>
    </row>
    <row r="670" spans="1:14" ht="14.25" hidden="1" customHeight="1" x14ac:dyDescent="0.25">
      <c r="A670" s="289"/>
      <c r="G670" s="251"/>
      <c r="I670" s="251"/>
      <c r="J670" s="251"/>
      <c r="K670" s="289"/>
      <c r="M670" s="251"/>
      <c r="N670" s="289"/>
    </row>
    <row r="671" spans="1:14" ht="14.25" hidden="1" customHeight="1" x14ac:dyDescent="0.25">
      <c r="A671" s="289"/>
      <c r="G671" s="251"/>
      <c r="I671" s="251"/>
      <c r="J671" s="251"/>
      <c r="K671" s="289"/>
      <c r="M671" s="251"/>
      <c r="N671" s="289"/>
    </row>
    <row r="672" spans="1:14" ht="14.25" hidden="1" customHeight="1" x14ac:dyDescent="0.25">
      <c r="A672" s="289"/>
      <c r="G672" s="251"/>
      <c r="I672" s="251"/>
      <c r="J672" s="251"/>
      <c r="K672" s="289"/>
      <c r="M672" s="251"/>
      <c r="N672" s="289"/>
    </row>
    <row r="673" spans="1:14" ht="14.25" hidden="1" customHeight="1" x14ac:dyDescent="0.25">
      <c r="A673" s="289"/>
      <c r="G673" s="251"/>
      <c r="I673" s="251"/>
      <c r="J673" s="251"/>
      <c r="K673" s="289"/>
      <c r="M673" s="251"/>
      <c r="N673" s="289"/>
    </row>
    <row r="674" spans="1:14" ht="14.25" hidden="1" customHeight="1" x14ac:dyDescent="0.25">
      <c r="A674" s="289"/>
      <c r="G674" s="251"/>
      <c r="I674" s="251"/>
      <c r="J674" s="251"/>
      <c r="K674" s="289"/>
      <c r="M674" s="251"/>
      <c r="N674" s="289"/>
    </row>
    <row r="675" spans="1:14" ht="14.25" hidden="1" customHeight="1" x14ac:dyDescent="0.25">
      <c r="A675" s="289"/>
      <c r="G675" s="251"/>
      <c r="I675" s="251"/>
      <c r="J675" s="251"/>
      <c r="K675" s="289"/>
      <c r="M675" s="251"/>
      <c r="N675" s="289"/>
    </row>
    <row r="676" spans="1:14" ht="14.25" hidden="1" customHeight="1" x14ac:dyDescent="0.25">
      <c r="A676" s="289"/>
      <c r="G676" s="251"/>
      <c r="I676" s="251"/>
      <c r="J676" s="251"/>
      <c r="K676" s="289"/>
      <c r="M676" s="251"/>
      <c r="N676" s="289"/>
    </row>
    <row r="677" spans="1:14" ht="14.25" hidden="1" customHeight="1" x14ac:dyDescent="0.25">
      <c r="A677" s="289"/>
      <c r="G677" s="251"/>
      <c r="I677" s="251"/>
      <c r="J677" s="251"/>
      <c r="K677" s="289"/>
      <c r="M677" s="251"/>
      <c r="N677" s="289"/>
    </row>
    <row r="678" spans="1:14" ht="14.25" hidden="1" customHeight="1" x14ac:dyDescent="0.25">
      <c r="A678" s="289"/>
      <c r="G678" s="251"/>
      <c r="I678" s="251"/>
      <c r="J678" s="251"/>
      <c r="K678" s="289"/>
      <c r="M678" s="251"/>
      <c r="N678" s="289"/>
    </row>
    <row r="679" spans="1:14" ht="14.25" hidden="1" customHeight="1" x14ac:dyDescent="0.25">
      <c r="A679" s="289"/>
      <c r="G679" s="251"/>
      <c r="I679" s="251"/>
      <c r="J679" s="251"/>
      <c r="K679" s="289"/>
      <c r="M679" s="251"/>
      <c r="N679" s="289"/>
    </row>
    <row r="680" spans="1:14" ht="14.25" hidden="1" customHeight="1" x14ac:dyDescent="0.25">
      <c r="A680" s="289"/>
      <c r="G680" s="251"/>
      <c r="I680" s="251"/>
      <c r="J680" s="251"/>
      <c r="K680" s="289"/>
      <c r="M680" s="251"/>
      <c r="N680" s="289"/>
    </row>
    <row r="681" spans="1:14" ht="14.25" hidden="1" customHeight="1" x14ac:dyDescent="0.25">
      <c r="A681" s="289"/>
      <c r="G681" s="251"/>
      <c r="I681" s="251"/>
      <c r="J681" s="251"/>
      <c r="K681" s="289"/>
      <c r="M681" s="251"/>
      <c r="N681" s="289"/>
    </row>
    <row r="682" spans="1:14" ht="14.25" hidden="1" customHeight="1" x14ac:dyDescent="0.25">
      <c r="A682" s="289"/>
      <c r="G682" s="251"/>
      <c r="I682" s="251"/>
      <c r="J682" s="251"/>
      <c r="K682" s="289"/>
      <c r="M682" s="251"/>
      <c r="N682" s="289"/>
    </row>
    <row r="683" spans="1:14" ht="14.25" hidden="1" customHeight="1" x14ac:dyDescent="0.25">
      <c r="A683" s="289"/>
      <c r="G683" s="251"/>
      <c r="I683" s="251"/>
      <c r="J683" s="251"/>
      <c r="K683" s="289"/>
      <c r="M683" s="251"/>
      <c r="N683" s="289"/>
    </row>
    <row r="684" spans="1:14" ht="14.25" hidden="1" customHeight="1" x14ac:dyDescent="0.25">
      <c r="A684" s="289"/>
      <c r="G684" s="251"/>
      <c r="I684" s="251"/>
      <c r="J684" s="251"/>
      <c r="K684" s="289"/>
      <c r="M684" s="251"/>
      <c r="N684" s="289"/>
    </row>
    <row r="685" spans="1:14" ht="14.25" hidden="1" customHeight="1" x14ac:dyDescent="0.25">
      <c r="A685" s="289"/>
      <c r="G685" s="251"/>
      <c r="I685" s="251"/>
      <c r="J685" s="251"/>
      <c r="K685" s="289"/>
      <c r="M685" s="251"/>
      <c r="N685" s="289"/>
    </row>
    <row r="686" spans="1:14" ht="14.25" hidden="1" customHeight="1" x14ac:dyDescent="0.25">
      <c r="A686" s="289"/>
      <c r="G686" s="251"/>
      <c r="I686" s="251"/>
      <c r="J686" s="251"/>
      <c r="K686" s="289"/>
      <c r="M686" s="251"/>
      <c r="N686" s="289"/>
    </row>
    <row r="687" spans="1:14" ht="14.25" hidden="1" customHeight="1" x14ac:dyDescent="0.25">
      <c r="A687" s="289"/>
      <c r="G687" s="251"/>
      <c r="I687" s="251"/>
      <c r="J687" s="251"/>
      <c r="K687" s="289"/>
      <c r="M687" s="251"/>
      <c r="N687" s="289"/>
    </row>
    <row r="688" spans="1:14" ht="14.25" hidden="1" customHeight="1" x14ac:dyDescent="0.25">
      <c r="A688" s="289"/>
      <c r="G688" s="251"/>
      <c r="I688" s="251"/>
      <c r="J688" s="251"/>
      <c r="K688" s="289"/>
      <c r="M688" s="251"/>
      <c r="N688" s="289"/>
    </row>
    <row r="689" spans="1:14" ht="14.25" hidden="1" customHeight="1" x14ac:dyDescent="0.25">
      <c r="A689" s="289"/>
      <c r="G689" s="251"/>
      <c r="I689" s="251"/>
      <c r="J689" s="251"/>
      <c r="K689" s="289"/>
      <c r="M689" s="251"/>
      <c r="N689" s="289"/>
    </row>
    <row r="690" spans="1:14" ht="14.25" hidden="1" customHeight="1" x14ac:dyDescent="0.25">
      <c r="A690" s="289"/>
      <c r="G690" s="251"/>
      <c r="I690" s="251"/>
      <c r="J690" s="251"/>
      <c r="K690" s="289"/>
      <c r="M690" s="251"/>
      <c r="N690" s="289"/>
    </row>
    <row r="691" spans="1:14" ht="14.25" hidden="1" customHeight="1" x14ac:dyDescent="0.25">
      <c r="A691" s="289"/>
      <c r="G691" s="251"/>
      <c r="I691" s="251"/>
      <c r="J691" s="251"/>
      <c r="K691" s="289"/>
      <c r="M691" s="251"/>
      <c r="N691" s="289"/>
    </row>
    <row r="692" spans="1:14" ht="14.25" hidden="1" customHeight="1" x14ac:dyDescent="0.25">
      <c r="A692" s="289"/>
      <c r="G692" s="251"/>
      <c r="I692" s="251"/>
      <c r="J692" s="251"/>
      <c r="K692" s="289"/>
      <c r="M692" s="251"/>
      <c r="N692" s="289"/>
    </row>
    <row r="693" spans="1:14" ht="14.25" hidden="1" customHeight="1" x14ac:dyDescent="0.25">
      <c r="A693" s="289"/>
      <c r="G693" s="251"/>
      <c r="I693" s="251"/>
      <c r="J693" s="251"/>
      <c r="K693" s="289"/>
      <c r="M693" s="251"/>
      <c r="N693" s="289"/>
    </row>
    <row r="694" spans="1:14" ht="14.25" hidden="1" customHeight="1" x14ac:dyDescent="0.25">
      <c r="A694" s="289"/>
      <c r="G694" s="251"/>
      <c r="I694" s="251"/>
      <c r="J694" s="251"/>
      <c r="K694" s="289"/>
      <c r="M694" s="251"/>
      <c r="N694" s="289"/>
    </row>
    <row r="695" spans="1:14" ht="14.25" hidden="1" customHeight="1" x14ac:dyDescent="0.25">
      <c r="A695" s="289"/>
      <c r="G695" s="251"/>
      <c r="I695" s="251"/>
      <c r="J695" s="251"/>
      <c r="K695" s="289"/>
      <c r="M695" s="251"/>
      <c r="N695" s="289"/>
    </row>
    <row r="696" spans="1:14" ht="14.25" hidden="1" customHeight="1" x14ac:dyDescent="0.25">
      <c r="A696" s="289"/>
      <c r="G696" s="251"/>
      <c r="I696" s="251"/>
      <c r="J696" s="251"/>
      <c r="K696" s="289"/>
      <c r="M696" s="251"/>
      <c r="N696" s="289"/>
    </row>
    <row r="697" spans="1:14" ht="14.25" hidden="1" customHeight="1" x14ac:dyDescent="0.25">
      <c r="A697" s="289"/>
      <c r="G697" s="251"/>
      <c r="I697" s="251"/>
      <c r="J697" s="251"/>
      <c r="K697" s="289"/>
      <c r="M697" s="251"/>
      <c r="N697" s="289"/>
    </row>
    <row r="698" spans="1:14" ht="14.25" hidden="1" customHeight="1" x14ac:dyDescent="0.25">
      <c r="A698" s="289"/>
      <c r="G698" s="251"/>
      <c r="I698" s="251"/>
      <c r="J698" s="251"/>
      <c r="K698" s="289"/>
      <c r="M698" s="251"/>
      <c r="N698" s="289"/>
    </row>
    <row r="699" spans="1:14" ht="14.25" hidden="1" customHeight="1" x14ac:dyDescent="0.25">
      <c r="A699" s="289"/>
      <c r="G699" s="251"/>
      <c r="I699" s="251"/>
      <c r="J699" s="251"/>
      <c r="K699" s="289"/>
      <c r="M699" s="251"/>
      <c r="N699" s="289"/>
    </row>
    <row r="700" spans="1:14" ht="14.25" hidden="1" customHeight="1" x14ac:dyDescent="0.25">
      <c r="A700" s="289"/>
      <c r="G700" s="251"/>
      <c r="I700" s="251"/>
      <c r="J700" s="251"/>
      <c r="K700" s="289"/>
      <c r="M700" s="251"/>
      <c r="N700" s="289"/>
    </row>
    <row r="701" spans="1:14" ht="14.25" hidden="1" customHeight="1" x14ac:dyDescent="0.25">
      <c r="A701" s="289"/>
      <c r="G701" s="251"/>
      <c r="I701" s="251"/>
      <c r="J701" s="251"/>
      <c r="K701" s="289"/>
      <c r="M701" s="251"/>
      <c r="N701" s="289"/>
    </row>
    <row r="702" spans="1:14" ht="14.25" hidden="1" customHeight="1" x14ac:dyDescent="0.25">
      <c r="A702" s="289"/>
      <c r="G702" s="251"/>
      <c r="I702" s="251"/>
      <c r="J702" s="251"/>
      <c r="K702" s="289"/>
      <c r="M702" s="251"/>
      <c r="N702" s="289"/>
    </row>
    <row r="703" spans="1:14" ht="14.25" hidden="1" customHeight="1" x14ac:dyDescent="0.25">
      <c r="A703" s="289"/>
      <c r="G703" s="251"/>
      <c r="I703" s="251"/>
      <c r="J703" s="251"/>
      <c r="K703" s="289"/>
      <c r="M703" s="251"/>
      <c r="N703" s="289"/>
    </row>
    <row r="704" spans="1:14" ht="14.25" hidden="1" customHeight="1" x14ac:dyDescent="0.25">
      <c r="A704" s="289"/>
      <c r="G704" s="251"/>
      <c r="I704" s="251"/>
      <c r="J704" s="251"/>
      <c r="K704" s="289"/>
      <c r="M704" s="251"/>
      <c r="N704" s="289"/>
    </row>
    <row r="705" spans="1:14" ht="14.25" hidden="1" customHeight="1" x14ac:dyDescent="0.25">
      <c r="A705" s="289"/>
      <c r="G705" s="251"/>
      <c r="I705" s="251"/>
      <c r="J705" s="251"/>
      <c r="K705" s="289"/>
      <c r="M705" s="251"/>
      <c r="N705" s="289"/>
    </row>
    <row r="706" spans="1:14" ht="14.25" hidden="1" customHeight="1" x14ac:dyDescent="0.25">
      <c r="A706" s="289"/>
      <c r="G706" s="251"/>
      <c r="I706" s="251"/>
      <c r="J706" s="251"/>
      <c r="K706" s="289"/>
      <c r="M706" s="251"/>
      <c r="N706" s="289"/>
    </row>
    <row r="707" spans="1:14" ht="14.25" hidden="1" customHeight="1" x14ac:dyDescent="0.25">
      <c r="A707" s="289"/>
      <c r="G707" s="251"/>
      <c r="I707" s="251"/>
      <c r="J707" s="251"/>
      <c r="K707" s="289"/>
      <c r="M707" s="251"/>
      <c r="N707" s="289"/>
    </row>
    <row r="708" spans="1:14" ht="14.25" hidden="1" customHeight="1" x14ac:dyDescent="0.25">
      <c r="A708" s="289"/>
      <c r="G708" s="251"/>
      <c r="I708" s="251"/>
      <c r="J708" s="251"/>
      <c r="K708" s="289"/>
      <c r="M708" s="251"/>
      <c r="N708" s="289"/>
    </row>
    <row r="709" spans="1:14" ht="14.25" hidden="1" customHeight="1" x14ac:dyDescent="0.25">
      <c r="A709" s="289"/>
      <c r="G709" s="251"/>
      <c r="I709" s="251"/>
      <c r="J709" s="251"/>
      <c r="K709" s="289"/>
      <c r="M709" s="251"/>
      <c r="N709" s="289"/>
    </row>
    <row r="710" spans="1:14" ht="14.25" hidden="1" customHeight="1" x14ac:dyDescent="0.25">
      <c r="A710" s="289"/>
      <c r="G710" s="251"/>
      <c r="I710" s="251"/>
      <c r="J710" s="251"/>
      <c r="K710" s="289"/>
      <c r="M710" s="251"/>
      <c r="N710" s="289"/>
    </row>
    <row r="711" spans="1:14" ht="14.25" hidden="1" customHeight="1" x14ac:dyDescent="0.25">
      <c r="A711" s="289"/>
      <c r="G711" s="251"/>
      <c r="I711" s="251"/>
      <c r="J711" s="251"/>
      <c r="K711" s="289"/>
      <c r="M711" s="251"/>
      <c r="N711" s="289"/>
    </row>
    <row r="712" spans="1:14" ht="14.25" hidden="1" customHeight="1" x14ac:dyDescent="0.25">
      <c r="A712" s="289"/>
      <c r="G712" s="251"/>
      <c r="I712" s="251"/>
      <c r="J712" s="251"/>
      <c r="K712" s="289"/>
      <c r="M712" s="251"/>
      <c r="N712" s="289"/>
    </row>
    <row r="713" spans="1:14" ht="14.25" hidden="1" customHeight="1" x14ac:dyDescent="0.25">
      <c r="A713" s="289"/>
      <c r="G713" s="251"/>
      <c r="I713" s="251"/>
      <c r="J713" s="251"/>
      <c r="K713" s="289"/>
      <c r="M713" s="251"/>
      <c r="N713" s="289"/>
    </row>
    <row r="714" spans="1:14" ht="14.25" hidden="1" customHeight="1" x14ac:dyDescent="0.25">
      <c r="A714" s="289"/>
      <c r="G714" s="251"/>
      <c r="I714" s="251"/>
      <c r="J714" s="251"/>
      <c r="K714" s="289"/>
      <c r="M714" s="251"/>
      <c r="N714" s="289"/>
    </row>
    <row r="715" spans="1:14" ht="14.25" hidden="1" customHeight="1" x14ac:dyDescent="0.25">
      <c r="A715" s="289"/>
      <c r="G715" s="251"/>
      <c r="I715" s="251"/>
      <c r="J715" s="251"/>
      <c r="K715" s="289"/>
      <c r="M715" s="251"/>
      <c r="N715" s="289"/>
    </row>
    <row r="716" spans="1:14" ht="14.25" hidden="1" customHeight="1" x14ac:dyDescent="0.25">
      <c r="A716" s="289"/>
      <c r="G716" s="251"/>
      <c r="I716" s="251"/>
      <c r="J716" s="251"/>
      <c r="K716" s="289"/>
      <c r="M716" s="251"/>
      <c r="N716" s="289"/>
    </row>
    <row r="717" spans="1:14" ht="14.25" hidden="1" customHeight="1" x14ac:dyDescent="0.25">
      <c r="A717" s="289"/>
      <c r="G717" s="251"/>
      <c r="I717" s="251"/>
      <c r="J717" s="251"/>
      <c r="K717" s="289"/>
      <c r="M717" s="251"/>
      <c r="N717" s="289"/>
    </row>
    <row r="718" spans="1:14" ht="14.25" hidden="1" customHeight="1" x14ac:dyDescent="0.25">
      <c r="A718" s="289"/>
      <c r="G718" s="251"/>
      <c r="I718" s="251"/>
      <c r="J718" s="251"/>
      <c r="K718" s="289"/>
      <c r="M718" s="251"/>
      <c r="N718" s="289"/>
    </row>
    <row r="719" spans="1:14" ht="14.25" hidden="1" customHeight="1" x14ac:dyDescent="0.25">
      <c r="A719" s="289"/>
      <c r="G719" s="251"/>
      <c r="I719" s="251"/>
      <c r="J719" s="251"/>
      <c r="K719" s="289"/>
      <c r="M719" s="251"/>
      <c r="N719" s="289"/>
    </row>
    <row r="720" spans="1:14" ht="14.25" hidden="1" customHeight="1" x14ac:dyDescent="0.25">
      <c r="A720" s="289"/>
      <c r="G720" s="251"/>
      <c r="I720" s="251"/>
      <c r="J720" s="251"/>
      <c r="K720" s="289"/>
      <c r="M720" s="251"/>
      <c r="N720" s="289"/>
    </row>
    <row r="721" spans="1:14" ht="14.25" hidden="1" customHeight="1" x14ac:dyDescent="0.25">
      <c r="A721" s="289"/>
      <c r="G721" s="251"/>
      <c r="I721" s="251"/>
      <c r="J721" s="251"/>
      <c r="K721" s="289"/>
      <c r="M721" s="251"/>
      <c r="N721" s="289"/>
    </row>
    <row r="722" spans="1:14" ht="14.25" hidden="1" customHeight="1" x14ac:dyDescent="0.25">
      <c r="A722" s="289"/>
      <c r="G722" s="251"/>
      <c r="I722" s="251"/>
      <c r="J722" s="251"/>
      <c r="K722" s="289"/>
      <c r="M722" s="251"/>
      <c r="N722" s="289"/>
    </row>
    <row r="723" spans="1:14" ht="14.25" hidden="1" customHeight="1" x14ac:dyDescent="0.25">
      <c r="A723" s="289"/>
      <c r="G723" s="251"/>
      <c r="I723" s="251"/>
      <c r="J723" s="251"/>
      <c r="K723" s="289"/>
      <c r="M723" s="251"/>
      <c r="N723" s="289"/>
    </row>
    <row r="724" spans="1:14" ht="14.25" hidden="1" customHeight="1" x14ac:dyDescent="0.25">
      <c r="A724" s="289"/>
      <c r="G724" s="251"/>
      <c r="I724" s="251"/>
      <c r="J724" s="251"/>
      <c r="K724" s="289"/>
      <c r="M724" s="251"/>
      <c r="N724" s="289"/>
    </row>
    <row r="725" spans="1:14" ht="14.25" hidden="1" customHeight="1" x14ac:dyDescent="0.25">
      <c r="A725" s="289"/>
      <c r="G725" s="251"/>
      <c r="I725" s="251"/>
      <c r="J725" s="251"/>
      <c r="K725" s="289"/>
      <c r="M725" s="251"/>
      <c r="N725" s="289"/>
    </row>
    <row r="726" spans="1:14" ht="14.25" hidden="1" customHeight="1" x14ac:dyDescent="0.25">
      <c r="A726" s="289"/>
      <c r="G726" s="251"/>
      <c r="I726" s="251"/>
      <c r="J726" s="251"/>
      <c r="K726" s="289"/>
      <c r="M726" s="251"/>
      <c r="N726" s="289"/>
    </row>
    <row r="727" spans="1:14" ht="14.25" hidden="1" customHeight="1" x14ac:dyDescent="0.25">
      <c r="A727" s="289"/>
      <c r="G727" s="251"/>
      <c r="I727" s="251"/>
      <c r="J727" s="251"/>
      <c r="K727" s="289"/>
      <c r="M727" s="251"/>
      <c r="N727" s="289"/>
    </row>
    <row r="728" spans="1:14" ht="14.25" hidden="1" customHeight="1" x14ac:dyDescent="0.25">
      <c r="A728" s="289"/>
      <c r="G728" s="251"/>
      <c r="I728" s="251"/>
      <c r="J728" s="251"/>
      <c r="K728" s="289"/>
      <c r="M728" s="251"/>
      <c r="N728" s="289"/>
    </row>
    <row r="729" spans="1:14" ht="14.25" hidden="1" customHeight="1" x14ac:dyDescent="0.25">
      <c r="A729" s="289"/>
      <c r="G729" s="251"/>
      <c r="I729" s="251"/>
      <c r="J729" s="251"/>
      <c r="K729" s="289"/>
      <c r="M729" s="251"/>
      <c r="N729" s="289"/>
    </row>
    <row r="730" spans="1:14" ht="14.25" hidden="1" customHeight="1" x14ac:dyDescent="0.25">
      <c r="A730" s="289"/>
      <c r="G730" s="251"/>
      <c r="I730" s="251"/>
      <c r="J730" s="251"/>
      <c r="K730" s="289"/>
      <c r="M730" s="251"/>
      <c r="N730" s="289"/>
    </row>
    <row r="731" spans="1:14" ht="14.25" hidden="1" customHeight="1" x14ac:dyDescent="0.25">
      <c r="A731" s="289"/>
      <c r="G731" s="251"/>
      <c r="I731" s="251"/>
      <c r="J731" s="251"/>
      <c r="K731" s="289"/>
      <c r="M731" s="251"/>
      <c r="N731" s="289"/>
    </row>
    <row r="732" spans="1:14" ht="14.25" hidden="1" customHeight="1" x14ac:dyDescent="0.25">
      <c r="A732" s="289"/>
      <c r="G732" s="251"/>
      <c r="I732" s="251"/>
      <c r="J732" s="251"/>
      <c r="K732" s="289"/>
      <c r="M732" s="251"/>
      <c r="N732" s="289"/>
    </row>
    <row r="733" spans="1:14" ht="14.25" hidden="1" customHeight="1" x14ac:dyDescent="0.25">
      <c r="A733" s="289"/>
      <c r="G733" s="251"/>
      <c r="I733" s="251"/>
      <c r="J733" s="251"/>
      <c r="K733" s="289"/>
      <c r="M733" s="251"/>
      <c r="N733" s="289"/>
    </row>
    <row r="734" spans="1:14" ht="14.25" hidden="1" customHeight="1" x14ac:dyDescent="0.25">
      <c r="A734" s="289"/>
      <c r="G734" s="251"/>
      <c r="I734" s="251"/>
      <c r="J734" s="251"/>
      <c r="K734" s="289"/>
      <c r="M734" s="251"/>
      <c r="N734" s="289"/>
    </row>
    <row r="735" spans="1:14" ht="14.25" hidden="1" customHeight="1" x14ac:dyDescent="0.25">
      <c r="A735" s="289"/>
      <c r="G735" s="251"/>
      <c r="I735" s="251"/>
      <c r="J735" s="251"/>
      <c r="K735" s="289"/>
      <c r="M735" s="251"/>
      <c r="N735" s="289"/>
    </row>
    <row r="736" spans="1:14" ht="14.25" hidden="1" customHeight="1" x14ac:dyDescent="0.25">
      <c r="A736" s="289"/>
      <c r="G736" s="251"/>
      <c r="I736" s="251"/>
      <c r="J736" s="251"/>
      <c r="K736" s="289"/>
      <c r="M736" s="251"/>
      <c r="N736" s="289"/>
    </row>
    <row r="737" spans="1:14" ht="14.25" hidden="1" customHeight="1" x14ac:dyDescent="0.25">
      <c r="A737" s="289"/>
      <c r="G737" s="251"/>
      <c r="I737" s="251"/>
      <c r="J737" s="251"/>
      <c r="K737" s="289"/>
      <c r="M737" s="251"/>
      <c r="N737" s="289"/>
    </row>
    <row r="738" spans="1:14" ht="14.25" hidden="1" customHeight="1" x14ac:dyDescent="0.25">
      <c r="A738" s="289"/>
      <c r="G738" s="251"/>
      <c r="I738" s="251"/>
      <c r="J738" s="251"/>
      <c r="K738" s="289"/>
      <c r="M738" s="251"/>
      <c r="N738" s="289"/>
    </row>
    <row r="739" spans="1:14" ht="14.25" hidden="1" customHeight="1" x14ac:dyDescent="0.25">
      <c r="A739" s="289"/>
      <c r="G739" s="251"/>
      <c r="I739" s="251"/>
      <c r="J739" s="251"/>
      <c r="K739" s="289"/>
      <c r="M739" s="251"/>
      <c r="N739" s="289"/>
    </row>
    <row r="740" spans="1:14" ht="14.25" hidden="1" customHeight="1" x14ac:dyDescent="0.25">
      <c r="A740" s="289"/>
      <c r="G740" s="251"/>
      <c r="I740" s="251"/>
      <c r="J740" s="251"/>
      <c r="K740" s="289"/>
      <c r="M740" s="251"/>
      <c r="N740" s="289"/>
    </row>
    <row r="741" spans="1:14" ht="14.25" hidden="1" customHeight="1" x14ac:dyDescent="0.25">
      <c r="A741" s="289"/>
      <c r="G741" s="251"/>
      <c r="I741" s="251"/>
      <c r="J741" s="251"/>
      <c r="K741" s="289"/>
      <c r="M741" s="251"/>
      <c r="N741" s="289"/>
    </row>
    <row r="742" spans="1:14" ht="14.25" hidden="1" customHeight="1" x14ac:dyDescent="0.25">
      <c r="A742" s="289"/>
      <c r="G742" s="251"/>
      <c r="I742" s="251"/>
      <c r="J742" s="251"/>
      <c r="K742" s="289"/>
      <c r="M742" s="251"/>
      <c r="N742" s="289"/>
    </row>
    <row r="743" spans="1:14" ht="14.25" hidden="1" customHeight="1" x14ac:dyDescent="0.25">
      <c r="A743" s="289"/>
      <c r="G743" s="251"/>
      <c r="I743" s="251"/>
      <c r="J743" s="251"/>
      <c r="K743" s="289"/>
      <c r="M743" s="251"/>
      <c r="N743" s="289"/>
    </row>
    <row r="744" spans="1:14" ht="14.25" hidden="1" customHeight="1" x14ac:dyDescent="0.25">
      <c r="A744" s="289"/>
      <c r="G744" s="251"/>
      <c r="I744" s="251"/>
      <c r="J744" s="251"/>
      <c r="K744" s="289"/>
      <c r="M744" s="251"/>
      <c r="N744" s="289"/>
    </row>
    <row r="745" spans="1:14" ht="14.25" hidden="1" customHeight="1" x14ac:dyDescent="0.25">
      <c r="A745" s="289"/>
      <c r="G745" s="251"/>
      <c r="I745" s="251"/>
      <c r="J745" s="251"/>
      <c r="K745" s="289"/>
      <c r="M745" s="251"/>
      <c r="N745" s="289"/>
    </row>
    <row r="746" spans="1:14" ht="14.25" hidden="1" customHeight="1" x14ac:dyDescent="0.25">
      <c r="A746" s="289"/>
      <c r="G746" s="251"/>
      <c r="I746" s="251"/>
      <c r="J746" s="251"/>
      <c r="K746" s="289"/>
      <c r="M746" s="251"/>
      <c r="N746" s="289"/>
    </row>
    <row r="747" spans="1:14" ht="14.25" hidden="1" customHeight="1" x14ac:dyDescent="0.25">
      <c r="A747" s="289"/>
      <c r="G747" s="251"/>
      <c r="I747" s="251"/>
      <c r="J747" s="251"/>
      <c r="K747" s="289"/>
      <c r="M747" s="251"/>
      <c r="N747" s="289"/>
    </row>
    <row r="748" spans="1:14" ht="14.25" hidden="1" customHeight="1" x14ac:dyDescent="0.25">
      <c r="A748" s="289"/>
      <c r="G748" s="251"/>
      <c r="I748" s="251"/>
      <c r="J748" s="251"/>
      <c r="K748" s="289"/>
      <c r="M748" s="251"/>
      <c r="N748" s="289"/>
    </row>
    <row r="749" spans="1:14" ht="14.25" hidden="1" customHeight="1" x14ac:dyDescent="0.25">
      <c r="A749" s="289"/>
      <c r="G749" s="251"/>
      <c r="I749" s="251"/>
      <c r="J749" s="251"/>
      <c r="K749" s="289"/>
      <c r="M749" s="251"/>
      <c r="N749" s="289"/>
    </row>
    <row r="750" spans="1:14" ht="14.25" hidden="1" customHeight="1" x14ac:dyDescent="0.25">
      <c r="A750" s="289"/>
      <c r="G750" s="251"/>
      <c r="I750" s="251"/>
      <c r="J750" s="251"/>
      <c r="K750" s="289"/>
      <c r="M750" s="251"/>
      <c r="N750" s="289"/>
    </row>
    <row r="751" spans="1:14" ht="14.25" hidden="1" customHeight="1" x14ac:dyDescent="0.25">
      <c r="A751" s="289"/>
      <c r="G751" s="251"/>
      <c r="I751" s="251"/>
      <c r="J751" s="251"/>
      <c r="K751" s="289"/>
      <c r="M751" s="251"/>
      <c r="N751" s="289"/>
    </row>
    <row r="752" spans="1:14" ht="14.25" hidden="1" customHeight="1" x14ac:dyDescent="0.25">
      <c r="A752" s="289"/>
      <c r="G752" s="251"/>
      <c r="I752" s="251"/>
      <c r="J752" s="251"/>
      <c r="K752" s="289"/>
      <c r="M752" s="251"/>
      <c r="N752" s="289"/>
    </row>
    <row r="753" spans="1:14" ht="14.25" hidden="1" customHeight="1" x14ac:dyDescent="0.25">
      <c r="A753" s="289"/>
      <c r="G753" s="251"/>
      <c r="I753" s="251"/>
      <c r="J753" s="251"/>
      <c r="K753" s="289"/>
      <c r="M753" s="251"/>
      <c r="N753" s="289"/>
    </row>
    <row r="754" spans="1:14" ht="14.25" hidden="1" customHeight="1" x14ac:dyDescent="0.25">
      <c r="A754" s="289"/>
      <c r="G754" s="251"/>
      <c r="I754" s="251"/>
      <c r="J754" s="251"/>
      <c r="K754" s="289"/>
      <c r="M754" s="251"/>
      <c r="N754" s="289"/>
    </row>
    <row r="755" spans="1:14" ht="14.25" hidden="1" customHeight="1" x14ac:dyDescent="0.25">
      <c r="A755" s="289"/>
      <c r="G755" s="251"/>
      <c r="I755" s="251"/>
      <c r="J755" s="251"/>
      <c r="K755" s="289"/>
      <c r="M755" s="251"/>
      <c r="N755" s="289"/>
    </row>
    <row r="756" spans="1:14" ht="14.25" hidden="1" customHeight="1" x14ac:dyDescent="0.25">
      <c r="A756" s="289"/>
      <c r="G756" s="251"/>
      <c r="I756" s="251"/>
      <c r="J756" s="251"/>
      <c r="K756" s="289"/>
      <c r="M756" s="251"/>
      <c r="N756" s="289"/>
    </row>
    <row r="757" spans="1:14" ht="14.25" hidden="1" customHeight="1" x14ac:dyDescent="0.25">
      <c r="A757" s="289"/>
      <c r="G757" s="251"/>
      <c r="I757" s="251"/>
      <c r="J757" s="251"/>
      <c r="K757" s="289"/>
      <c r="M757" s="251"/>
      <c r="N757" s="289"/>
    </row>
    <row r="758" spans="1:14" ht="14.25" hidden="1" customHeight="1" x14ac:dyDescent="0.25">
      <c r="A758" s="289"/>
      <c r="G758" s="251"/>
      <c r="I758" s="251"/>
      <c r="J758" s="251"/>
      <c r="K758" s="289"/>
      <c r="M758" s="251"/>
      <c r="N758" s="289"/>
    </row>
    <row r="759" spans="1:14" ht="14.25" hidden="1" customHeight="1" x14ac:dyDescent="0.25">
      <c r="A759" s="289"/>
      <c r="G759" s="251"/>
      <c r="I759" s="251"/>
      <c r="J759" s="251"/>
      <c r="K759" s="289"/>
      <c r="M759" s="251"/>
      <c r="N759" s="289"/>
    </row>
    <row r="760" spans="1:14" ht="14.25" hidden="1" customHeight="1" x14ac:dyDescent="0.25">
      <c r="A760" s="289"/>
      <c r="G760" s="251"/>
      <c r="I760" s="251"/>
      <c r="J760" s="251"/>
      <c r="K760" s="289"/>
      <c r="M760" s="251"/>
      <c r="N760" s="289"/>
    </row>
    <row r="761" spans="1:14" ht="14.25" hidden="1" customHeight="1" x14ac:dyDescent="0.25">
      <c r="A761" s="289"/>
      <c r="G761" s="251"/>
      <c r="I761" s="251"/>
      <c r="J761" s="251"/>
      <c r="K761" s="289"/>
      <c r="M761" s="251"/>
      <c r="N761" s="289"/>
    </row>
    <row r="762" spans="1:14" ht="14.25" hidden="1" customHeight="1" x14ac:dyDescent="0.25">
      <c r="A762" s="289"/>
      <c r="G762" s="251"/>
      <c r="I762" s="251"/>
      <c r="J762" s="251"/>
      <c r="K762" s="289"/>
      <c r="M762" s="251"/>
      <c r="N762" s="289"/>
    </row>
    <row r="763" spans="1:14" ht="14.25" hidden="1" customHeight="1" x14ac:dyDescent="0.25">
      <c r="A763" s="289"/>
      <c r="G763" s="251"/>
      <c r="I763" s="251"/>
      <c r="J763" s="251"/>
      <c r="K763" s="289"/>
      <c r="M763" s="251"/>
      <c r="N763" s="289"/>
    </row>
    <row r="764" spans="1:14" ht="14.25" hidden="1" customHeight="1" x14ac:dyDescent="0.25">
      <c r="A764" s="289"/>
      <c r="G764" s="251"/>
      <c r="I764" s="251"/>
      <c r="J764" s="251"/>
      <c r="K764" s="289"/>
      <c r="M764" s="251"/>
      <c r="N764" s="289"/>
    </row>
    <row r="765" spans="1:14" ht="14.25" hidden="1" customHeight="1" x14ac:dyDescent="0.25">
      <c r="A765" s="289"/>
      <c r="G765" s="251"/>
      <c r="I765" s="251"/>
      <c r="J765" s="251"/>
      <c r="K765" s="289"/>
      <c r="M765" s="251"/>
      <c r="N765" s="289"/>
    </row>
    <row r="766" spans="1:14" ht="14.25" hidden="1" customHeight="1" x14ac:dyDescent="0.25">
      <c r="A766" s="289"/>
      <c r="G766" s="251"/>
      <c r="I766" s="251"/>
      <c r="J766" s="251"/>
      <c r="K766" s="289"/>
      <c r="M766" s="251"/>
      <c r="N766" s="289"/>
    </row>
    <row r="767" spans="1:14" ht="14.25" hidden="1" customHeight="1" x14ac:dyDescent="0.25">
      <c r="A767" s="289"/>
      <c r="G767" s="251"/>
      <c r="I767" s="251"/>
      <c r="J767" s="251"/>
      <c r="K767" s="289"/>
      <c r="M767" s="251"/>
      <c r="N767" s="289"/>
    </row>
    <row r="768" spans="1:14" ht="14.25" hidden="1" customHeight="1" x14ac:dyDescent="0.25">
      <c r="A768" s="289"/>
      <c r="G768" s="251"/>
      <c r="I768" s="251"/>
      <c r="J768" s="251"/>
      <c r="K768" s="289"/>
      <c r="M768" s="251"/>
      <c r="N768" s="289"/>
    </row>
    <row r="769" spans="1:14" ht="14.25" hidden="1" customHeight="1" x14ac:dyDescent="0.25">
      <c r="A769" s="289"/>
      <c r="G769" s="251"/>
      <c r="I769" s="251"/>
      <c r="J769" s="251"/>
      <c r="K769" s="289"/>
      <c r="M769" s="251"/>
      <c r="N769" s="289"/>
    </row>
    <row r="770" spans="1:14" ht="14.25" hidden="1" customHeight="1" x14ac:dyDescent="0.25">
      <c r="A770" s="289"/>
      <c r="G770" s="251"/>
      <c r="I770" s="251"/>
      <c r="J770" s="251"/>
      <c r="K770" s="289"/>
      <c r="M770" s="251"/>
      <c r="N770" s="289"/>
    </row>
    <row r="771" spans="1:14" ht="14.25" hidden="1" customHeight="1" x14ac:dyDescent="0.25">
      <c r="A771" s="289"/>
      <c r="G771" s="251"/>
      <c r="I771" s="251"/>
      <c r="J771" s="251"/>
      <c r="K771" s="289"/>
      <c r="M771" s="251"/>
      <c r="N771" s="289"/>
    </row>
    <row r="772" spans="1:14" ht="14.25" hidden="1" customHeight="1" x14ac:dyDescent="0.25">
      <c r="A772" s="289"/>
      <c r="G772" s="251"/>
      <c r="I772" s="251"/>
      <c r="J772" s="251"/>
      <c r="K772" s="289"/>
      <c r="M772" s="251"/>
      <c r="N772" s="289"/>
    </row>
    <row r="773" spans="1:14" ht="14.25" hidden="1" customHeight="1" x14ac:dyDescent="0.25">
      <c r="A773" s="289"/>
      <c r="G773" s="251"/>
      <c r="I773" s="251"/>
      <c r="J773" s="251"/>
      <c r="K773" s="289"/>
      <c r="M773" s="251"/>
      <c r="N773" s="289"/>
    </row>
    <row r="774" spans="1:14" ht="14.25" hidden="1" customHeight="1" x14ac:dyDescent="0.25">
      <c r="A774" s="289"/>
      <c r="G774" s="251"/>
      <c r="I774" s="251"/>
      <c r="J774" s="251"/>
      <c r="K774" s="289"/>
      <c r="M774" s="251"/>
      <c r="N774" s="289"/>
    </row>
    <row r="775" spans="1:14" ht="14.25" hidden="1" customHeight="1" x14ac:dyDescent="0.25">
      <c r="A775" s="289"/>
      <c r="G775" s="251"/>
      <c r="I775" s="251"/>
      <c r="J775" s="251"/>
      <c r="K775" s="289"/>
      <c r="M775" s="251"/>
      <c r="N775" s="289"/>
    </row>
    <row r="776" spans="1:14" ht="14.25" hidden="1" customHeight="1" x14ac:dyDescent="0.25">
      <c r="A776" s="289"/>
      <c r="G776" s="251"/>
      <c r="I776" s="251"/>
      <c r="J776" s="251"/>
      <c r="K776" s="289"/>
      <c r="M776" s="251"/>
      <c r="N776" s="289"/>
    </row>
    <row r="777" spans="1:14" ht="14.25" hidden="1" customHeight="1" x14ac:dyDescent="0.25">
      <c r="A777" s="289"/>
      <c r="G777" s="251"/>
      <c r="I777" s="251"/>
      <c r="J777" s="251"/>
      <c r="K777" s="289"/>
      <c r="M777" s="251"/>
      <c r="N777" s="289"/>
    </row>
    <row r="778" spans="1:14" ht="14.25" hidden="1" customHeight="1" x14ac:dyDescent="0.25">
      <c r="A778" s="289"/>
      <c r="G778" s="251"/>
      <c r="I778" s="251"/>
      <c r="J778" s="251"/>
      <c r="K778" s="289"/>
      <c r="M778" s="251"/>
      <c r="N778" s="289"/>
    </row>
    <row r="779" spans="1:14" ht="14.25" hidden="1" customHeight="1" x14ac:dyDescent="0.25">
      <c r="A779" s="289"/>
      <c r="G779" s="251"/>
      <c r="I779" s="251"/>
      <c r="J779" s="251"/>
      <c r="K779" s="289"/>
      <c r="M779" s="251"/>
      <c r="N779" s="289"/>
    </row>
    <row r="780" spans="1:14" ht="14.25" hidden="1" customHeight="1" x14ac:dyDescent="0.25">
      <c r="A780" s="289"/>
      <c r="G780" s="251"/>
      <c r="I780" s="251"/>
      <c r="J780" s="251"/>
      <c r="K780" s="289"/>
      <c r="M780" s="251"/>
      <c r="N780" s="289"/>
    </row>
    <row r="781" spans="1:14" ht="14.25" hidden="1" customHeight="1" x14ac:dyDescent="0.25">
      <c r="A781" s="289"/>
      <c r="G781" s="251"/>
      <c r="I781" s="251"/>
      <c r="J781" s="251"/>
      <c r="K781" s="289"/>
      <c r="M781" s="251"/>
      <c r="N781" s="289"/>
    </row>
    <row r="782" spans="1:14" ht="14.25" hidden="1" customHeight="1" x14ac:dyDescent="0.25">
      <c r="A782" s="289"/>
      <c r="G782" s="251"/>
      <c r="I782" s="251"/>
      <c r="J782" s="251"/>
      <c r="K782" s="289"/>
      <c r="M782" s="251"/>
      <c r="N782" s="289"/>
    </row>
    <row r="783" spans="1:14" ht="14.25" hidden="1" customHeight="1" x14ac:dyDescent="0.25">
      <c r="A783" s="289"/>
      <c r="G783" s="251"/>
      <c r="I783" s="251"/>
      <c r="J783" s="251"/>
      <c r="K783" s="289"/>
      <c r="M783" s="251"/>
      <c r="N783" s="289"/>
    </row>
    <row r="784" spans="1:14" ht="14.25" hidden="1" customHeight="1" x14ac:dyDescent="0.25">
      <c r="A784" s="289"/>
      <c r="G784" s="251"/>
      <c r="I784" s="251"/>
      <c r="J784" s="251"/>
      <c r="K784" s="289"/>
      <c r="M784" s="251"/>
      <c r="N784" s="289"/>
    </row>
    <row r="785" spans="1:14" ht="14.25" hidden="1" customHeight="1" x14ac:dyDescent="0.25">
      <c r="A785" s="289"/>
      <c r="G785" s="251"/>
      <c r="I785" s="251"/>
      <c r="J785" s="251"/>
      <c r="K785" s="289"/>
      <c r="M785" s="251"/>
      <c r="N785" s="289"/>
    </row>
    <row r="786" spans="1:14" ht="14.25" hidden="1" customHeight="1" x14ac:dyDescent="0.25">
      <c r="A786" s="289"/>
      <c r="G786" s="251"/>
      <c r="I786" s="251"/>
      <c r="J786" s="251"/>
      <c r="K786" s="289"/>
      <c r="M786" s="251"/>
      <c r="N786" s="289"/>
    </row>
    <row r="787" spans="1:14" ht="14.25" hidden="1" customHeight="1" x14ac:dyDescent="0.25">
      <c r="A787" s="289"/>
      <c r="G787" s="251"/>
      <c r="I787" s="251"/>
      <c r="J787" s="251"/>
      <c r="K787" s="289"/>
      <c r="M787" s="251"/>
      <c r="N787" s="289"/>
    </row>
    <row r="788" spans="1:14" ht="14.25" hidden="1" customHeight="1" x14ac:dyDescent="0.25">
      <c r="A788" s="289"/>
      <c r="G788" s="251"/>
      <c r="I788" s="251"/>
      <c r="J788" s="251"/>
      <c r="K788" s="289"/>
      <c r="M788" s="251"/>
      <c r="N788" s="289"/>
    </row>
    <row r="789" spans="1:14" ht="14.25" hidden="1" customHeight="1" x14ac:dyDescent="0.25">
      <c r="A789" s="289"/>
      <c r="G789" s="251"/>
      <c r="I789" s="251"/>
      <c r="J789" s="251"/>
      <c r="K789" s="289"/>
      <c r="M789" s="251"/>
      <c r="N789" s="289"/>
    </row>
    <row r="790" spans="1:14" ht="14.25" hidden="1" customHeight="1" x14ac:dyDescent="0.25">
      <c r="A790" s="289"/>
      <c r="G790" s="251"/>
      <c r="I790" s="251"/>
      <c r="J790" s="251"/>
      <c r="K790" s="289"/>
      <c r="M790" s="251"/>
      <c r="N790" s="289"/>
    </row>
    <row r="791" spans="1:14" ht="14.25" hidden="1" customHeight="1" x14ac:dyDescent="0.25">
      <c r="A791" s="289"/>
      <c r="G791" s="251"/>
      <c r="I791" s="251"/>
      <c r="J791" s="251"/>
      <c r="K791" s="289"/>
      <c r="M791" s="251"/>
      <c r="N791" s="289"/>
    </row>
    <row r="792" spans="1:14" ht="14.25" hidden="1" customHeight="1" x14ac:dyDescent="0.25">
      <c r="A792" s="289"/>
      <c r="G792" s="251"/>
      <c r="I792" s="251"/>
      <c r="J792" s="251"/>
      <c r="K792" s="289"/>
      <c r="M792" s="251"/>
      <c r="N792" s="289"/>
    </row>
    <row r="793" spans="1:14" ht="14.25" hidden="1" customHeight="1" x14ac:dyDescent="0.25">
      <c r="A793" s="289"/>
      <c r="G793" s="251"/>
      <c r="I793" s="251"/>
      <c r="J793" s="251"/>
      <c r="K793" s="289"/>
      <c r="M793" s="251"/>
      <c r="N793" s="289"/>
    </row>
    <row r="794" spans="1:14" ht="14.25" hidden="1" customHeight="1" x14ac:dyDescent="0.25">
      <c r="A794" s="289"/>
      <c r="G794" s="251"/>
      <c r="I794" s="251"/>
      <c r="J794" s="251"/>
      <c r="K794" s="289"/>
      <c r="M794" s="251"/>
      <c r="N794" s="289"/>
    </row>
    <row r="795" spans="1:14" ht="14.25" hidden="1" customHeight="1" x14ac:dyDescent="0.25">
      <c r="A795" s="289"/>
      <c r="G795" s="251"/>
      <c r="I795" s="251"/>
      <c r="J795" s="251"/>
      <c r="K795" s="289"/>
      <c r="M795" s="251"/>
      <c r="N795" s="289"/>
    </row>
    <row r="796" spans="1:14" ht="14.25" hidden="1" customHeight="1" x14ac:dyDescent="0.25">
      <c r="A796" s="289"/>
      <c r="G796" s="251"/>
      <c r="I796" s="251"/>
      <c r="J796" s="251"/>
      <c r="K796" s="289"/>
      <c r="M796" s="251"/>
      <c r="N796" s="289"/>
    </row>
    <row r="797" spans="1:14" ht="14.25" hidden="1" customHeight="1" x14ac:dyDescent="0.25">
      <c r="A797" s="289"/>
      <c r="G797" s="251"/>
      <c r="I797" s="251"/>
      <c r="J797" s="251"/>
      <c r="K797" s="289"/>
      <c r="M797" s="251"/>
      <c r="N797" s="289"/>
    </row>
    <row r="798" spans="1:14" ht="14.25" hidden="1" customHeight="1" x14ac:dyDescent="0.25">
      <c r="A798" s="289"/>
      <c r="G798" s="251"/>
      <c r="I798" s="251"/>
      <c r="J798" s="251"/>
      <c r="K798" s="289"/>
      <c r="M798" s="251"/>
      <c r="N798" s="289"/>
    </row>
    <row r="799" spans="1:14" ht="14.25" hidden="1" customHeight="1" x14ac:dyDescent="0.25">
      <c r="A799" s="289"/>
      <c r="G799" s="251"/>
      <c r="I799" s="251"/>
      <c r="J799" s="251"/>
      <c r="K799" s="289"/>
      <c r="M799" s="251"/>
      <c r="N799" s="289"/>
    </row>
    <row r="800" spans="1:14" ht="14.25" hidden="1" customHeight="1" x14ac:dyDescent="0.25">
      <c r="A800" s="289"/>
      <c r="G800" s="251"/>
      <c r="I800" s="251"/>
      <c r="J800" s="251"/>
      <c r="K800" s="289"/>
      <c r="M800" s="251"/>
      <c r="N800" s="289"/>
    </row>
    <row r="801" spans="1:14" ht="14.25" hidden="1" customHeight="1" x14ac:dyDescent="0.25">
      <c r="A801" s="289"/>
      <c r="G801" s="251"/>
      <c r="I801" s="251"/>
      <c r="J801" s="251"/>
      <c r="K801" s="289"/>
      <c r="M801" s="251"/>
      <c r="N801" s="289"/>
    </row>
    <row r="802" spans="1:14" ht="14.25" hidden="1" customHeight="1" x14ac:dyDescent="0.25">
      <c r="A802" s="289"/>
      <c r="G802" s="251"/>
      <c r="I802" s="251"/>
      <c r="J802" s="251"/>
      <c r="K802" s="289"/>
      <c r="M802" s="251"/>
      <c r="N802" s="289"/>
    </row>
    <row r="803" spans="1:14" ht="14.25" hidden="1" customHeight="1" x14ac:dyDescent="0.25">
      <c r="A803" s="289"/>
      <c r="G803" s="251"/>
      <c r="I803" s="251"/>
      <c r="J803" s="251"/>
      <c r="K803" s="289"/>
      <c r="M803" s="251"/>
      <c r="N803" s="289"/>
    </row>
    <row r="804" spans="1:14" ht="14.25" hidden="1" customHeight="1" x14ac:dyDescent="0.25">
      <c r="A804" s="289"/>
      <c r="G804" s="251"/>
      <c r="I804" s="251"/>
      <c r="J804" s="251"/>
      <c r="K804" s="289"/>
      <c r="M804" s="251"/>
      <c r="N804" s="289"/>
    </row>
    <row r="805" spans="1:14" ht="14.25" hidden="1" customHeight="1" x14ac:dyDescent="0.25">
      <c r="A805" s="289"/>
      <c r="G805" s="251"/>
      <c r="I805" s="251"/>
      <c r="J805" s="251"/>
      <c r="K805" s="289"/>
      <c r="M805" s="251"/>
      <c r="N805" s="289"/>
    </row>
    <row r="806" spans="1:14" ht="14.25" hidden="1" customHeight="1" x14ac:dyDescent="0.25">
      <c r="A806" s="289"/>
      <c r="G806" s="251"/>
      <c r="I806" s="251"/>
      <c r="J806" s="251"/>
      <c r="K806" s="289"/>
      <c r="M806" s="251"/>
      <c r="N806" s="289"/>
    </row>
    <row r="807" spans="1:14" ht="14.25" hidden="1" customHeight="1" x14ac:dyDescent="0.25">
      <c r="A807" s="289"/>
      <c r="G807" s="251"/>
      <c r="I807" s="251"/>
      <c r="J807" s="251"/>
      <c r="K807" s="289"/>
      <c r="M807" s="251"/>
      <c r="N807" s="289"/>
    </row>
    <row r="808" spans="1:14" ht="14.25" hidden="1" customHeight="1" x14ac:dyDescent="0.25">
      <c r="A808" s="289"/>
      <c r="G808" s="251"/>
      <c r="I808" s="251"/>
      <c r="J808" s="251"/>
      <c r="K808" s="289"/>
      <c r="M808" s="251"/>
      <c r="N808" s="289"/>
    </row>
    <row r="809" spans="1:14" ht="14.25" hidden="1" customHeight="1" x14ac:dyDescent="0.25">
      <c r="A809" s="289"/>
      <c r="G809" s="251"/>
      <c r="I809" s="251"/>
      <c r="J809" s="251"/>
      <c r="K809" s="289"/>
      <c r="M809" s="251"/>
      <c r="N809" s="289"/>
    </row>
    <row r="810" spans="1:14" ht="14.25" hidden="1" customHeight="1" x14ac:dyDescent="0.25">
      <c r="A810" s="289"/>
      <c r="G810" s="251"/>
      <c r="I810" s="251"/>
      <c r="J810" s="251"/>
      <c r="K810" s="289"/>
      <c r="M810" s="251"/>
      <c r="N810" s="289"/>
    </row>
    <row r="811" spans="1:14" ht="14.25" hidden="1" customHeight="1" x14ac:dyDescent="0.25">
      <c r="A811" s="289"/>
      <c r="G811" s="251"/>
      <c r="I811" s="251"/>
      <c r="J811" s="251"/>
      <c r="K811" s="289"/>
      <c r="M811" s="251"/>
      <c r="N811" s="289"/>
    </row>
    <row r="812" spans="1:14" ht="14.25" hidden="1" customHeight="1" x14ac:dyDescent="0.25">
      <c r="A812" s="289"/>
      <c r="G812" s="251"/>
      <c r="I812" s="251"/>
      <c r="J812" s="251"/>
      <c r="K812" s="289"/>
      <c r="M812" s="251"/>
      <c r="N812" s="289"/>
    </row>
    <row r="813" spans="1:14" ht="14.25" hidden="1" customHeight="1" x14ac:dyDescent="0.25">
      <c r="A813" s="289"/>
      <c r="G813" s="251"/>
      <c r="I813" s="251"/>
      <c r="J813" s="251"/>
      <c r="K813" s="289"/>
      <c r="M813" s="251"/>
      <c r="N813" s="289"/>
    </row>
    <row r="814" spans="1:14" ht="14.25" hidden="1" customHeight="1" x14ac:dyDescent="0.25">
      <c r="A814" s="289"/>
      <c r="G814" s="251"/>
      <c r="I814" s="251"/>
      <c r="J814" s="251"/>
      <c r="K814" s="289"/>
      <c r="M814" s="251"/>
      <c r="N814" s="289"/>
    </row>
    <row r="815" spans="1:14" ht="14.25" hidden="1" customHeight="1" x14ac:dyDescent="0.25">
      <c r="A815" s="289"/>
      <c r="G815" s="251"/>
      <c r="I815" s="251"/>
      <c r="J815" s="251"/>
      <c r="K815" s="289"/>
      <c r="M815" s="251"/>
      <c r="N815" s="289"/>
    </row>
    <row r="816" spans="1:14" ht="14.25" hidden="1" customHeight="1" x14ac:dyDescent="0.25">
      <c r="A816" s="289"/>
      <c r="G816" s="251"/>
      <c r="I816" s="251"/>
      <c r="J816" s="251"/>
      <c r="K816" s="289"/>
      <c r="M816" s="251"/>
      <c r="N816" s="289"/>
    </row>
    <row r="817" spans="1:14" ht="14.25" hidden="1" customHeight="1" x14ac:dyDescent="0.25">
      <c r="A817" s="289"/>
      <c r="G817" s="251"/>
      <c r="I817" s="251"/>
      <c r="J817" s="251"/>
      <c r="K817" s="289"/>
      <c r="M817" s="251"/>
      <c r="N817" s="289"/>
    </row>
    <row r="818" spans="1:14" ht="14.25" hidden="1" customHeight="1" x14ac:dyDescent="0.25">
      <c r="A818" s="289"/>
      <c r="G818" s="251"/>
      <c r="I818" s="251"/>
      <c r="J818" s="251"/>
      <c r="K818" s="289"/>
      <c r="M818" s="251"/>
      <c r="N818" s="289"/>
    </row>
    <row r="819" spans="1:14" ht="14.25" hidden="1" customHeight="1" x14ac:dyDescent="0.25">
      <c r="A819" s="289"/>
      <c r="G819" s="251"/>
      <c r="I819" s="251"/>
      <c r="J819" s="251"/>
      <c r="K819" s="289"/>
      <c r="M819" s="251"/>
      <c r="N819" s="289"/>
    </row>
    <row r="820" spans="1:14" ht="14.25" hidden="1" customHeight="1" x14ac:dyDescent="0.25">
      <c r="A820" s="289"/>
      <c r="G820" s="251"/>
      <c r="I820" s="251"/>
      <c r="J820" s="251"/>
      <c r="K820" s="289"/>
      <c r="M820" s="251"/>
      <c r="N820" s="289"/>
    </row>
    <row r="821" spans="1:14" ht="14.25" hidden="1" customHeight="1" x14ac:dyDescent="0.25">
      <c r="A821" s="289"/>
      <c r="G821" s="251"/>
      <c r="I821" s="251"/>
      <c r="J821" s="251"/>
      <c r="K821" s="289"/>
      <c r="M821" s="251"/>
      <c r="N821" s="289"/>
    </row>
    <row r="822" spans="1:14" ht="14.25" hidden="1" customHeight="1" x14ac:dyDescent="0.25">
      <c r="A822" s="289"/>
      <c r="G822" s="251"/>
      <c r="I822" s="251"/>
      <c r="J822" s="251"/>
      <c r="K822" s="289"/>
      <c r="M822" s="251"/>
      <c r="N822" s="289"/>
    </row>
    <row r="823" spans="1:14" ht="14.25" hidden="1" customHeight="1" x14ac:dyDescent="0.25">
      <c r="A823" s="289"/>
      <c r="G823" s="251"/>
      <c r="I823" s="251"/>
      <c r="J823" s="251"/>
      <c r="K823" s="289"/>
      <c r="M823" s="251"/>
      <c r="N823" s="289"/>
    </row>
    <row r="824" spans="1:14" ht="14.25" hidden="1" customHeight="1" x14ac:dyDescent="0.25">
      <c r="A824" s="289"/>
      <c r="G824" s="251"/>
      <c r="I824" s="251"/>
      <c r="J824" s="251"/>
      <c r="K824" s="289"/>
      <c r="M824" s="251"/>
      <c r="N824" s="289"/>
    </row>
    <row r="825" spans="1:14" ht="14.25" hidden="1" customHeight="1" x14ac:dyDescent="0.25">
      <c r="A825" s="289"/>
      <c r="G825" s="251"/>
      <c r="I825" s="251"/>
      <c r="J825" s="251"/>
      <c r="K825" s="289"/>
      <c r="M825" s="251"/>
      <c r="N825" s="289"/>
    </row>
    <row r="826" spans="1:14" ht="14.25" hidden="1" customHeight="1" x14ac:dyDescent="0.25">
      <c r="A826" s="289"/>
      <c r="G826" s="251"/>
      <c r="I826" s="251"/>
      <c r="J826" s="251"/>
      <c r="K826" s="289"/>
      <c r="M826" s="251"/>
      <c r="N826" s="289"/>
    </row>
    <row r="827" spans="1:14" ht="14.25" hidden="1" customHeight="1" x14ac:dyDescent="0.25">
      <c r="A827" s="289"/>
      <c r="G827" s="251"/>
      <c r="I827" s="251"/>
      <c r="J827" s="251"/>
      <c r="K827" s="289"/>
      <c r="M827" s="251"/>
      <c r="N827" s="289"/>
    </row>
    <row r="828" spans="1:14" ht="14.25" hidden="1" customHeight="1" x14ac:dyDescent="0.25">
      <c r="A828" s="289"/>
      <c r="G828" s="251"/>
      <c r="I828" s="251"/>
      <c r="J828" s="251"/>
      <c r="K828" s="289"/>
      <c r="M828" s="251"/>
      <c r="N828" s="289"/>
    </row>
    <row r="829" spans="1:14" ht="14.25" hidden="1" customHeight="1" x14ac:dyDescent="0.25">
      <c r="A829" s="289"/>
      <c r="G829" s="251"/>
      <c r="I829" s="251"/>
      <c r="J829" s="251"/>
      <c r="K829" s="289"/>
      <c r="M829" s="251"/>
      <c r="N829" s="289"/>
    </row>
    <row r="830" spans="1:14" ht="14.25" hidden="1" customHeight="1" x14ac:dyDescent="0.25">
      <c r="A830" s="289"/>
      <c r="G830" s="251"/>
      <c r="I830" s="251"/>
      <c r="J830" s="251"/>
      <c r="K830" s="289"/>
      <c r="M830" s="251"/>
      <c r="N830" s="289"/>
    </row>
    <row r="831" spans="1:14" ht="14.25" hidden="1" customHeight="1" x14ac:dyDescent="0.25">
      <c r="A831" s="289"/>
      <c r="G831" s="251"/>
      <c r="I831" s="251"/>
      <c r="J831" s="251"/>
      <c r="K831" s="289"/>
      <c r="M831" s="251"/>
      <c r="N831" s="289"/>
    </row>
    <row r="832" spans="1:14" ht="14.25" hidden="1" customHeight="1" x14ac:dyDescent="0.25">
      <c r="A832" s="289"/>
      <c r="G832" s="251"/>
      <c r="I832" s="251"/>
      <c r="J832" s="251"/>
      <c r="K832" s="289"/>
      <c r="M832" s="251"/>
      <c r="N832" s="289"/>
    </row>
    <row r="833" spans="1:14" ht="14.25" hidden="1" customHeight="1" x14ac:dyDescent="0.25">
      <c r="A833" s="289"/>
      <c r="G833" s="251"/>
      <c r="I833" s="251"/>
      <c r="J833" s="251"/>
      <c r="K833" s="289"/>
      <c r="M833" s="251"/>
      <c r="N833" s="289"/>
    </row>
    <row r="834" spans="1:14" ht="14.25" hidden="1" customHeight="1" x14ac:dyDescent="0.25">
      <c r="A834" s="289"/>
      <c r="G834" s="251"/>
      <c r="I834" s="251"/>
      <c r="J834" s="251"/>
      <c r="K834" s="289"/>
      <c r="M834" s="251"/>
      <c r="N834" s="289"/>
    </row>
    <row r="835" spans="1:14" ht="14.25" hidden="1" customHeight="1" x14ac:dyDescent="0.25">
      <c r="A835" s="289"/>
      <c r="G835" s="251"/>
      <c r="I835" s="251"/>
      <c r="J835" s="251"/>
      <c r="K835" s="289"/>
      <c r="M835" s="251"/>
      <c r="N835" s="289"/>
    </row>
    <row r="836" spans="1:14" ht="14.25" hidden="1" customHeight="1" x14ac:dyDescent="0.25">
      <c r="A836" s="289"/>
      <c r="G836" s="251"/>
      <c r="I836" s="251"/>
      <c r="J836" s="251"/>
      <c r="K836" s="289"/>
      <c r="M836" s="251"/>
      <c r="N836" s="289"/>
    </row>
    <row r="837" spans="1:14" ht="14.25" hidden="1" customHeight="1" x14ac:dyDescent="0.25">
      <c r="A837" s="289"/>
      <c r="G837" s="251"/>
      <c r="I837" s="251"/>
      <c r="J837" s="251"/>
      <c r="K837" s="289"/>
      <c r="M837" s="251"/>
      <c r="N837" s="289"/>
    </row>
    <row r="838" spans="1:14" ht="14.25" hidden="1" customHeight="1" x14ac:dyDescent="0.25">
      <c r="A838" s="289"/>
      <c r="G838" s="251"/>
      <c r="I838" s="251"/>
      <c r="J838" s="251"/>
      <c r="K838" s="289"/>
      <c r="M838" s="251"/>
      <c r="N838" s="289"/>
    </row>
    <row r="839" spans="1:14" ht="14.25" hidden="1" customHeight="1" x14ac:dyDescent="0.25">
      <c r="A839" s="289"/>
      <c r="G839" s="251"/>
      <c r="I839" s="251"/>
      <c r="J839" s="251"/>
      <c r="K839" s="289"/>
      <c r="M839" s="251"/>
      <c r="N839" s="289"/>
    </row>
    <row r="840" spans="1:14" ht="14.25" hidden="1" customHeight="1" x14ac:dyDescent="0.25">
      <c r="A840" s="289"/>
      <c r="G840" s="251"/>
      <c r="I840" s="251"/>
      <c r="J840" s="251"/>
      <c r="K840" s="289"/>
      <c r="M840" s="251"/>
      <c r="N840" s="289"/>
    </row>
    <row r="841" spans="1:14" ht="14.25" hidden="1" customHeight="1" x14ac:dyDescent="0.25">
      <c r="A841" s="289"/>
      <c r="G841" s="251"/>
      <c r="I841" s="251"/>
      <c r="J841" s="251"/>
      <c r="K841" s="289"/>
      <c r="M841" s="251"/>
      <c r="N841" s="289"/>
    </row>
    <row r="842" spans="1:14" ht="14.25" hidden="1" customHeight="1" x14ac:dyDescent="0.25">
      <c r="A842" s="289"/>
      <c r="G842" s="251"/>
      <c r="I842" s="251"/>
      <c r="J842" s="251"/>
      <c r="K842" s="289"/>
      <c r="M842" s="251"/>
      <c r="N842" s="289"/>
    </row>
    <row r="843" spans="1:14" ht="14.25" hidden="1" customHeight="1" x14ac:dyDescent="0.25">
      <c r="A843" s="289"/>
      <c r="G843" s="251"/>
      <c r="I843" s="251"/>
      <c r="J843" s="251"/>
      <c r="K843" s="289"/>
      <c r="M843" s="251"/>
      <c r="N843" s="289"/>
    </row>
    <row r="844" spans="1:14" ht="14.25" hidden="1" customHeight="1" x14ac:dyDescent="0.25">
      <c r="A844" s="289"/>
      <c r="G844" s="251"/>
      <c r="I844" s="251"/>
      <c r="J844" s="251"/>
      <c r="K844" s="289"/>
      <c r="M844" s="251"/>
      <c r="N844" s="289"/>
    </row>
    <row r="845" spans="1:14" ht="14.25" hidden="1" customHeight="1" x14ac:dyDescent="0.25">
      <c r="A845" s="289"/>
      <c r="G845" s="251"/>
      <c r="I845" s="251"/>
      <c r="J845" s="251"/>
      <c r="K845" s="289"/>
      <c r="M845" s="251"/>
      <c r="N845" s="289"/>
    </row>
    <row r="846" spans="1:14" ht="14.25" hidden="1" customHeight="1" x14ac:dyDescent="0.25">
      <c r="A846" s="289"/>
      <c r="G846" s="251"/>
      <c r="I846" s="251"/>
      <c r="J846" s="251"/>
      <c r="K846" s="289"/>
      <c r="M846" s="251"/>
      <c r="N846" s="289"/>
    </row>
    <row r="847" spans="1:14" ht="14.25" hidden="1" customHeight="1" x14ac:dyDescent="0.25">
      <c r="A847" s="289"/>
      <c r="G847" s="251"/>
      <c r="I847" s="251"/>
      <c r="J847" s="251"/>
      <c r="K847" s="289"/>
      <c r="M847" s="251"/>
      <c r="N847" s="289"/>
    </row>
    <row r="848" spans="1:14" ht="14.25" hidden="1" customHeight="1" x14ac:dyDescent="0.25">
      <c r="A848" s="289"/>
      <c r="G848" s="251"/>
      <c r="I848" s="251"/>
      <c r="J848" s="251"/>
      <c r="K848" s="289"/>
      <c r="M848" s="251"/>
      <c r="N848" s="289"/>
    </row>
    <row r="849" spans="1:14" ht="14.25" hidden="1" customHeight="1" x14ac:dyDescent="0.25">
      <c r="A849" s="289"/>
      <c r="G849" s="251"/>
      <c r="I849" s="251"/>
      <c r="J849" s="251"/>
      <c r="K849" s="289"/>
      <c r="M849" s="251"/>
      <c r="N849" s="289"/>
    </row>
    <row r="850" spans="1:14" ht="14.25" hidden="1" customHeight="1" x14ac:dyDescent="0.25">
      <c r="A850" s="289"/>
      <c r="G850" s="251"/>
      <c r="I850" s="251"/>
      <c r="J850" s="251"/>
      <c r="K850" s="289"/>
      <c r="M850" s="251"/>
      <c r="N850" s="289"/>
    </row>
    <row r="851" spans="1:14" ht="14.25" hidden="1" customHeight="1" x14ac:dyDescent="0.25">
      <c r="A851" s="289"/>
      <c r="G851" s="251"/>
      <c r="I851" s="251"/>
      <c r="J851" s="251"/>
      <c r="K851" s="289"/>
      <c r="M851" s="251"/>
      <c r="N851" s="289"/>
    </row>
    <row r="852" spans="1:14" ht="14.25" hidden="1" customHeight="1" x14ac:dyDescent="0.25">
      <c r="A852" s="289"/>
      <c r="G852" s="251"/>
      <c r="I852" s="251"/>
      <c r="J852" s="251"/>
      <c r="K852" s="289"/>
      <c r="M852" s="251"/>
      <c r="N852" s="289"/>
    </row>
    <row r="853" spans="1:14" ht="14.25" hidden="1" customHeight="1" x14ac:dyDescent="0.25">
      <c r="A853" s="289"/>
      <c r="G853" s="251"/>
      <c r="I853" s="251"/>
      <c r="J853" s="251"/>
      <c r="K853" s="289"/>
      <c r="M853" s="251"/>
      <c r="N853" s="289"/>
    </row>
    <row r="854" spans="1:14" ht="14.25" hidden="1" customHeight="1" x14ac:dyDescent="0.25">
      <c r="A854" s="289"/>
      <c r="G854" s="251"/>
      <c r="I854" s="251"/>
      <c r="J854" s="251"/>
      <c r="K854" s="289"/>
      <c r="M854" s="251"/>
      <c r="N854" s="289"/>
    </row>
    <row r="855" spans="1:14" ht="14.25" hidden="1" customHeight="1" x14ac:dyDescent="0.25">
      <c r="A855" s="289"/>
      <c r="G855" s="251"/>
      <c r="I855" s="251"/>
      <c r="J855" s="251"/>
      <c r="K855" s="289"/>
      <c r="M855" s="251"/>
      <c r="N855" s="289"/>
    </row>
    <row r="856" spans="1:14" ht="14.25" hidden="1" customHeight="1" x14ac:dyDescent="0.25">
      <c r="A856" s="289"/>
      <c r="G856" s="251"/>
      <c r="I856" s="251"/>
      <c r="J856" s="251"/>
      <c r="K856" s="289"/>
      <c r="M856" s="251"/>
      <c r="N856" s="289"/>
    </row>
    <row r="857" spans="1:14" ht="14.25" hidden="1" customHeight="1" x14ac:dyDescent="0.25">
      <c r="A857" s="289"/>
      <c r="G857" s="251"/>
      <c r="I857" s="251"/>
      <c r="J857" s="251"/>
      <c r="K857" s="289"/>
      <c r="M857" s="251"/>
      <c r="N857" s="289"/>
    </row>
    <row r="858" spans="1:14" ht="14.25" hidden="1" customHeight="1" x14ac:dyDescent="0.25">
      <c r="A858" s="289"/>
      <c r="G858" s="251"/>
      <c r="I858" s="251"/>
      <c r="J858" s="251"/>
      <c r="K858" s="289"/>
      <c r="M858" s="251"/>
      <c r="N858" s="289"/>
    </row>
    <row r="859" spans="1:14" ht="14.25" hidden="1" customHeight="1" x14ac:dyDescent="0.25">
      <c r="A859" s="289"/>
      <c r="G859" s="251"/>
      <c r="I859" s="251"/>
      <c r="J859" s="251"/>
      <c r="K859" s="289"/>
      <c r="M859" s="251"/>
      <c r="N859" s="289"/>
    </row>
    <row r="860" spans="1:14" ht="14.25" hidden="1" customHeight="1" x14ac:dyDescent="0.25">
      <c r="A860" s="289"/>
      <c r="G860" s="251"/>
      <c r="I860" s="251"/>
      <c r="J860" s="251"/>
      <c r="K860" s="289"/>
      <c r="M860" s="251"/>
      <c r="N860" s="289"/>
    </row>
    <row r="861" spans="1:14" ht="14.25" hidden="1" customHeight="1" x14ac:dyDescent="0.25">
      <c r="A861" s="289"/>
      <c r="G861" s="251"/>
      <c r="I861" s="251"/>
      <c r="J861" s="251"/>
      <c r="K861" s="289"/>
      <c r="M861" s="251"/>
      <c r="N861" s="289"/>
    </row>
    <row r="862" spans="1:14" ht="14.25" hidden="1" customHeight="1" x14ac:dyDescent="0.25">
      <c r="A862" s="289"/>
      <c r="G862" s="251"/>
      <c r="I862" s="251"/>
      <c r="J862" s="251"/>
      <c r="K862" s="289"/>
      <c r="M862" s="251"/>
      <c r="N862" s="289"/>
    </row>
    <row r="863" spans="1:14" ht="14.25" hidden="1" customHeight="1" x14ac:dyDescent="0.25">
      <c r="A863" s="289"/>
      <c r="G863" s="251"/>
      <c r="I863" s="251"/>
      <c r="J863" s="251"/>
      <c r="K863" s="289"/>
      <c r="M863" s="251"/>
      <c r="N863" s="289"/>
    </row>
    <row r="864" spans="1:14" ht="14.25" hidden="1" customHeight="1" x14ac:dyDescent="0.25">
      <c r="A864" s="289"/>
      <c r="G864" s="251"/>
      <c r="I864" s="251"/>
      <c r="J864" s="251"/>
      <c r="K864" s="289"/>
      <c r="M864" s="251"/>
      <c r="N864" s="289"/>
    </row>
    <row r="865" spans="1:14" ht="14.25" hidden="1" customHeight="1" x14ac:dyDescent="0.25">
      <c r="A865" s="289"/>
      <c r="G865" s="251"/>
      <c r="I865" s="251"/>
      <c r="J865" s="251"/>
      <c r="K865" s="289"/>
      <c r="M865" s="251"/>
      <c r="N865" s="289"/>
    </row>
    <row r="866" spans="1:14" ht="14.25" hidden="1" customHeight="1" x14ac:dyDescent="0.25">
      <c r="A866" s="289"/>
      <c r="G866" s="251"/>
      <c r="I866" s="251"/>
      <c r="J866" s="251"/>
      <c r="K866" s="289"/>
      <c r="M866" s="251"/>
      <c r="N866" s="289"/>
    </row>
    <row r="867" spans="1:14" ht="14.25" hidden="1" customHeight="1" x14ac:dyDescent="0.25">
      <c r="A867" s="289"/>
      <c r="G867" s="251"/>
      <c r="I867" s="251"/>
      <c r="J867" s="251"/>
      <c r="K867" s="289"/>
      <c r="M867" s="251"/>
      <c r="N867" s="289"/>
    </row>
    <row r="868" spans="1:14" ht="14.25" hidden="1" customHeight="1" x14ac:dyDescent="0.25">
      <c r="A868" s="289"/>
      <c r="G868" s="251"/>
      <c r="I868" s="251"/>
      <c r="J868" s="251"/>
      <c r="K868" s="289"/>
      <c r="M868" s="251"/>
      <c r="N868" s="289"/>
    </row>
    <row r="869" spans="1:14" ht="14.25" hidden="1" customHeight="1" x14ac:dyDescent="0.25">
      <c r="A869" s="289"/>
      <c r="G869" s="251"/>
      <c r="I869" s="251"/>
      <c r="J869" s="251"/>
      <c r="K869" s="289"/>
      <c r="M869" s="251"/>
      <c r="N869" s="289"/>
    </row>
    <row r="870" spans="1:14" ht="14.25" hidden="1" customHeight="1" x14ac:dyDescent="0.25">
      <c r="A870" s="289"/>
      <c r="G870" s="251"/>
      <c r="I870" s="251"/>
      <c r="J870" s="251"/>
      <c r="K870" s="289"/>
      <c r="M870" s="251"/>
      <c r="N870" s="289"/>
    </row>
    <row r="871" spans="1:14" ht="14.25" hidden="1" customHeight="1" x14ac:dyDescent="0.25">
      <c r="A871" s="289"/>
      <c r="G871" s="251"/>
      <c r="I871" s="251"/>
      <c r="J871" s="251"/>
      <c r="K871" s="289"/>
      <c r="M871" s="251"/>
      <c r="N871" s="289"/>
    </row>
    <row r="872" spans="1:14" ht="14.25" hidden="1" customHeight="1" x14ac:dyDescent="0.25">
      <c r="A872" s="289"/>
      <c r="G872" s="251"/>
      <c r="I872" s="251"/>
      <c r="J872" s="251"/>
      <c r="K872" s="289"/>
      <c r="M872" s="251"/>
      <c r="N872" s="289"/>
    </row>
    <row r="873" spans="1:14" ht="14.25" hidden="1" customHeight="1" x14ac:dyDescent="0.25">
      <c r="A873" s="289"/>
      <c r="G873" s="251"/>
      <c r="I873" s="251"/>
      <c r="J873" s="251"/>
      <c r="K873" s="289"/>
      <c r="M873" s="251"/>
      <c r="N873" s="289"/>
    </row>
    <row r="874" spans="1:14" ht="14.25" hidden="1" customHeight="1" x14ac:dyDescent="0.25">
      <c r="A874" s="289"/>
      <c r="G874" s="251"/>
      <c r="I874" s="251"/>
      <c r="J874" s="251"/>
      <c r="K874" s="289"/>
      <c r="M874" s="251"/>
      <c r="N874" s="289"/>
    </row>
    <row r="875" spans="1:14" ht="14.25" hidden="1" customHeight="1" x14ac:dyDescent="0.25">
      <c r="A875" s="289"/>
      <c r="G875" s="251"/>
      <c r="I875" s="251"/>
      <c r="J875" s="251"/>
      <c r="K875" s="289"/>
      <c r="M875" s="251"/>
      <c r="N875" s="289"/>
    </row>
    <row r="876" spans="1:14" ht="14.25" hidden="1" customHeight="1" x14ac:dyDescent="0.25">
      <c r="A876" s="289"/>
      <c r="G876" s="251"/>
      <c r="I876" s="251"/>
      <c r="J876" s="251"/>
      <c r="K876" s="289"/>
      <c r="M876" s="251"/>
      <c r="N876" s="289"/>
    </row>
    <row r="877" spans="1:14" ht="14.25" hidden="1" customHeight="1" x14ac:dyDescent="0.25">
      <c r="A877" s="289"/>
      <c r="G877" s="251"/>
      <c r="I877" s="251"/>
      <c r="J877" s="251"/>
      <c r="K877" s="289"/>
      <c r="M877" s="251"/>
      <c r="N877" s="289"/>
    </row>
    <row r="878" spans="1:14" ht="14.25" hidden="1" customHeight="1" x14ac:dyDescent="0.25">
      <c r="A878" s="289"/>
      <c r="G878" s="251"/>
      <c r="I878" s="251"/>
      <c r="J878" s="251"/>
      <c r="K878" s="289"/>
      <c r="M878" s="251"/>
      <c r="N878" s="289"/>
    </row>
    <row r="879" spans="1:14" ht="14.25" hidden="1" customHeight="1" x14ac:dyDescent="0.25">
      <c r="A879" s="289"/>
      <c r="G879" s="251"/>
      <c r="I879" s="251"/>
      <c r="J879" s="251"/>
      <c r="K879" s="289"/>
      <c r="M879" s="251"/>
      <c r="N879" s="289"/>
    </row>
    <row r="880" spans="1:14" ht="14.25" hidden="1" customHeight="1" x14ac:dyDescent="0.25">
      <c r="A880" s="289"/>
      <c r="G880" s="251"/>
      <c r="I880" s="251"/>
      <c r="J880" s="251"/>
      <c r="K880" s="289"/>
      <c r="M880" s="251"/>
      <c r="N880" s="289"/>
    </row>
    <row r="881" spans="1:14" ht="14.25" hidden="1" customHeight="1" x14ac:dyDescent="0.25">
      <c r="A881" s="289"/>
      <c r="G881" s="251"/>
      <c r="I881" s="251"/>
      <c r="J881" s="251"/>
      <c r="K881" s="289"/>
      <c r="M881" s="251"/>
      <c r="N881" s="289"/>
    </row>
    <row r="882" spans="1:14" ht="14.25" hidden="1" customHeight="1" x14ac:dyDescent="0.25">
      <c r="A882" s="289"/>
      <c r="G882" s="251"/>
      <c r="I882" s="251"/>
      <c r="J882" s="251"/>
      <c r="K882" s="289"/>
      <c r="M882" s="251"/>
      <c r="N882" s="289"/>
    </row>
    <row r="883" spans="1:14" ht="14.25" hidden="1" customHeight="1" x14ac:dyDescent="0.25">
      <c r="A883" s="289"/>
      <c r="G883" s="251"/>
      <c r="I883" s="251"/>
      <c r="J883" s="251"/>
      <c r="K883" s="289"/>
      <c r="M883" s="251"/>
      <c r="N883" s="289"/>
    </row>
    <row r="884" spans="1:14" ht="14.25" hidden="1" customHeight="1" x14ac:dyDescent="0.25">
      <c r="A884" s="289"/>
      <c r="G884" s="251"/>
      <c r="I884" s="251"/>
      <c r="J884" s="251"/>
      <c r="K884" s="289"/>
      <c r="M884" s="251"/>
      <c r="N884" s="289"/>
    </row>
    <row r="885" spans="1:14" ht="14.25" hidden="1" customHeight="1" x14ac:dyDescent="0.25">
      <c r="A885" s="289"/>
      <c r="G885" s="251"/>
      <c r="I885" s="251"/>
      <c r="J885" s="251"/>
      <c r="K885" s="289"/>
      <c r="M885" s="251"/>
      <c r="N885" s="289"/>
    </row>
    <row r="886" spans="1:14" ht="14.25" hidden="1" customHeight="1" x14ac:dyDescent="0.25">
      <c r="A886" s="289"/>
      <c r="G886" s="251"/>
      <c r="I886" s="251"/>
      <c r="J886" s="251"/>
      <c r="K886" s="289"/>
      <c r="M886" s="251"/>
      <c r="N886" s="289"/>
    </row>
    <row r="887" spans="1:14" ht="14.25" hidden="1" customHeight="1" x14ac:dyDescent="0.25">
      <c r="A887" s="289"/>
      <c r="G887" s="251"/>
      <c r="I887" s="251"/>
      <c r="J887" s="251"/>
      <c r="K887" s="289"/>
      <c r="M887" s="251"/>
      <c r="N887" s="289"/>
    </row>
    <row r="888" spans="1:14" ht="14.25" hidden="1" customHeight="1" x14ac:dyDescent="0.25">
      <c r="A888" s="289"/>
      <c r="G888" s="251"/>
      <c r="I888" s="251"/>
      <c r="J888" s="251"/>
      <c r="K888" s="289"/>
      <c r="M888" s="251"/>
      <c r="N888" s="289"/>
    </row>
    <row r="889" spans="1:14" ht="14.25" hidden="1" customHeight="1" x14ac:dyDescent="0.25">
      <c r="A889" s="289"/>
      <c r="G889" s="251"/>
      <c r="I889" s="251"/>
      <c r="J889" s="251"/>
      <c r="K889" s="289"/>
      <c r="M889" s="251"/>
      <c r="N889" s="289"/>
    </row>
    <row r="890" spans="1:14" ht="14.25" hidden="1" customHeight="1" x14ac:dyDescent="0.25">
      <c r="A890" s="289"/>
      <c r="G890" s="251"/>
      <c r="I890" s="251"/>
      <c r="J890" s="251"/>
      <c r="K890" s="289"/>
      <c r="M890" s="251"/>
      <c r="N890" s="289"/>
    </row>
    <row r="891" spans="1:14" ht="14.25" hidden="1" customHeight="1" x14ac:dyDescent="0.25">
      <c r="A891" s="289"/>
      <c r="G891" s="251"/>
      <c r="I891" s="251"/>
      <c r="J891" s="251"/>
      <c r="K891" s="289"/>
      <c r="M891" s="251"/>
      <c r="N891" s="289"/>
    </row>
    <row r="892" spans="1:14" ht="14.25" hidden="1" customHeight="1" x14ac:dyDescent="0.25">
      <c r="A892" s="289"/>
      <c r="G892" s="251"/>
      <c r="I892" s="251"/>
      <c r="J892" s="251"/>
      <c r="K892" s="289"/>
      <c r="M892" s="251"/>
      <c r="N892" s="289"/>
    </row>
    <row r="893" spans="1:14" ht="14.25" hidden="1" customHeight="1" x14ac:dyDescent="0.25">
      <c r="A893" s="289"/>
      <c r="G893" s="251"/>
      <c r="I893" s="251"/>
      <c r="J893" s="251"/>
      <c r="K893" s="289"/>
      <c r="M893" s="251"/>
      <c r="N893" s="289"/>
    </row>
    <row r="894" spans="1:14" ht="14.25" hidden="1" customHeight="1" x14ac:dyDescent="0.25">
      <c r="A894" s="289"/>
      <c r="G894" s="251"/>
      <c r="I894" s="251"/>
      <c r="J894" s="251"/>
      <c r="K894" s="289"/>
      <c r="M894" s="251"/>
      <c r="N894" s="289"/>
    </row>
    <row r="895" spans="1:14" ht="14.25" hidden="1" customHeight="1" x14ac:dyDescent="0.25">
      <c r="A895" s="289"/>
      <c r="G895" s="251"/>
      <c r="I895" s="251"/>
      <c r="J895" s="251"/>
      <c r="K895" s="289"/>
      <c r="M895" s="251"/>
      <c r="N895" s="289"/>
    </row>
    <row r="896" spans="1:14" ht="14.25" hidden="1" customHeight="1" x14ac:dyDescent="0.25">
      <c r="A896" s="289"/>
      <c r="G896" s="251"/>
      <c r="I896" s="251"/>
      <c r="J896" s="251"/>
      <c r="K896" s="289"/>
      <c r="M896" s="251"/>
      <c r="N896" s="289"/>
    </row>
    <row r="897" spans="1:14" ht="14.25" hidden="1" customHeight="1" x14ac:dyDescent="0.25">
      <c r="A897" s="289"/>
      <c r="G897" s="251"/>
      <c r="I897" s="251"/>
      <c r="J897" s="251"/>
      <c r="K897" s="289"/>
      <c r="M897" s="251"/>
      <c r="N897" s="289"/>
    </row>
    <row r="898" spans="1:14" ht="14.25" hidden="1" customHeight="1" x14ac:dyDescent="0.25">
      <c r="A898" s="289"/>
      <c r="G898" s="251"/>
      <c r="I898" s="251"/>
      <c r="J898" s="251"/>
      <c r="K898" s="289"/>
      <c r="M898" s="251"/>
      <c r="N898" s="289"/>
    </row>
    <row r="899" spans="1:14" ht="14.25" hidden="1" customHeight="1" x14ac:dyDescent="0.25">
      <c r="A899" s="289"/>
      <c r="G899" s="251"/>
      <c r="I899" s="251"/>
      <c r="J899" s="251"/>
      <c r="K899" s="289"/>
      <c r="M899" s="251"/>
      <c r="N899" s="289"/>
    </row>
    <row r="900" spans="1:14" ht="14.25" hidden="1" customHeight="1" x14ac:dyDescent="0.25">
      <c r="A900" s="289"/>
      <c r="G900" s="251"/>
      <c r="I900" s="251"/>
      <c r="J900" s="251"/>
      <c r="K900" s="289"/>
      <c r="M900" s="251"/>
      <c r="N900" s="289"/>
    </row>
    <row r="901" spans="1:14" ht="14.25" hidden="1" customHeight="1" x14ac:dyDescent="0.25">
      <c r="A901" s="289"/>
      <c r="G901" s="251"/>
      <c r="I901" s="251"/>
      <c r="J901" s="251"/>
      <c r="K901" s="289"/>
      <c r="M901" s="251"/>
      <c r="N901" s="289"/>
    </row>
    <row r="902" spans="1:14" ht="14.25" hidden="1" customHeight="1" x14ac:dyDescent="0.25">
      <c r="A902" s="289"/>
      <c r="G902" s="251"/>
      <c r="I902" s="251"/>
      <c r="J902" s="251"/>
      <c r="K902" s="289"/>
      <c r="M902" s="251"/>
      <c r="N902" s="289"/>
    </row>
    <row r="903" spans="1:14" ht="14.25" hidden="1" customHeight="1" x14ac:dyDescent="0.25">
      <c r="A903" s="289"/>
      <c r="G903" s="251"/>
      <c r="I903" s="251"/>
      <c r="J903" s="251"/>
      <c r="K903" s="289"/>
      <c r="M903" s="251"/>
      <c r="N903" s="289"/>
    </row>
    <row r="904" spans="1:14" ht="14.25" hidden="1" customHeight="1" x14ac:dyDescent="0.25">
      <c r="A904" s="289"/>
      <c r="G904" s="251"/>
      <c r="I904" s="251"/>
      <c r="J904" s="251"/>
      <c r="K904" s="289"/>
      <c r="M904" s="251"/>
      <c r="N904" s="289"/>
    </row>
    <row r="905" spans="1:14" ht="14.25" hidden="1" customHeight="1" x14ac:dyDescent="0.25">
      <c r="A905" s="289"/>
      <c r="G905" s="251"/>
      <c r="I905" s="251"/>
      <c r="J905" s="251"/>
      <c r="K905" s="289"/>
      <c r="M905" s="251"/>
      <c r="N905" s="289"/>
    </row>
    <row r="906" spans="1:14" ht="14.25" hidden="1" customHeight="1" x14ac:dyDescent="0.25">
      <c r="A906" s="289"/>
      <c r="G906" s="251"/>
      <c r="I906" s="251"/>
      <c r="J906" s="251"/>
      <c r="K906" s="289"/>
      <c r="M906" s="251"/>
      <c r="N906" s="289"/>
    </row>
    <row r="907" spans="1:14" ht="14.25" hidden="1" customHeight="1" x14ac:dyDescent="0.25">
      <c r="A907" s="289"/>
      <c r="G907" s="251"/>
      <c r="I907" s="251"/>
      <c r="J907" s="251"/>
      <c r="K907" s="289"/>
      <c r="M907" s="251"/>
      <c r="N907" s="289"/>
    </row>
    <row r="908" spans="1:14" ht="14.25" hidden="1" customHeight="1" x14ac:dyDescent="0.25">
      <c r="A908" s="289"/>
      <c r="G908" s="251"/>
      <c r="I908" s="251"/>
      <c r="J908" s="251"/>
      <c r="K908" s="289"/>
      <c r="M908" s="251"/>
      <c r="N908" s="289"/>
    </row>
    <row r="909" spans="1:14" ht="14.25" hidden="1" customHeight="1" x14ac:dyDescent="0.25">
      <c r="A909" s="289"/>
      <c r="G909" s="251"/>
      <c r="I909" s="251"/>
      <c r="J909" s="251"/>
      <c r="K909" s="289"/>
      <c r="M909" s="251"/>
      <c r="N909" s="289"/>
    </row>
    <row r="910" spans="1:14" ht="14.25" hidden="1" customHeight="1" x14ac:dyDescent="0.25">
      <c r="A910" s="289"/>
      <c r="G910" s="251"/>
      <c r="I910" s="251"/>
      <c r="J910" s="251"/>
      <c r="K910" s="289"/>
      <c r="M910" s="251"/>
      <c r="N910" s="289"/>
    </row>
    <row r="911" spans="1:14" ht="14.25" hidden="1" customHeight="1" x14ac:dyDescent="0.25">
      <c r="A911" s="289"/>
      <c r="G911" s="251"/>
      <c r="I911" s="251"/>
      <c r="J911" s="251"/>
      <c r="K911" s="289"/>
      <c r="M911" s="251"/>
      <c r="N911" s="289"/>
    </row>
    <row r="912" spans="1:14" ht="14.25" hidden="1" customHeight="1" x14ac:dyDescent="0.25">
      <c r="A912" s="289"/>
      <c r="G912" s="251"/>
      <c r="I912" s="251"/>
      <c r="J912" s="251"/>
      <c r="K912" s="289"/>
      <c r="M912" s="251"/>
      <c r="N912" s="289"/>
    </row>
    <row r="913" spans="1:14" ht="14.25" hidden="1" customHeight="1" x14ac:dyDescent="0.25">
      <c r="A913" s="289"/>
      <c r="G913" s="251"/>
      <c r="I913" s="251"/>
      <c r="J913" s="251"/>
      <c r="K913" s="289"/>
      <c r="M913" s="251"/>
      <c r="N913" s="289"/>
    </row>
    <row r="914" spans="1:14" ht="14.25" hidden="1" customHeight="1" x14ac:dyDescent="0.25">
      <c r="A914" s="289"/>
      <c r="G914" s="251"/>
      <c r="I914" s="251"/>
      <c r="J914" s="251"/>
      <c r="K914" s="289"/>
      <c r="M914" s="251"/>
      <c r="N914" s="289"/>
    </row>
    <row r="915" spans="1:14" ht="14.25" hidden="1" customHeight="1" x14ac:dyDescent="0.25">
      <c r="A915" s="289"/>
      <c r="G915" s="251"/>
      <c r="I915" s="251"/>
      <c r="J915" s="251"/>
      <c r="K915" s="289"/>
      <c r="M915" s="251"/>
      <c r="N915" s="289"/>
    </row>
    <row r="916" spans="1:14" ht="14.25" hidden="1" customHeight="1" x14ac:dyDescent="0.25">
      <c r="A916" s="289"/>
      <c r="G916" s="251"/>
      <c r="I916" s="251"/>
      <c r="J916" s="251"/>
      <c r="K916" s="289"/>
      <c r="M916" s="251"/>
      <c r="N916" s="289"/>
    </row>
    <row r="917" spans="1:14" ht="14.25" hidden="1" customHeight="1" x14ac:dyDescent="0.25">
      <c r="A917" s="289"/>
      <c r="G917" s="251"/>
      <c r="I917" s="251"/>
      <c r="J917" s="251"/>
      <c r="K917" s="289"/>
      <c r="M917" s="251"/>
      <c r="N917" s="289"/>
    </row>
    <row r="918" spans="1:14" ht="14.25" hidden="1" customHeight="1" x14ac:dyDescent="0.25">
      <c r="A918" s="289"/>
      <c r="G918" s="251"/>
      <c r="I918" s="251"/>
      <c r="J918" s="251"/>
      <c r="K918" s="289"/>
      <c r="M918" s="251"/>
      <c r="N918" s="289"/>
    </row>
    <row r="919" spans="1:14" ht="14.25" hidden="1" customHeight="1" x14ac:dyDescent="0.25">
      <c r="A919" s="289"/>
      <c r="G919" s="251"/>
      <c r="I919" s="251"/>
      <c r="J919" s="251"/>
      <c r="K919" s="289"/>
      <c r="M919" s="251"/>
      <c r="N919" s="289"/>
    </row>
    <row r="920" spans="1:14" ht="14.25" hidden="1" customHeight="1" x14ac:dyDescent="0.25">
      <c r="A920" s="289"/>
      <c r="G920" s="251"/>
      <c r="I920" s="251"/>
      <c r="J920" s="251"/>
      <c r="K920" s="289"/>
      <c r="M920" s="251"/>
      <c r="N920" s="289"/>
    </row>
    <row r="921" spans="1:14" ht="14.25" hidden="1" customHeight="1" x14ac:dyDescent="0.25">
      <c r="A921" s="289"/>
      <c r="G921" s="251"/>
      <c r="I921" s="251"/>
      <c r="J921" s="251"/>
      <c r="K921" s="289"/>
      <c r="M921" s="251"/>
      <c r="N921" s="289"/>
    </row>
    <row r="922" spans="1:14" ht="14.25" hidden="1" customHeight="1" x14ac:dyDescent="0.25">
      <c r="A922" s="289"/>
      <c r="G922" s="251"/>
      <c r="I922" s="251"/>
      <c r="J922" s="251"/>
      <c r="K922" s="289"/>
      <c r="M922" s="251"/>
      <c r="N922" s="289"/>
    </row>
    <row r="923" spans="1:14" ht="14.25" hidden="1" customHeight="1" x14ac:dyDescent="0.25">
      <c r="A923" s="289"/>
      <c r="G923" s="251"/>
      <c r="I923" s="251"/>
      <c r="J923" s="251"/>
      <c r="K923" s="289"/>
      <c r="M923" s="251"/>
      <c r="N923" s="289"/>
    </row>
    <row r="924" spans="1:14" ht="14.25" hidden="1" customHeight="1" x14ac:dyDescent="0.25">
      <c r="A924" s="289"/>
      <c r="G924" s="251"/>
      <c r="I924" s="251"/>
      <c r="J924" s="251"/>
      <c r="K924" s="289"/>
      <c r="M924" s="251"/>
      <c r="N924" s="289"/>
    </row>
    <row r="925" spans="1:14" ht="14.25" hidden="1" customHeight="1" x14ac:dyDescent="0.25">
      <c r="A925" s="289"/>
      <c r="G925" s="251"/>
      <c r="I925" s="251"/>
      <c r="J925" s="251"/>
      <c r="K925" s="289"/>
      <c r="M925" s="251"/>
      <c r="N925" s="289"/>
    </row>
    <row r="926" spans="1:14" ht="14.25" hidden="1" customHeight="1" x14ac:dyDescent="0.25">
      <c r="A926" s="289"/>
      <c r="G926" s="251"/>
      <c r="I926" s="251"/>
      <c r="J926" s="251"/>
      <c r="K926" s="289"/>
      <c r="M926" s="251"/>
      <c r="N926" s="289"/>
    </row>
    <row r="927" spans="1:14" ht="14.25" hidden="1" customHeight="1" x14ac:dyDescent="0.25">
      <c r="A927" s="289"/>
      <c r="G927" s="251"/>
      <c r="I927" s="251"/>
      <c r="J927" s="251"/>
      <c r="K927" s="289"/>
      <c r="M927" s="251"/>
      <c r="N927" s="289"/>
    </row>
    <row r="928" spans="1:14" ht="14.25" hidden="1" customHeight="1" x14ac:dyDescent="0.25">
      <c r="A928" s="289"/>
      <c r="G928" s="251"/>
      <c r="I928" s="251"/>
      <c r="J928" s="251"/>
      <c r="K928" s="289"/>
      <c r="M928" s="251"/>
      <c r="N928" s="289"/>
    </row>
    <row r="929" spans="1:14" ht="14.25" hidden="1" customHeight="1" x14ac:dyDescent="0.25">
      <c r="A929" s="289"/>
      <c r="G929" s="251"/>
      <c r="I929" s="251"/>
      <c r="J929" s="251"/>
      <c r="K929" s="289"/>
      <c r="M929" s="251"/>
      <c r="N929" s="289"/>
    </row>
    <row r="930" spans="1:14" ht="14.25" hidden="1" customHeight="1" x14ac:dyDescent="0.25">
      <c r="A930" s="289"/>
      <c r="G930" s="251"/>
      <c r="I930" s="251"/>
      <c r="J930" s="251"/>
      <c r="K930" s="289"/>
      <c r="M930" s="251"/>
      <c r="N930" s="289"/>
    </row>
    <row r="931" spans="1:14" ht="14.25" hidden="1" customHeight="1" x14ac:dyDescent="0.25">
      <c r="A931" s="289"/>
      <c r="G931" s="251"/>
      <c r="I931" s="251"/>
      <c r="J931" s="251"/>
      <c r="K931" s="289"/>
      <c r="M931" s="251"/>
      <c r="N931" s="289"/>
    </row>
    <row r="932" spans="1:14" ht="14.25" hidden="1" customHeight="1" x14ac:dyDescent="0.25">
      <c r="A932" s="289"/>
      <c r="G932" s="251"/>
      <c r="I932" s="251"/>
      <c r="J932" s="251"/>
      <c r="K932" s="289"/>
      <c r="M932" s="251"/>
      <c r="N932" s="289"/>
    </row>
    <row r="933" spans="1:14" ht="14.25" hidden="1" customHeight="1" x14ac:dyDescent="0.25">
      <c r="A933" s="289"/>
      <c r="G933" s="251"/>
      <c r="I933" s="251"/>
      <c r="J933" s="251"/>
      <c r="K933" s="289"/>
      <c r="M933" s="251"/>
      <c r="N933" s="289"/>
    </row>
    <row r="934" spans="1:14" ht="14.25" hidden="1" customHeight="1" x14ac:dyDescent="0.25">
      <c r="A934" s="289"/>
      <c r="G934" s="251"/>
      <c r="I934" s="251"/>
      <c r="J934" s="251"/>
      <c r="K934" s="289"/>
      <c r="M934" s="251"/>
      <c r="N934" s="289"/>
    </row>
    <row r="935" spans="1:14" ht="14.25" hidden="1" customHeight="1" x14ac:dyDescent="0.25">
      <c r="A935" s="289"/>
      <c r="G935" s="251"/>
      <c r="I935" s="251"/>
      <c r="J935" s="251"/>
      <c r="K935" s="289"/>
      <c r="M935" s="251"/>
      <c r="N935" s="289"/>
    </row>
    <row r="936" spans="1:14" ht="14.25" hidden="1" customHeight="1" x14ac:dyDescent="0.25">
      <c r="A936" s="289"/>
      <c r="G936" s="251"/>
      <c r="I936" s="251"/>
      <c r="J936" s="251"/>
      <c r="K936" s="289"/>
      <c r="M936" s="251"/>
      <c r="N936" s="289"/>
    </row>
    <row r="937" spans="1:14" ht="14.25" hidden="1" customHeight="1" x14ac:dyDescent="0.25">
      <c r="A937" s="289"/>
      <c r="G937" s="251"/>
      <c r="I937" s="251"/>
      <c r="J937" s="251"/>
      <c r="K937" s="289"/>
      <c r="M937" s="251"/>
      <c r="N937" s="289"/>
    </row>
    <row r="938" spans="1:14" ht="14.25" hidden="1" customHeight="1" x14ac:dyDescent="0.25">
      <c r="A938" s="289"/>
      <c r="G938" s="251"/>
      <c r="I938" s="251"/>
      <c r="J938" s="251"/>
      <c r="K938" s="289"/>
      <c r="M938" s="251"/>
      <c r="N938" s="289"/>
    </row>
    <row r="939" spans="1:14" ht="14.25" hidden="1" customHeight="1" x14ac:dyDescent="0.25">
      <c r="A939" s="289"/>
      <c r="G939" s="251"/>
      <c r="I939" s="251"/>
      <c r="J939" s="251"/>
      <c r="K939" s="289"/>
      <c r="M939" s="251"/>
      <c r="N939" s="289"/>
    </row>
    <row r="940" spans="1:14" ht="14.25" hidden="1" customHeight="1" x14ac:dyDescent="0.25">
      <c r="A940" s="289"/>
      <c r="G940" s="251"/>
      <c r="I940" s="251"/>
      <c r="J940" s="251"/>
      <c r="K940" s="289"/>
      <c r="M940" s="251"/>
      <c r="N940" s="289"/>
    </row>
    <row r="941" spans="1:14" ht="14.25" hidden="1" customHeight="1" x14ac:dyDescent="0.25">
      <c r="A941" s="289"/>
      <c r="G941" s="251"/>
      <c r="I941" s="251"/>
      <c r="J941" s="251"/>
      <c r="K941" s="289"/>
      <c r="M941" s="251"/>
      <c r="N941" s="289"/>
    </row>
    <row r="942" spans="1:14" ht="14.25" hidden="1" customHeight="1" x14ac:dyDescent="0.25">
      <c r="A942" s="289"/>
      <c r="G942" s="251"/>
      <c r="I942" s="251"/>
      <c r="J942" s="251"/>
      <c r="K942" s="289"/>
      <c r="M942" s="251"/>
      <c r="N942" s="289"/>
    </row>
    <row r="943" spans="1:14" ht="14.25" hidden="1" customHeight="1" x14ac:dyDescent="0.25">
      <c r="A943" s="289"/>
      <c r="G943" s="251"/>
      <c r="I943" s="251"/>
      <c r="J943" s="251"/>
      <c r="K943" s="289"/>
      <c r="M943" s="251"/>
      <c r="N943" s="289"/>
    </row>
    <row r="944" spans="1:14" ht="14.25" hidden="1" customHeight="1" x14ac:dyDescent="0.25">
      <c r="A944" s="289"/>
      <c r="G944" s="251"/>
      <c r="I944" s="251"/>
      <c r="J944" s="251"/>
      <c r="K944" s="289"/>
      <c r="M944" s="251"/>
      <c r="N944" s="289"/>
    </row>
    <row r="945" spans="1:14" ht="14.25" hidden="1" customHeight="1" x14ac:dyDescent="0.25">
      <c r="A945" s="289"/>
      <c r="G945" s="251"/>
      <c r="I945" s="251"/>
      <c r="J945" s="251"/>
      <c r="K945" s="289"/>
      <c r="M945" s="251"/>
      <c r="N945" s="289"/>
    </row>
    <row r="946" spans="1:14" ht="14.25" hidden="1" customHeight="1" x14ac:dyDescent="0.25">
      <c r="A946" s="289"/>
      <c r="G946" s="251"/>
      <c r="I946" s="251"/>
      <c r="J946" s="251"/>
      <c r="K946" s="289"/>
      <c r="M946" s="251"/>
      <c r="N946" s="289"/>
    </row>
    <row r="947" spans="1:14" ht="14.25" hidden="1" customHeight="1" x14ac:dyDescent="0.25">
      <c r="A947" s="289"/>
      <c r="G947" s="251"/>
      <c r="I947" s="251"/>
      <c r="J947" s="251"/>
      <c r="K947" s="289"/>
      <c r="M947" s="251"/>
      <c r="N947" s="289"/>
    </row>
    <row r="948" spans="1:14" ht="14.25" hidden="1" customHeight="1" x14ac:dyDescent="0.25">
      <c r="A948" s="289"/>
      <c r="G948" s="251"/>
      <c r="I948" s="251"/>
      <c r="J948" s="251"/>
      <c r="K948" s="289"/>
      <c r="M948" s="251"/>
      <c r="N948" s="289"/>
    </row>
    <row r="949" spans="1:14" ht="14.25" hidden="1" customHeight="1" x14ac:dyDescent="0.25">
      <c r="A949" s="289"/>
      <c r="G949" s="251"/>
      <c r="I949" s="251"/>
      <c r="J949" s="251"/>
      <c r="K949" s="289"/>
      <c r="M949" s="251"/>
      <c r="N949" s="289"/>
    </row>
    <row r="950" spans="1:14" ht="14.25" hidden="1" customHeight="1" x14ac:dyDescent="0.25">
      <c r="A950" s="289"/>
      <c r="G950" s="251"/>
      <c r="I950" s="251"/>
      <c r="J950" s="251"/>
      <c r="K950" s="289"/>
      <c r="M950" s="251"/>
      <c r="N950" s="289"/>
    </row>
    <row r="951" spans="1:14" ht="14.25" hidden="1" customHeight="1" x14ac:dyDescent="0.25">
      <c r="A951" s="289"/>
      <c r="G951" s="251"/>
      <c r="I951" s="251"/>
      <c r="J951" s="251"/>
      <c r="K951" s="289"/>
      <c r="M951" s="251"/>
      <c r="N951" s="289"/>
    </row>
    <row r="952" spans="1:14" ht="14.25" hidden="1" customHeight="1" x14ac:dyDescent="0.25">
      <c r="A952" s="289"/>
      <c r="G952" s="251"/>
      <c r="I952" s="251"/>
      <c r="J952" s="251"/>
      <c r="K952" s="289"/>
      <c r="M952" s="251"/>
      <c r="N952" s="289"/>
    </row>
    <row r="953" spans="1:14" ht="14.25" hidden="1" customHeight="1" x14ac:dyDescent="0.25">
      <c r="A953" s="289"/>
      <c r="G953" s="251"/>
      <c r="I953" s="251"/>
      <c r="J953" s="251"/>
      <c r="K953" s="289"/>
      <c r="M953" s="251"/>
      <c r="N953" s="289"/>
    </row>
    <row r="954" spans="1:14" ht="14.25" hidden="1" customHeight="1" x14ac:dyDescent="0.25">
      <c r="A954" s="289"/>
      <c r="G954" s="251"/>
      <c r="I954" s="251"/>
      <c r="J954" s="251"/>
      <c r="K954" s="289"/>
      <c r="M954" s="251"/>
      <c r="N954" s="289"/>
    </row>
    <row r="955" spans="1:14" ht="14.25" hidden="1" customHeight="1" x14ac:dyDescent="0.25">
      <c r="A955" s="289"/>
      <c r="G955" s="251"/>
      <c r="I955" s="251"/>
      <c r="J955" s="251"/>
      <c r="K955" s="289"/>
      <c r="M955" s="251"/>
      <c r="N955" s="289"/>
    </row>
    <row r="956" spans="1:14" ht="14.25" hidden="1" customHeight="1" x14ac:dyDescent="0.25">
      <c r="A956" s="289"/>
      <c r="G956" s="251"/>
      <c r="I956" s="251"/>
      <c r="J956" s="251"/>
      <c r="K956" s="289"/>
      <c r="M956" s="251"/>
      <c r="N956" s="289"/>
    </row>
    <row r="957" spans="1:14" ht="14.25" hidden="1" customHeight="1" x14ac:dyDescent="0.25">
      <c r="A957" s="289"/>
      <c r="G957" s="251"/>
      <c r="I957" s="251"/>
      <c r="J957" s="251"/>
      <c r="K957" s="289"/>
      <c r="M957" s="251"/>
      <c r="N957" s="289"/>
    </row>
    <row r="958" spans="1:14" ht="14.25" hidden="1" customHeight="1" x14ac:dyDescent="0.25">
      <c r="A958" s="289"/>
      <c r="G958" s="251"/>
      <c r="I958" s="251"/>
      <c r="J958" s="251"/>
      <c r="K958" s="289"/>
      <c r="M958" s="251"/>
      <c r="N958" s="289"/>
    </row>
    <row r="959" spans="1:14" ht="14.25" hidden="1" customHeight="1" x14ac:dyDescent="0.25">
      <c r="A959" s="289"/>
      <c r="G959" s="251"/>
      <c r="I959" s="251"/>
      <c r="J959" s="251"/>
      <c r="K959" s="289"/>
      <c r="M959" s="251"/>
      <c r="N959" s="289"/>
    </row>
    <row r="960" spans="1:14" ht="14.25" hidden="1" customHeight="1" x14ac:dyDescent="0.25">
      <c r="A960" s="289"/>
      <c r="G960" s="251"/>
      <c r="I960" s="251"/>
      <c r="J960" s="251"/>
      <c r="K960" s="289"/>
      <c r="M960" s="251"/>
      <c r="N960" s="289"/>
    </row>
    <row r="961" spans="1:14" ht="14.25" hidden="1" customHeight="1" x14ac:dyDescent="0.25">
      <c r="A961" s="289"/>
      <c r="G961" s="251"/>
      <c r="I961" s="251"/>
      <c r="J961" s="251"/>
      <c r="K961" s="289"/>
      <c r="M961" s="251"/>
      <c r="N961" s="289"/>
    </row>
    <row r="962" spans="1:14" ht="14.25" hidden="1" customHeight="1" x14ac:dyDescent="0.25">
      <c r="A962" s="289"/>
      <c r="G962" s="251"/>
      <c r="I962" s="251"/>
      <c r="J962" s="251"/>
      <c r="K962" s="289"/>
      <c r="M962" s="251"/>
      <c r="N962" s="289"/>
    </row>
    <row r="963" spans="1:14" ht="14.25" hidden="1" customHeight="1" x14ac:dyDescent="0.25">
      <c r="A963" s="289"/>
      <c r="G963" s="251"/>
      <c r="I963" s="251"/>
      <c r="J963" s="251"/>
      <c r="K963" s="289"/>
      <c r="M963" s="251"/>
      <c r="N963" s="289"/>
    </row>
    <row r="964" spans="1:14" ht="14.25" hidden="1" customHeight="1" x14ac:dyDescent="0.25">
      <c r="A964" s="289"/>
      <c r="G964" s="251"/>
      <c r="I964" s="251"/>
      <c r="J964" s="251"/>
      <c r="K964" s="289"/>
      <c r="M964" s="251"/>
      <c r="N964" s="289"/>
    </row>
    <row r="965" spans="1:14" ht="14.25" hidden="1" customHeight="1" x14ac:dyDescent="0.25">
      <c r="A965" s="289"/>
      <c r="G965" s="251"/>
      <c r="I965" s="251"/>
      <c r="J965" s="251"/>
      <c r="K965" s="289"/>
      <c r="M965" s="251"/>
      <c r="N965" s="289"/>
    </row>
    <row r="966" spans="1:14" ht="14.25" hidden="1" customHeight="1" x14ac:dyDescent="0.25">
      <c r="A966" s="289"/>
      <c r="G966" s="251"/>
      <c r="I966" s="251"/>
      <c r="J966" s="251"/>
      <c r="K966" s="289"/>
      <c r="M966" s="251"/>
      <c r="N966" s="289"/>
    </row>
    <row r="967" spans="1:14" ht="14.25" hidden="1" customHeight="1" x14ac:dyDescent="0.25">
      <c r="A967" s="289"/>
      <c r="G967" s="251"/>
      <c r="I967" s="251"/>
      <c r="J967" s="251"/>
      <c r="K967" s="289"/>
      <c r="M967" s="251"/>
      <c r="N967" s="289"/>
    </row>
    <row r="968" spans="1:14" ht="14.25" hidden="1" customHeight="1" x14ac:dyDescent="0.25">
      <c r="A968" s="289"/>
      <c r="G968" s="251"/>
      <c r="I968" s="251"/>
      <c r="J968" s="251"/>
      <c r="K968" s="289"/>
      <c r="M968" s="251"/>
      <c r="N968" s="289"/>
    </row>
    <row r="969" spans="1:14" ht="14.25" hidden="1" customHeight="1" x14ac:dyDescent="0.25">
      <c r="A969" s="289"/>
      <c r="G969" s="251"/>
      <c r="I969" s="251"/>
      <c r="J969" s="251"/>
      <c r="K969" s="289"/>
      <c r="M969" s="251"/>
      <c r="N969" s="289"/>
    </row>
    <row r="970" spans="1:14" ht="14.25" hidden="1" customHeight="1" x14ac:dyDescent="0.25">
      <c r="A970" s="289"/>
      <c r="G970" s="251"/>
      <c r="I970" s="251"/>
      <c r="J970" s="251"/>
      <c r="K970" s="289"/>
      <c r="M970" s="251"/>
      <c r="N970" s="289"/>
    </row>
    <row r="971" spans="1:14" ht="14.25" hidden="1" customHeight="1" x14ac:dyDescent="0.25">
      <c r="A971" s="289"/>
      <c r="G971" s="251"/>
      <c r="I971" s="251"/>
      <c r="J971" s="251"/>
      <c r="K971" s="289"/>
      <c r="M971" s="251"/>
      <c r="N971" s="289"/>
    </row>
    <row r="972" spans="1:14" ht="14.25" hidden="1" customHeight="1" x14ac:dyDescent="0.25">
      <c r="A972" s="289"/>
      <c r="G972" s="251"/>
      <c r="I972" s="251"/>
      <c r="J972" s="251"/>
      <c r="K972" s="289"/>
      <c r="M972" s="251"/>
      <c r="N972" s="289"/>
    </row>
    <row r="973" spans="1:14" ht="14.25" hidden="1" customHeight="1" x14ac:dyDescent="0.25">
      <c r="A973" s="289"/>
      <c r="G973" s="251"/>
      <c r="I973" s="251"/>
      <c r="J973" s="251"/>
      <c r="K973" s="289"/>
      <c r="M973" s="251"/>
      <c r="N973" s="289"/>
    </row>
    <row r="974" spans="1:14" ht="14.25" hidden="1" customHeight="1" x14ac:dyDescent="0.25">
      <c r="A974" s="289"/>
      <c r="G974" s="251"/>
      <c r="I974" s="251"/>
      <c r="J974" s="251"/>
      <c r="K974" s="289"/>
      <c r="M974" s="251"/>
      <c r="N974" s="289"/>
    </row>
    <row r="975" spans="1:14" ht="14.25" hidden="1" customHeight="1" x14ac:dyDescent="0.25">
      <c r="A975" s="289"/>
      <c r="G975" s="251"/>
      <c r="I975" s="251"/>
      <c r="J975" s="251"/>
      <c r="K975" s="289"/>
      <c r="M975" s="251"/>
      <c r="N975" s="289"/>
    </row>
    <row r="976" spans="1:14" ht="14.25" hidden="1" customHeight="1" x14ac:dyDescent="0.25">
      <c r="A976" s="289"/>
      <c r="G976" s="251"/>
      <c r="I976" s="251"/>
      <c r="J976" s="251"/>
      <c r="K976" s="289"/>
      <c r="M976" s="251"/>
      <c r="N976" s="289"/>
    </row>
    <row r="977" spans="1:14" ht="14.25" hidden="1" customHeight="1" x14ac:dyDescent="0.25">
      <c r="A977" s="289"/>
      <c r="G977" s="251"/>
      <c r="I977" s="251"/>
      <c r="J977" s="251"/>
      <c r="K977" s="289"/>
      <c r="M977" s="251"/>
      <c r="N977" s="289"/>
    </row>
    <row r="978" spans="1:14" ht="14.25" hidden="1" customHeight="1" x14ac:dyDescent="0.25">
      <c r="A978" s="289"/>
      <c r="G978" s="251"/>
      <c r="I978" s="251"/>
      <c r="J978" s="251"/>
      <c r="K978" s="289"/>
      <c r="M978" s="251"/>
      <c r="N978" s="289"/>
    </row>
    <row r="979" spans="1:14" ht="14.25" hidden="1" customHeight="1" x14ac:dyDescent="0.25">
      <c r="A979" s="289"/>
      <c r="G979" s="251"/>
      <c r="I979" s="251"/>
      <c r="J979" s="251"/>
      <c r="K979" s="289"/>
      <c r="M979" s="251"/>
      <c r="N979" s="289"/>
    </row>
    <row r="980" spans="1:14" ht="14.25" hidden="1" customHeight="1" x14ac:dyDescent="0.25">
      <c r="A980" s="289"/>
      <c r="G980" s="251"/>
      <c r="I980" s="251"/>
      <c r="J980" s="251"/>
      <c r="K980" s="289"/>
      <c r="M980" s="251"/>
      <c r="N980" s="289"/>
    </row>
    <row r="981" spans="1:14" ht="14.25" hidden="1" customHeight="1" x14ac:dyDescent="0.25">
      <c r="A981" s="289"/>
      <c r="G981" s="251"/>
      <c r="I981" s="251"/>
      <c r="J981" s="251"/>
      <c r="K981" s="289"/>
      <c r="M981" s="251"/>
      <c r="N981" s="289"/>
    </row>
    <row r="982" spans="1:14" ht="14.25" hidden="1" customHeight="1" x14ac:dyDescent="0.25">
      <c r="A982" s="289"/>
      <c r="G982" s="251"/>
      <c r="I982" s="251"/>
      <c r="J982" s="251"/>
      <c r="K982" s="289"/>
      <c r="M982" s="251"/>
      <c r="N982" s="289"/>
    </row>
    <row r="983" spans="1:14" ht="14.25" hidden="1" customHeight="1" x14ac:dyDescent="0.25">
      <c r="A983" s="289"/>
      <c r="G983" s="251"/>
      <c r="I983" s="251"/>
      <c r="J983" s="251"/>
      <c r="K983" s="289"/>
      <c r="M983" s="251"/>
      <c r="N983" s="289"/>
    </row>
    <row r="984" spans="1:14" ht="14.25" hidden="1" customHeight="1" x14ac:dyDescent="0.25">
      <c r="A984" s="289"/>
      <c r="G984" s="251"/>
      <c r="I984" s="251"/>
      <c r="J984" s="251"/>
      <c r="K984" s="289"/>
      <c r="M984" s="251"/>
      <c r="N984" s="289"/>
    </row>
    <row r="985" spans="1:14" ht="14.25" hidden="1" customHeight="1" x14ac:dyDescent="0.25">
      <c r="A985" s="289"/>
      <c r="G985" s="251"/>
      <c r="I985" s="251"/>
      <c r="J985" s="251"/>
      <c r="K985" s="289"/>
      <c r="M985" s="251"/>
      <c r="N985" s="289"/>
    </row>
    <row r="986" spans="1:14" ht="14.25" hidden="1" customHeight="1" x14ac:dyDescent="0.25">
      <c r="A986" s="289"/>
      <c r="G986" s="251"/>
      <c r="I986" s="251"/>
      <c r="J986" s="251"/>
      <c r="K986" s="289"/>
      <c r="M986" s="251"/>
      <c r="N986" s="289"/>
    </row>
    <row r="987" spans="1:14" ht="14.25" hidden="1" customHeight="1" x14ac:dyDescent="0.25">
      <c r="A987" s="289"/>
      <c r="G987" s="251"/>
      <c r="I987" s="251"/>
      <c r="J987" s="251"/>
      <c r="K987" s="289"/>
      <c r="M987" s="251"/>
      <c r="N987" s="289"/>
    </row>
    <row r="988" spans="1:14" ht="14.25" hidden="1" customHeight="1" x14ac:dyDescent="0.25">
      <c r="A988" s="289"/>
      <c r="G988" s="251"/>
      <c r="I988" s="251"/>
      <c r="J988" s="251"/>
      <c r="K988" s="289"/>
      <c r="M988" s="251"/>
      <c r="N988" s="289"/>
    </row>
    <row r="989" spans="1:14" ht="14.25" hidden="1" customHeight="1" x14ac:dyDescent="0.25">
      <c r="A989" s="289"/>
      <c r="G989" s="251"/>
      <c r="I989" s="251"/>
      <c r="J989" s="251"/>
      <c r="K989" s="289"/>
      <c r="M989" s="251"/>
      <c r="N989" s="289"/>
    </row>
    <row r="990" spans="1:14" ht="14.25" hidden="1" customHeight="1" x14ac:dyDescent="0.25">
      <c r="A990" s="289"/>
      <c r="G990" s="251"/>
      <c r="I990" s="251"/>
      <c r="J990" s="251"/>
      <c r="K990" s="289"/>
      <c r="M990" s="251"/>
      <c r="N990" s="289"/>
    </row>
    <row r="991" spans="1:14" ht="14.25" hidden="1" customHeight="1" x14ac:dyDescent="0.25">
      <c r="A991" s="289"/>
      <c r="G991" s="251"/>
      <c r="I991" s="251"/>
      <c r="J991" s="251"/>
      <c r="K991" s="289"/>
      <c r="M991" s="251"/>
      <c r="N991" s="289"/>
    </row>
    <row r="992" spans="1:14" ht="14.25" hidden="1" customHeight="1" x14ac:dyDescent="0.25">
      <c r="A992" s="289"/>
      <c r="G992" s="251"/>
      <c r="I992" s="251"/>
      <c r="J992" s="251"/>
      <c r="K992" s="289"/>
      <c r="M992" s="251"/>
      <c r="N992" s="289"/>
    </row>
    <row r="993" spans="1:14" ht="14.25" hidden="1" customHeight="1" x14ac:dyDescent="0.25">
      <c r="A993" s="289"/>
      <c r="G993" s="251"/>
      <c r="I993" s="251"/>
      <c r="J993" s="251"/>
      <c r="K993" s="289"/>
      <c r="M993" s="251"/>
      <c r="N993" s="289"/>
    </row>
    <row r="994" spans="1:14" ht="14.25" hidden="1" customHeight="1" x14ac:dyDescent="0.25">
      <c r="A994" s="289"/>
      <c r="G994" s="251"/>
      <c r="I994" s="251"/>
      <c r="J994" s="251"/>
      <c r="K994" s="289"/>
      <c r="M994" s="251"/>
      <c r="N994" s="289"/>
    </row>
    <row r="995" spans="1:14" ht="14.25" hidden="1" customHeight="1" x14ac:dyDescent="0.25">
      <c r="A995" s="289"/>
      <c r="G995" s="251"/>
      <c r="I995" s="251"/>
      <c r="J995" s="251"/>
      <c r="K995" s="289"/>
      <c r="M995" s="251"/>
      <c r="N995" s="289"/>
    </row>
    <row r="996" spans="1:14" ht="14.25" hidden="1" customHeight="1" x14ac:dyDescent="0.25">
      <c r="A996" s="289"/>
      <c r="G996" s="251"/>
      <c r="I996" s="251"/>
      <c r="J996" s="251"/>
      <c r="K996" s="289"/>
      <c r="M996" s="251"/>
      <c r="N996" s="289"/>
    </row>
    <row r="997" spans="1:14" ht="14.25" hidden="1" customHeight="1" x14ac:dyDescent="0.25">
      <c r="A997" s="289"/>
      <c r="G997" s="251"/>
      <c r="I997" s="251"/>
      <c r="J997" s="251"/>
      <c r="K997" s="289"/>
      <c r="M997" s="251"/>
      <c r="N997" s="289"/>
    </row>
    <row r="998" spans="1:14" ht="14.25" hidden="1" customHeight="1" x14ac:dyDescent="0.25">
      <c r="A998" s="289"/>
      <c r="G998" s="251"/>
      <c r="I998" s="251"/>
      <c r="J998" s="251"/>
      <c r="K998" s="289"/>
      <c r="M998" s="251"/>
      <c r="N998" s="289"/>
    </row>
    <row r="999" spans="1:14" ht="14.25" hidden="1" customHeight="1" x14ac:dyDescent="0.25">
      <c r="A999" s="289"/>
      <c r="G999" s="251"/>
      <c r="I999" s="251"/>
      <c r="J999" s="251"/>
      <c r="K999" s="289"/>
      <c r="M999" s="251"/>
      <c r="N999" s="289"/>
    </row>
    <row r="1000" spans="1:14" ht="14.25" hidden="1" customHeight="1" x14ac:dyDescent="0.25">
      <c r="A1000" s="289"/>
      <c r="G1000" s="251"/>
      <c r="I1000" s="251"/>
      <c r="J1000" s="251"/>
      <c r="K1000" s="289"/>
      <c r="M1000" s="251"/>
      <c r="N1000" s="289"/>
    </row>
  </sheetData>
  <autoFilter ref="A10:N1000" xr:uid="{BAFA50CA-B7FA-4232-B0D1-FC4158993E5F}">
    <filterColumn colId="9">
      <customFilters>
        <customFilter operator="notEqual" val=" "/>
      </customFilters>
    </filterColumn>
  </autoFilter>
  <mergeCells count="5">
    <mergeCell ref="A5:N5"/>
    <mergeCell ref="A7:N7"/>
    <mergeCell ref="B9:J9"/>
    <mergeCell ref="L9:M9"/>
    <mergeCell ref="L14:M14"/>
  </mergeCells>
  <pageMargins left="0.511811024" right="0.511811024" top="0.78740157499999996" bottom="0.78740157499999996" header="0" footer="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B6D43-4567-4A0C-9E42-41706D898E4A}">
  <sheetPr>
    <tabColor rgb="FF0070C0"/>
  </sheetPr>
  <dimension ref="A1:T1011"/>
  <sheetViews>
    <sheetView showGridLines="0" workbookViewId="0">
      <selection activeCell="G34" sqref="G34"/>
    </sheetView>
  </sheetViews>
  <sheetFormatPr defaultColWidth="14.42578125" defaultRowHeight="15" customHeight="1" x14ac:dyDescent="0.25"/>
  <cols>
    <col min="1" max="1" width="12.28515625" customWidth="1"/>
    <col min="2" max="3" width="14.5703125" customWidth="1"/>
    <col min="4" max="4" width="31" customWidth="1"/>
    <col min="5" max="5" width="24.85546875" hidden="1" customWidth="1"/>
    <col min="6" max="6" width="31.140625" customWidth="1"/>
    <col min="7" max="7" width="21.140625" customWidth="1"/>
    <col min="8" max="8" width="20" customWidth="1"/>
    <col min="9" max="9" width="15.7109375" customWidth="1"/>
    <col min="10" max="10" width="22.5703125" customWidth="1"/>
    <col min="11" max="20" width="8.7109375" customWidth="1"/>
  </cols>
  <sheetData>
    <row r="1" spans="1:20" ht="15" customHeight="1" x14ac:dyDescent="0.25">
      <c r="A1" s="214" t="s">
        <v>0</v>
      </c>
      <c r="B1" s="399"/>
      <c r="C1" s="518"/>
      <c r="D1" s="400"/>
      <c r="E1" s="402"/>
      <c r="F1" s="401"/>
      <c r="G1" s="402"/>
      <c r="H1" s="401"/>
      <c r="I1" s="401"/>
      <c r="J1" s="551"/>
    </row>
    <row r="2" spans="1:20" ht="15" customHeight="1" x14ac:dyDescent="0.25">
      <c r="A2" s="219" t="s">
        <v>113</v>
      </c>
      <c r="B2" s="404"/>
      <c r="C2" s="519"/>
      <c r="D2" s="405"/>
      <c r="E2" s="407"/>
      <c r="F2" s="406"/>
      <c r="G2" s="407"/>
      <c r="H2" s="406"/>
      <c r="I2" s="406"/>
      <c r="J2" s="552"/>
    </row>
    <row r="3" spans="1:20" ht="15" customHeight="1" x14ac:dyDescent="0.25">
      <c r="A3" s="219" t="s">
        <v>1</v>
      </c>
      <c r="B3" s="404"/>
      <c r="C3" s="519"/>
      <c r="D3" s="405"/>
      <c r="E3" s="407"/>
      <c r="F3" s="406"/>
      <c r="G3" s="407"/>
      <c r="H3" s="406"/>
      <c r="I3" s="406"/>
      <c r="J3" s="552"/>
    </row>
    <row r="4" spans="1:20" ht="15" customHeight="1" x14ac:dyDescent="0.25">
      <c r="A4" s="409" t="s">
        <v>160</v>
      </c>
      <c r="B4" s="410"/>
      <c r="C4" s="520"/>
      <c r="D4" s="405"/>
      <c r="E4" s="412"/>
      <c r="F4" s="411"/>
      <c r="G4" s="412"/>
      <c r="H4" s="411"/>
      <c r="I4" s="411"/>
      <c r="J4" s="552"/>
    </row>
    <row r="5" spans="1:20" ht="26.25" customHeight="1" x14ac:dyDescent="0.25">
      <c r="A5" s="1061" t="s">
        <v>283</v>
      </c>
      <c r="B5" s="1062"/>
      <c r="C5" s="1062"/>
      <c r="D5" s="1062"/>
      <c r="E5" s="1062"/>
      <c r="F5" s="1062"/>
      <c r="G5" s="1062"/>
      <c r="H5" s="1062"/>
      <c r="I5" s="1062"/>
      <c r="J5" s="1063"/>
    </row>
    <row r="6" spans="1:20" ht="14.25" customHeight="1" x14ac:dyDescent="0.25">
      <c r="A6" s="284"/>
      <c r="B6" s="289"/>
      <c r="C6" s="289"/>
      <c r="D6" s="289"/>
      <c r="E6" s="289"/>
      <c r="F6" s="413"/>
      <c r="G6" s="289"/>
      <c r="H6" s="413"/>
      <c r="I6" s="413"/>
      <c r="J6" s="285"/>
    </row>
    <row r="7" spans="1:20" ht="26.25" customHeight="1" x14ac:dyDescent="0.25">
      <c r="A7" s="1064" t="s">
        <v>526</v>
      </c>
      <c r="B7" s="1062"/>
      <c r="C7" s="1062"/>
      <c r="D7" s="1062"/>
      <c r="E7" s="1062"/>
      <c r="F7" s="1062"/>
      <c r="G7" s="1062"/>
      <c r="H7" s="1062"/>
      <c r="I7" s="1062"/>
      <c r="J7" s="1063"/>
    </row>
    <row r="8" spans="1:20" ht="14.25" customHeight="1" thickBot="1" x14ac:dyDescent="0.3">
      <c r="A8" s="284"/>
      <c r="B8" s="289"/>
      <c r="C8" s="289"/>
      <c r="D8" s="289"/>
      <c r="E8" s="289"/>
      <c r="F8" s="413"/>
      <c r="G8" s="289"/>
      <c r="H8" s="413"/>
      <c r="I8" s="413"/>
      <c r="J8" s="285"/>
      <c r="K8" s="289"/>
      <c r="L8" s="289"/>
      <c r="M8" s="289"/>
      <c r="N8" s="289"/>
      <c r="O8" s="289"/>
      <c r="P8" s="289"/>
      <c r="Q8" s="289"/>
      <c r="R8" s="289"/>
      <c r="S8" s="289"/>
      <c r="T8" s="289"/>
    </row>
    <row r="9" spans="1:20" ht="14.25" customHeight="1" thickBot="1" x14ac:dyDescent="0.3">
      <c r="A9" s="284"/>
      <c r="B9" s="1065" t="s">
        <v>521</v>
      </c>
      <c r="C9" s="1066"/>
      <c r="D9" s="1067"/>
      <c r="E9" s="1067"/>
      <c r="F9" s="1067"/>
      <c r="G9" s="1067"/>
      <c r="H9" s="1067"/>
      <c r="I9" s="1060"/>
      <c r="J9" s="285"/>
    </row>
    <row r="10" spans="1:20" ht="14.25" customHeight="1" x14ac:dyDescent="0.45">
      <c r="A10" s="284"/>
      <c r="B10" s="525" t="s">
        <v>522</v>
      </c>
      <c r="C10" s="521" t="s">
        <v>700</v>
      </c>
      <c r="D10" s="415" t="s">
        <v>528</v>
      </c>
      <c r="E10" s="415" t="s">
        <v>529</v>
      </c>
      <c r="F10" s="435" t="s">
        <v>523</v>
      </c>
      <c r="G10" s="436" t="s">
        <v>725</v>
      </c>
      <c r="H10" s="417" t="s">
        <v>524</v>
      </c>
      <c r="I10" s="526" t="s">
        <v>520</v>
      </c>
      <c r="J10" s="285"/>
    </row>
    <row r="11" spans="1:20" ht="14.25" customHeight="1" x14ac:dyDescent="0.25">
      <c r="A11" s="284"/>
      <c r="B11" s="527" t="s">
        <v>607</v>
      </c>
      <c r="C11" s="522" t="s">
        <v>635</v>
      </c>
      <c r="D11" s="420" t="s">
        <v>608</v>
      </c>
      <c r="E11" s="420"/>
      <c r="F11" s="437">
        <v>456.33</v>
      </c>
      <c r="G11" s="438"/>
      <c r="H11" s="422">
        <v>1</v>
      </c>
      <c r="I11" s="528">
        <f>F11*H11</f>
        <v>456.33</v>
      </c>
      <c r="J11" s="285"/>
    </row>
    <row r="12" spans="1:20" ht="14.25" customHeight="1" x14ac:dyDescent="0.25">
      <c r="A12" s="284"/>
      <c r="B12" s="529" t="s">
        <v>607</v>
      </c>
      <c r="C12" s="523" t="s">
        <v>635</v>
      </c>
      <c r="D12" s="426" t="s">
        <v>609</v>
      </c>
      <c r="E12" s="426"/>
      <c r="F12" s="440">
        <v>26.38</v>
      </c>
      <c r="G12" s="441"/>
      <c r="H12" s="428">
        <v>1</v>
      </c>
      <c r="I12" s="530">
        <f t="shared" ref="I12:I75" si="0">F12*H12</f>
        <v>26.38</v>
      </c>
      <c r="J12" s="285"/>
    </row>
    <row r="13" spans="1:20" ht="14.25" customHeight="1" x14ac:dyDescent="0.25">
      <c r="A13" s="284"/>
      <c r="B13" s="529" t="s">
        <v>607</v>
      </c>
      <c r="C13" s="523" t="s">
        <v>635</v>
      </c>
      <c r="D13" s="426" t="s">
        <v>610</v>
      </c>
      <c r="E13" s="426"/>
      <c r="F13" s="440">
        <v>33.58</v>
      </c>
      <c r="G13" s="441" t="s">
        <v>701</v>
      </c>
      <c r="H13" s="428">
        <v>1</v>
      </c>
      <c r="I13" s="530">
        <f t="shared" si="0"/>
        <v>33.58</v>
      </c>
      <c r="J13" s="285"/>
    </row>
    <row r="14" spans="1:20" ht="14.25" customHeight="1" x14ac:dyDescent="0.25">
      <c r="A14" s="284"/>
      <c r="B14" s="529" t="s">
        <v>607</v>
      </c>
      <c r="C14" s="523" t="s">
        <v>635</v>
      </c>
      <c r="D14" s="426" t="s">
        <v>611</v>
      </c>
      <c r="E14" s="426"/>
      <c r="F14" s="440">
        <v>1500.84</v>
      </c>
      <c r="G14" s="441"/>
      <c r="H14" s="428">
        <v>1</v>
      </c>
      <c r="I14" s="530">
        <f t="shared" si="0"/>
        <v>1500.84</v>
      </c>
      <c r="J14" s="285"/>
    </row>
    <row r="15" spans="1:20" ht="14.25" customHeight="1" x14ac:dyDescent="0.25">
      <c r="A15" s="284"/>
      <c r="B15" s="529" t="s">
        <v>612</v>
      </c>
      <c r="C15" s="523" t="s">
        <v>613</v>
      </c>
      <c r="D15" s="426" t="s">
        <v>614</v>
      </c>
      <c r="E15" s="426"/>
      <c r="F15" s="440">
        <v>24.87</v>
      </c>
      <c r="G15" s="441" t="s">
        <v>701</v>
      </c>
      <c r="H15" s="428">
        <v>1</v>
      </c>
      <c r="I15" s="530">
        <f t="shared" si="0"/>
        <v>24.87</v>
      </c>
      <c r="J15" s="285"/>
    </row>
    <row r="16" spans="1:20" ht="14.25" customHeight="1" x14ac:dyDescent="0.25">
      <c r="A16" s="284"/>
      <c r="B16" s="529" t="s">
        <v>612</v>
      </c>
      <c r="C16" s="523" t="s">
        <v>613</v>
      </c>
      <c r="D16" s="426" t="s">
        <v>615</v>
      </c>
      <c r="E16" s="426"/>
      <c r="F16" s="440">
        <v>28.27</v>
      </c>
      <c r="G16" s="441" t="s">
        <v>701</v>
      </c>
      <c r="H16" s="428">
        <v>1</v>
      </c>
      <c r="I16" s="530">
        <f t="shared" si="0"/>
        <v>28.27</v>
      </c>
      <c r="J16" s="285"/>
    </row>
    <row r="17" spans="1:10" ht="14.25" customHeight="1" x14ac:dyDescent="0.25">
      <c r="A17" s="284"/>
      <c r="B17" s="529" t="s">
        <v>612</v>
      </c>
      <c r="C17" s="523" t="s">
        <v>613</v>
      </c>
      <c r="D17" s="426" t="s">
        <v>616</v>
      </c>
      <c r="E17" s="426"/>
      <c r="F17" s="440">
        <v>3.4</v>
      </c>
      <c r="G17" s="441" t="s">
        <v>701</v>
      </c>
      <c r="H17" s="428">
        <v>1</v>
      </c>
      <c r="I17" s="530">
        <f t="shared" si="0"/>
        <v>3.4</v>
      </c>
      <c r="J17" s="285"/>
    </row>
    <row r="18" spans="1:10" ht="14.25" customHeight="1" x14ac:dyDescent="0.25">
      <c r="A18" s="284"/>
      <c r="B18" s="529" t="s">
        <v>612</v>
      </c>
      <c r="C18" s="523" t="s">
        <v>613</v>
      </c>
      <c r="D18" s="426" t="s">
        <v>618</v>
      </c>
      <c r="E18" s="426"/>
      <c r="F18" s="440">
        <v>27.53</v>
      </c>
      <c r="G18" s="441"/>
      <c r="H18" s="428">
        <v>1</v>
      </c>
      <c r="I18" s="530">
        <f t="shared" si="0"/>
        <v>27.53</v>
      </c>
      <c r="J18" s="285"/>
    </row>
    <row r="19" spans="1:10" ht="14.25" customHeight="1" x14ac:dyDescent="0.25">
      <c r="A19" s="284"/>
      <c r="B19" s="529" t="s">
        <v>612</v>
      </c>
      <c r="C19" s="523" t="s">
        <v>613</v>
      </c>
      <c r="D19" s="426" t="s">
        <v>689</v>
      </c>
      <c r="E19" s="426"/>
      <c r="F19" s="440">
        <v>21.52</v>
      </c>
      <c r="G19" s="441" t="s">
        <v>701</v>
      </c>
      <c r="H19" s="428">
        <v>1</v>
      </c>
      <c r="I19" s="530">
        <f t="shared" si="0"/>
        <v>21.52</v>
      </c>
      <c r="J19" s="285"/>
    </row>
    <row r="20" spans="1:10" ht="14.25" customHeight="1" x14ac:dyDescent="0.25">
      <c r="A20" s="284"/>
      <c r="B20" s="529" t="s">
        <v>612</v>
      </c>
      <c r="C20" s="523" t="s">
        <v>613</v>
      </c>
      <c r="D20" s="426" t="s">
        <v>619</v>
      </c>
      <c r="E20" s="426"/>
      <c r="F20" s="440">
        <v>15.72</v>
      </c>
      <c r="G20" s="441" t="s">
        <v>701</v>
      </c>
      <c r="H20" s="428">
        <v>1</v>
      </c>
      <c r="I20" s="530">
        <f t="shared" si="0"/>
        <v>15.72</v>
      </c>
      <c r="J20" s="285"/>
    </row>
    <row r="21" spans="1:10" ht="14.25" customHeight="1" x14ac:dyDescent="0.25">
      <c r="A21" s="284"/>
      <c r="B21" s="529" t="s">
        <v>612</v>
      </c>
      <c r="C21" s="523" t="s">
        <v>613</v>
      </c>
      <c r="D21" s="426" t="s">
        <v>620</v>
      </c>
      <c r="E21" s="426"/>
      <c r="F21" s="440">
        <v>7.6</v>
      </c>
      <c r="G21" s="441" t="s">
        <v>701</v>
      </c>
      <c r="H21" s="428">
        <v>1</v>
      </c>
      <c r="I21" s="530">
        <f t="shared" si="0"/>
        <v>7.6</v>
      </c>
      <c r="J21" s="285"/>
    </row>
    <row r="22" spans="1:10" ht="14.25" customHeight="1" x14ac:dyDescent="0.25">
      <c r="A22" s="284"/>
      <c r="B22" s="529" t="s">
        <v>612</v>
      </c>
      <c r="C22" s="523" t="s">
        <v>613</v>
      </c>
      <c r="D22" s="426" t="s">
        <v>621</v>
      </c>
      <c r="E22" s="426"/>
      <c r="F22" s="440">
        <v>4.22</v>
      </c>
      <c r="G22" s="441" t="s">
        <v>701</v>
      </c>
      <c r="H22" s="428">
        <v>1</v>
      </c>
      <c r="I22" s="530">
        <f t="shared" si="0"/>
        <v>4.22</v>
      </c>
      <c r="J22" s="285"/>
    </row>
    <row r="23" spans="1:10" ht="14.25" customHeight="1" x14ac:dyDescent="0.25">
      <c r="A23" s="284"/>
      <c r="B23" s="529" t="s">
        <v>612</v>
      </c>
      <c r="C23" s="523" t="s">
        <v>613</v>
      </c>
      <c r="D23" s="426" t="s">
        <v>617</v>
      </c>
      <c r="E23" s="426"/>
      <c r="F23" s="440">
        <v>12.36</v>
      </c>
      <c r="G23" s="441" t="s">
        <v>701</v>
      </c>
      <c r="H23" s="428">
        <v>1</v>
      </c>
      <c r="I23" s="530">
        <f t="shared" si="0"/>
        <v>12.36</v>
      </c>
      <c r="J23" s="285"/>
    </row>
    <row r="24" spans="1:10" ht="14.25" customHeight="1" x14ac:dyDescent="0.25">
      <c r="A24" s="284"/>
      <c r="B24" s="529" t="s">
        <v>612</v>
      </c>
      <c r="C24" s="523" t="s">
        <v>613</v>
      </c>
      <c r="D24" s="426" t="s">
        <v>622</v>
      </c>
      <c r="E24" s="426"/>
      <c r="F24" s="440">
        <v>27.24</v>
      </c>
      <c r="G24" s="441" t="s">
        <v>701</v>
      </c>
      <c r="H24" s="428">
        <v>1</v>
      </c>
      <c r="I24" s="530">
        <f t="shared" si="0"/>
        <v>27.24</v>
      </c>
      <c r="J24" s="285"/>
    </row>
    <row r="25" spans="1:10" ht="14.25" customHeight="1" x14ac:dyDescent="0.25">
      <c r="A25" s="284"/>
      <c r="B25" s="529" t="s">
        <v>612</v>
      </c>
      <c r="C25" s="523" t="s">
        <v>613</v>
      </c>
      <c r="D25" s="426" t="s">
        <v>623</v>
      </c>
      <c r="E25" s="426"/>
      <c r="F25" s="440">
        <v>7.54</v>
      </c>
      <c r="G25" s="441" t="s">
        <v>701</v>
      </c>
      <c r="H25" s="428">
        <v>1</v>
      </c>
      <c r="I25" s="530">
        <f t="shared" si="0"/>
        <v>7.54</v>
      </c>
      <c r="J25" s="285"/>
    </row>
    <row r="26" spans="1:10" ht="14.25" customHeight="1" x14ac:dyDescent="0.25">
      <c r="A26" s="284"/>
      <c r="B26" s="529" t="s">
        <v>612</v>
      </c>
      <c r="C26" s="523" t="s">
        <v>613</v>
      </c>
      <c r="D26" s="426" t="s">
        <v>624</v>
      </c>
      <c r="E26" s="426"/>
      <c r="F26" s="440">
        <v>18.87</v>
      </c>
      <c r="G26" s="441" t="s">
        <v>701</v>
      </c>
      <c r="H26" s="428">
        <v>1</v>
      </c>
      <c r="I26" s="530">
        <f t="shared" si="0"/>
        <v>18.87</v>
      </c>
      <c r="J26" s="285"/>
    </row>
    <row r="27" spans="1:10" ht="14.25" customHeight="1" x14ac:dyDescent="0.25">
      <c r="A27" s="284"/>
      <c r="B27" s="529" t="s">
        <v>612</v>
      </c>
      <c r="C27" s="523" t="s">
        <v>613</v>
      </c>
      <c r="D27" s="426" t="s">
        <v>625</v>
      </c>
      <c r="E27" s="426"/>
      <c r="F27" s="440">
        <v>4.8499999999999996</v>
      </c>
      <c r="G27" s="441" t="s">
        <v>701</v>
      </c>
      <c r="H27" s="428">
        <v>1</v>
      </c>
      <c r="I27" s="530">
        <f t="shared" si="0"/>
        <v>4.8499999999999996</v>
      </c>
      <c r="J27" s="285"/>
    </row>
    <row r="28" spans="1:10" ht="14.25" customHeight="1" x14ac:dyDescent="0.25">
      <c r="A28" s="284"/>
      <c r="B28" s="529" t="s">
        <v>612</v>
      </c>
      <c r="C28" s="523" t="s">
        <v>613</v>
      </c>
      <c r="D28" s="426" t="s">
        <v>626</v>
      </c>
      <c r="E28" s="426"/>
      <c r="F28" s="440">
        <v>18.87</v>
      </c>
      <c r="G28" s="441" t="s">
        <v>701</v>
      </c>
      <c r="H28" s="428">
        <v>1</v>
      </c>
      <c r="I28" s="530">
        <f t="shared" si="0"/>
        <v>18.87</v>
      </c>
      <c r="J28" s="285"/>
    </row>
    <row r="29" spans="1:10" ht="14.25" customHeight="1" x14ac:dyDescent="0.25">
      <c r="A29" s="284"/>
      <c r="B29" s="529" t="s">
        <v>612</v>
      </c>
      <c r="C29" s="523" t="s">
        <v>613</v>
      </c>
      <c r="D29" s="426" t="s">
        <v>627</v>
      </c>
      <c r="E29" s="426"/>
      <c r="F29" s="440">
        <v>4.8499999999999996</v>
      </c>
      <c r="G29" s="441" t="s">
        <v>701</v>
      </c>
      <c r="H29" s="428">
        <v>1</v>
      </c>
      <c r="I29" s="530">
        <f t="shared" si="0"/>
        <v>4.8499999999999996</v>
      </c>
      <c r="J29" s="285"/>
    </row>
    <row r="30" spans="1:10" ht="14.25" customHeight="1" x14ac:dyDescent="0.25">
      <c r="A30" s="284"/>
      <c r="B30" s="529" t="s">
        <v>612</v>
      </c>
      <c r="C30" s="523" t="s">
        <v>635</v>
      </c>
      <c r="D30" s="426" t="s">
        <v>628</v>
      </c>
      <c r="E30" s="426"/>
      <c r="F30" s="440">
        <v>18.79</v>
      </c>
      <c r="G30" s="441"/>
      <c r="H30" s="428">
        <v>1</v>
      </c>
      <c r="I30" s="530">
        <f t="shared" si="0"/>
        <v>18.79</v>
      </c>
      <c r="J30" s="285"/>
    </row>
    <row r="31" spans="1:10" ht="14.25" customHeight="1" x14ac:dyDescent="0.25">
      <c r="A31" s="284"/>
      <c r="B31" s="529" t="s">
        <v>612</v>
      </c>
      <c r="C31" s="523" t="s">
        <v>632</v>
      </c>
      <c r="D31" s="426" t="s">
        <v>614</v>
      </c>
      <c r="E31" s="426"/>
      <c r="F31" s="440">
        <v>26.95</v>
      </c>
      <c r="G31" s="441" t="s">
        <v>701</v>
      </c>
      <c r="H31" s="428">
        <v>1</v>
      </c>
      <c r="I31" s="530">
        <f t="shared" si="0"/>
        <v>26.95</v>
      </c>
      <c r="J31" s="285"/>
    </row>
    <row r="32" spans="1:10" ht="14.25" customHeight="1" x14ac:dyDescent="0.25">
      <c r="A32" s="284"/>
      <c r="B32" s="529" t="s">
        <v>612</v>
      </c>
      <c r="C32" s="523" t="s">
        <v>632</v>
      </c>
      <c r="D32" s="426" t="s">
        <v>615</v>
      </c>
      <c r="E32" s="426"/>
      <c r="F32" s="440">
        <v>41.59</v>
      </c>
      <c r="G32" s="441" t="s">
        <v>701</v>
      </c>
      <c r="H32" s="428">
        <v>1</v>
      </c>
      <c r="I32" s="530">
        <f t="shared" si="0"/>
        <v>41.59</v>
      </c>
      <c r="J32" s="285"/>
    </row>
    <row r="33" spans="1:10" ht="14.25" customHeight="1" x14ac:dyDescent="0.25">
      <c r="A33" s="284"/>
      <c r="B33" s="529" t="s">
        <v>612</v>
      </c>
      <c r="C33" s="523" t="s">
        <v>632</v>
      </c>
      <c r="D33" s="426" t="s">
        <v>616</v>
      </c>
      <c r="E33" s="426"/>
      <c r="F33" s="440">
        <v>3.67</v>
      </c>
      <c r="G33" s="441" t="s">
        <v>701</v>
      </c>
      <c r="H33" s="428">
        <v>1</v>
      </c>
      <c r="I33" s="530">
        <f t="shared" si="0"/>
        <v>3.67</v>
      </c>
      <c r="J33" s="285"/>
    </row>
    <row r="34" spans="1:10" ht="14.25" customHeight="1" x14ac:dyDescent="0.25">
      <c r="A34" s="284"/>
      <c r="B34" s="529" t="s">
        <v>612</v>
      </c>
      <c r="C34" s="523" t="s">
        <v>632</v>
      </c>
      <c r="D34" s="426" t="s">
        <v>618</v>
      </c>
      <c r="E34" s="426"/>
      <c r="F34" s="440">
        <v>32.26</v>
      </c>
      <c r="G34" s="441"/>
      <c r="H34" s="428">
        <v>1</v>
      </c>
      <c r="I34" s="530">
        <f t="shared" si="0"/>
        <v>32.26</v>
      </c>
      <c r="J34" s="285"/>
    </row>
    <row r="35" spans="1:10" ht="14.25" customHeight="1" x14ac:dyDescent="0.25">
      <c r="A35" s="284"/>
      <c r="B35" s="529" t="s">
        <v>612</v>
      </c>
      <c r="C35" s="523" t="s">
        <v>632</v>
      </c>
      <c r="D35" s="426" t="s">
        <v>689</v>
      </c>
      <c r="E35" s="426"/>
      <c r="F35" s="440">
        <v>21.56</v>
      </c>
      <c r="G35" s="441" t="s">
        <v>701</v>
      </c>
      <c r="H35" s="428">
        <v>1</v>
      </c>
      <c r="I35" s="530">
        <f t="shared" si="0"/>
        <v>21.56</v>
      </c>
      <c r="J35" s="285"/>
    </row>
    <row r="36" spans="1:10" ht="14.25" customHeight="1" x14ac:dyDescent="0.25">
      <c r="A36" s="284"/>
      <c r="B36" s="529" t="s">
        <v>612</v>
      </c>
      <c r="C36" s="523" t="s">
        <v>632</v>
      </c>
      <c r="D36" s="426" t="s">
        <v>619</v>
      </c>
      <c r="E36" s="426"/>
      <c r="F36" s="440">
        <v>15.02</v>
      </c>
      <c r="G36" s="441" t="s">
        <v>701</v>
      </c>
      <c r="H36" s="428">
        <v>1</v>
      </c>
      <c r="I36" s="530">
        <f t="shared" si="0"/>
        <v>15.02</v>
      </c>
      <c r="J36" s="285"/>
    </row>
    <row r="37" spans="1:10" ht="14.25" customHeight="1" x14ac:dyDescent="0.25">
      <c r="A37" s="284"/>
      <c r="B37" s="529" t="s">
        <v>612</v>
      </c>
      <c r="C37" s="523" t="s">
        <v>632</v>
      </c>
      <c r="D37" s="426" t="s">
        <v>629</v>
      </c>
      <c r="E37" s="426"/>
      <c r="F37" s="440">
        <v>3.12</v>
      </c>
      <c r="G37" s="441" t="s">
        <v>701</v>
      </c>
      <c r="H37" s="428">
        <v>1</v>
      </c>
      <c r="I37" s="530">
        <f t="shared" si="0"/>
        <v>3.12</v>
      </c>
      <c r="J37" s="285"/>
    </row>
    <row r="38" spans="1:10" ht="14.25" customHeight="1" x14ac:dyDescent="0.25">
      <c r="A38" s="284"/>
      <c r="B38" s="529" t="s">
        <v>612</v>
      </c>
      <c r="C38" s="523" t="s">
        <v>632</v>
      </c>
      <c r="D38" s="426" t="s">
        <v>620</v>
      </c>
      <c r="E38" s="426"/>
      <c r="F38" s="440">
        <v>9.49</v>
      </c>
      <c r="G38" s="441" t="s">
        <v>701</v>
      </c>
      <c r="H38" s="428">
        <v>1</v>
      </c>
      <c r="I38" s="530">
        <f t="shared" si="0"/>
        <v>9.49</v>
      </c>
      <c r="J38" s="285"/>
    </row>
    <row r="39" spans="1:10" ht="14.25" customHeight="1" x14ac:dyDescent="0.25">
      <c r="A39" s="284"/>
      <c r="B39" s="529" t="s">
        <v>612</v>
      </c>
      <c r="C39" s="523" t="s">
        <v>632</v>
      </c>
      <c r="D39" s="426" t="s">
        <v>640</v>
      </c>
      <c r="E39" s="426"/>
      <c r="F39" s="440">
        <v>6.96</v>
      </c>
      <c r="G39" s="441" t="s">
        <v>701</v>
      </c>
      <c r="H39" s="428">
        <v>1</v>
      </c>
      <c r="I39" s="530">
        <f t="shared" si="0"/>
        <v>6.96</v>
      </c>
      <c r="J39" s="285"/>
    </row>
    <row r="40" spans="1:10" ht="14.25" customHeight="1" x14ac:dyDescent="0.25">
      <c r="A40" s="284"/>
      <c r="B40" s="529" t="s">
        <v>612</v>
      </c>
      <c r="C40" s="523" t="s">
        <v>632</v>
      </c>
      <c r="D40" s="426" t="s">
        <v>621</v>
      </c>
      <c r="E40" s="426"/>
      <c r="F40" s="440">
        <v>4.09</v>
      </c>
      <c r="G40" s="441" t="s">
        <v>701</v>
      </c>
      <c r="H40" s="428">
        <v>1</v>
      </c>
      <c r="I40" s="530">
        <f t="shared" si="0"/>
        <v>4.09</v>
      </c>
      <c r="J40" s="285"/>
    </row>
    <row r="41" spans="1:10" ht="14.25" customHeight="1" x14ac:dyDescent="0.25">
      <c r="A41" s="284"/>
      <c r="B41" s="529" t="s">
        <v>612</v>
      </c>
      <c r="C41" s="523" t="s">
        <v>632</v>
      </c>
      <c r="D41" s="426" t="s">
        <v>617</v>
      </c>
      <c r="E41" s="426"/>
      <c r="F41" s="440">
        <v>14.97</v>
      </c>
      <c r="G41" s="441" t="s">
        <v>701</v>
      </c>
      <c r="H41" s="428">
        <v>1</v>
      </c>
      <c r="I41" s="530">
        <f t="shared" si="0"/>
        <v>14.97</v>
      </c>
      <c r="J41" s="285"/>
    </row>
    <row r="42" spans="1:10" ht="14.25" customHeight="1" x14ac:dyDescent="0.25">
      <c r="A42" s="284"/>
      <c r="B42" s="529" t="s">
        <v>612</v>
      </c>
      <c r="C42" s="523" t="s">
        <v>632</v>
      </c>
      <c r="D42" s="426" t="s">
        <v>622</v>
      </c>
      <c r="E42" s="426"/>
      <c r="F42" s="440">
        <v>28.46</v>
      </c>
      <c r="G42" s="441" t="s">
        <v>701</v>
      </c>
      <c r="H42" s="428">
        <v>1</v>
      </c>
      <c r="I42" s="530">
        <f t="shared" si="0"/>
        <v>28.46</v>
      </c>
      <c r="J42" s="285"/>
    </row>
    <row r="43" spans="1:10" ht="14.25" customHeight="1" x14ac:dyDescent="0.25">
      <c r="A43" s="284"/>
      <c r="B43" s="529" t="s">
        <v>612</v>
      </c>
      <c r="C43" s="523" t="s">
        <v>632</v>
      </c>
      <c r="D43" s="426" t="s">
        <v>623</v>
      </c>
      <c r="E43" s="426"/>
      <c r="F43" s="440">
        <v>7.06</v>
      </c>
      <c r="G43" s="441" t="s">
        <v>701</v>
      </c>
      <c r="H43" s="428">
        <v>1</v>
      </c>
      <c r="I43" s="530">
        <f t="shared" si="0"/>
        <v>7.06</v>
      </c>
      <c r="J43" s="285"/>
    </row>
    <row r="44" spans="1:10" ht="14.25" customHeight="1" x14ac:dyDescent="0.25">
      <c r="A44" s="284"/>
      <c r="B44" s="531" t="s">
        <v>612</v>
      </c>
      <c r="C44" s="524" t="s">
        <v>632</v>
      </c>
      <c r="D44" s="431" t="s">
        <v>630</v>
      </c>
      <c r="E44" s="431"/>
      <c r="F44" s="440">
        <v>18.87</v>
      </c>
      <c r="G44" s="441" t="s">
        <v>701</v>
      </c>
      <c r="H44" s="428">
        <v>1</v>
      </c>
      <c r="I44" s="530">
        <f t="shared" si="0"/>
        <v>18.87</v>
      </c>
      <c r="J44" s="285"/>
    </row>
    <row r="45" spans="1:10" ht="14.25" customHeight="1" x14ac:dyDescent="0.25">
      <c r="A45" s="284"/>
      <c r="B45" s="529" t="s">
        <v>612</v>
      </c>
      <c r="C45" s="523" t="s">
        <v>632</v>
      </c>
      <c r="D45" s="426" t="s">
        <v>631</v>
      </c>
      <c r="E45" s="426"/>
      <c r="F45" s="440">
        <v>4.8499999999999996</v>
      </c>
      <c r="G45" s="441" t="s">
        <v>701</v>
      </c>
      <c r="H45" s="428">
        <v>1</v>
      </c>
      <c r="I45" s="530">
        <f t="shared" si="0"/>
        <v>4.8499999999999996</v>
      </c>
      <c r="J45" s="285"/>
    </row>
    <row r="46" spans="1:10" ht="14.25" customHeight="1" x14ac:dyDescent="0.25">
      <c r="A46" s="284"/>
      <c r="B46" s="529" t="s">
        <v>612</v>
      </c>
      <c r="C46" s="523" t="s">
        <v>632</v>
      </c>
      <c r="D46" s="426" t="s">
        <v>624</v>
      </c>
      <c r="E46" s="426"/>
      <c r="F46" s="440">
        <v>18.850000000000001</v>
      </c>
      <c r="G46" s="441" t="s">
        <v>701</v>
      </c>
      <c r="H46" s="428">
        <v>1</v>
      </c>
      <c r="I46" s="530">
        <f t="shared" si="0"/>
        <v>18.850000000000001</v>
      </c>
      <c r="J46" s="285"/>
    </row>
    <row r="47" spans="1:10" ht="14.25" customHeight="1" x14ac:dyDescent="0.25">
      <c r="A47" s="284"/>
      <c r="B47" s="529" t="s">
        <v>612</v>
      </c>
      <c r="C47" s="523" t="s">
        <v>632</v>
      </c>
      <c r="D47" s="426" t="s">
        <v>625</v>
      </c>
      <c r="E47" s="426"/>
      <c r="F47" s="440">
        <v>4.8499999999999996</v>
      </c>
      <c r="G47" s="441" t="s">
        <v>701</v>
      </c>
      <c r="H47" s="428">
        <v>1</v>
      </c>
      <c r="I47" s="530">
        <f t="shared" si="0"/>
        <v>4.8499999999999996</v>
      </c>
      <c r="J47" s="285"/>
    </row>
    <row r="48" spans="1:10" ht="14.25" customHeight="1" x14ac:dyDescent="0.25">
      <c r="A48" s="284"/>
      <c r="B48" s="529" t="s">
        <v>612</v>
      </c>
      <c r="C48" s="523" t="s">
        <v>632</v>
      </c>
      <c r="D48" s="426" t="s">
        <v>626</v>
      </c>
      <c r="E48" s="426"/>
      <c r="F48" s="440">
        <v>18.850000000000001</v>
      </c>
      <c r="G48" s="441" t="s">
        <v>701</v>
      </c>
      <c r="H48" s="428">
        <v>1</v>
      </c>
      <c r="I48" s="530">
        <f t="shared" si="0"/>
        <v>18.850000000000001</v>
      </c>
      <c r="J48" s="285"/>
    </row>
    <row r="49" spans="1:10" ht="14.25" customHeight="1" x14ac:dyDescent="0.25">
      <c r="A49" s="284"/>
      <c r="B49" s="529" t="s">
        <v>612</v>
      </c>
      <c r="C49" s="523" t="s">
        <v>632</v>
      </c>
      <c r="D49" s="426" t="s">
        <v>627</v>
      </c>
      <c r="E49" s="426"/>
      <c r="F49" s="440">
        <v>4.8499999999999996</v>
      </c>
      <c r="G49" s="441" t="s">
        <v>701</v>
      </c>
      <c r="H49" s="428">
        <v>1</v>
      </c>
      <c r="I49" s="530">
        <f t="shared" si="0"/>
        <v>4.8499999999999996</v>
      </c>
      <c r="J49" s="285"/>
    </row>
    <row r="50" spans="1:10" ht="14.25" customHeight="1" x14ac:dyDescent="0.25">
      <c r="A50" s="284"/>
      <c r="B50" s="529" t="s">
        <v>612</v>
      </c>
      <c r="C50" s="523" t="s">
        <v>633</v>
      </c>
      <c r="D50" s="426" t="s">
        <v>614</v>
      </c>
      <c r="E50" s="426"/>
      <c r="F50" s="440">
        <v>24.87</v>
      </c>
      <c r="G50" s="441" t="s">
        <v>701</v>
      </c>
      <c r="H50" s="428">
        <v>1</v>
      </c>
      <c r="I50" s="530">
        <f t="shared" si="0"/>
        <v>24.87</v>
      </c>
      <c r="J50" s="285"/>
    </row>
    <row r="51" spans="1:10" ht="14.25" customHeight="1" x14ac:dyDescent="0.25">
      <c r="A51" s="284"/>
      <c r="B51" s="529" t="s">
        <v>612</v>
      </c>
      <c r="C51" s="523" t="s">
        <v>633</v>
      </c>
      <c r="D51" s="426" t="s">
        <v>615</v>
      </c>
      <c r="E51" s="426"/>
      <c r="F51" s="440">
        <v>31.03</v>
      </c>
      <c r="G51" s="441" t="s">
        <v>701</v>
      </c>
      <c r="H51" s="428">
        <v>1</v>
      </c>
      <c r="I51" s="530">
        <f t="shared" si="0"/>
        <v>31.03</v>
      </c>
      <c r="J51" s="285"/>
    </row>
    <row r="52" spans="1:10" ht="14.25" customHeight="1" x14ac:dyDescent="0.25">
      <c r="A52" s="284"/>
      <c r="B52" s="529" t="s">
        <v>612</v>
      </c>
      <c r="C52" s="523" t="s">
        <v>633</v>
      </c>
      <c r="D52" s="426" t="s">
        <v>616</v>
      </c>
      <c r="E52" s="426"/>
      <c r="F52" s="440">
        <v>3.4</v>
      </c>
      <c r="G52" s="441" t="s">
        <v>701</v>
      </c>
      <c r="H52" s="428">
        <v>1</v>
      </c>
      <c r="I52" s="530">
        <f t="shared" si="0"/>
        <v>3.4</v>
      </c>
      <c r="J52" s="285"/>
    </row>
    <row r="53" spans="1:10" ht="14.25" customHeight="1" x14ac:dyDescent="0.25">
      <c r="A53" s="284"/>
      <c r="B53" s="529" t="s">
        <v>612</v>
      </c>
      <c r="C53" s="523" t="s">
        <v>633</v>
      </c>
      <c r="D53" s="426" t="s">
        <v>618</v>
      </c>
      <c r="E53" s="426"/>
      <c r="F53" s="440">
        <v>28.39</v>
      </c>
      <c r="G53" s="441"/>
      <c r="H53" s="428">
        <v>1</v>
      </c>
      <c r="I53" s="530">
        <f t="shared" si="0"/>
        <v>28.39</v>
      </c>
      <c r="J53" s="285"/>
    </row>
    <row r="54" spans="1:10" ht="14.25" customHeight="1" x14ac:dyDescent="0.25">
      <c r="A54" s="284"/>
      <c r="B54" s="529" t="s">
        <v>612</v>
      </c>
      <c r="C54" s="523" t="s">
        <v>633</v>
      </c>
      <c r="D54" s="426" t="s">
        <v>689</v>
      </c>
      <c r="E54" s="426"/>
      <c r="F54" s="440">
        <v>21.53</v>
      </c>
      <c r="G54" s="441" t="s">
        <v>701</v>
      </c>
      <c r="H54" s="428">
        <v>1</v>
      </c>
      <c r="I54" s="530">
        <f t="shared" si="0"/>
        <v>21.53</v>
      </c>
      <c r="J54" s="285"/>
    </row>
    <row r="55" spans="1:10" ht="14.25" customHeight="1" x14ac:dyDescent="0.25">
      <c r="A55" s="284"/>
      <c r="B55" s="529" t="s">
        <v>612</v>
      </c>
      <c r="C55" s="523" t="s">
        <v>633</v>
      </c>
      <c r="D55" s="426" t="s">
        <v>619</v>
      </c>
      <c r="E55" s="426"/>
      <c r="F55" s="440">
        <v>15.72</v>
      </c>
      <c r="G55" s="441" t="s">
        <v>701</v>
      </c>
      <c r="H55" s="428">
        <v>1</v>
      </c>
      <c r="I55" s="530">
        <f t="shared" si="0"/>
        <v>15.72</v>
      </c>
      <c r="J55" s="285"/>
    </row>
    <row r="56" spans="1:10" ht="14.25" customHeight="1" x14ac:dyDescent="0.25">
      <c r="A56" s="284"/>
      <c r="B56" s="529" t="s">
        <v>612</v>
      </c>
      <c r="C56" s="523" t="s">
        <v>633</v>
      </c>
      <c r="D56" s="426" t="s">
        <v>620</v>
      </c>
      <c r="E56" s="426"/>
      <c r="F56" s="440">
        <v>7.59</v>
      </c>
      <c r="G56" s="441" t="s">
        <v>701</v>
      </c>
      <c r="H56" s="428">
        <v>1</v>
      </c>
      <c r="I56" s="530">
        <f t="shared" si="0"/>
        <v>7.59</v>
      </c>
      <c r="J56" s="285"/>
    </row>
    <row r="57" spans="1:10" ht="14.25" customHeight="1" x14ac:dyDescent="0.25">
      <c r="A57" s="284"/>
      <c r="B57" s="529" t="s">
        <v>612</v>
      </c>
      <c r="C57" s="523" t="s">
        <v>633</v>
      </c>
      <c r="D57" s="426" t="s">
        <v>621</v>
      </c>
      <c r="E57" s="426"/>
      <c r="F57" s="440">
        <v>4.22</v>
      </c>
      <c r="G57" s="441" t="s">
        <v>701</v>
      </c>
      <c r="H57" s="428">
        <v>1</v>
      </c>
      <c r="I57" s="530">
        <f t="shared" si="0"/>
        <v>4.22</v>
      </c>
      <c r="J57" s="285"/>
    </row>
    <row r="58" spans="1:10" ht="14.25" customHeight="1" x14ac:dyDescent="0.25">
      <c r="A58" s="284"/>
      <c r="B58" s="529" t="s">
        <v>612</v>
      </c>
      <c r="C58" s="523" t="s">
        <v>633</v>
      </c>
      <c r="D58" s="426" t="s">
        <v>617</v>
      </c>
      <c r="E58" s="426"/>
      <c r="F58" s="440">
        <v>12.36</v>
      </c>
      <c r="G58" s="441" t="s">
        <v>701</v>
      </c>
      <c r="H58" s="428">
        <v>1</v>
      </c>
      <c r="I58" s="530">
        <f t="shared" si="0"/>
        <v>12.36</v>
      </c>
      <c r="J58" s="285"/>
    </row>
    <row r="59" spans="1:10" ht="14.25" customHeight="1" x14ac:dyDescent="0.25">
      <c r="A59" s="284"/>
      <c r="B59" s="529" t="s">
        <v>612</v>
      </c>
      <c r="C59" s="523" t="s">
        <v>633</v>
      </c>
      <c r="D59" s="426" t="s">
        <v>622</v>
      </c>
      <c r="E59" s="426"/>
      <c r="F59" s="440">
        <v>27.24</v>
      </c>
      <c r="G59" s="441" t="s">
        <v>701</v>
      </c>
      <c r="H59" s="428">
        <v>1</v>
      </c>
      <c r="I59" s="530">
        <f t="shared" si="0"/>
        <v>27.24</v>
      </c>
      <c r="J59" s="285"/>
    </row>
    <row r="60" spans="1:10" ht="14.25" customHeight="1" x14ac:dyDescent="0.25">
      <c r="A60" s="284"/>
      <c r="B60" s="529" t="s">
        <v>612</v>
      </c>
      <c r="C60" s="523" t="s">
        <v>633</v>
      </c>
      <c r="D60" s="426" t="s">
        <v>623</v>
      </c>
      <c r="E60" s="426"/>
      <c r="F60" s="440">
        <v>7.54</v>
      </c>
      <c r="G60" s="441" t="s">
        <v>701</v>
      </c>
      <c r="H60" s="428">
        <v>1</v>
      </c>
      <c r="I60" s="530">
        <f t="shared" si="0"/>
        <v>7.54</v>
      </c>
      <c r="J60" s="285"/>
    </row>
    <row r="61" spans="1:10" ht="14.25" customHeight="1" x14ac:dyDescent="0.25">
      <c r="A61" s="284"/>
      <c r="B61" s="529" t="s">
        <v>612</v>
      </c>
      <c r="C61" s="523" t="s">
        <v>633</v>
      </c>
      <c r="D61" s="426" t="s">
        <v>624</v>
      </c>
      <c r="E61" s="426"/>
      <c r="F61" s="440">
        <v>18.87</v>
      </c>
      <c r="G61" s="441" t="s">
        <v>701</v>
      </c>
      <c r="H61" s="428">
        <v>1</v>
      </c>
      <c r="I61" s="530">
        <f t="shared" si="0"/>
        <v>18.87</v>
      </c>
      <c r="J61" s="285"/>
    </row>
    <row r="62" spans="1:10" ht="14.25" customHeight="1" x14ac:dyDescent="0.25">
      <c r="A62" s="284"/>
      <c r="B62" s="529" t="s">
        <v>612</v>
      </c>
      <c r="C62" s="523" t="s">
        <v>633</v>
      </c>
      <c r="D62" s="426" t="s">
        <v>625</v>
      </c>
      <c r="E62" s="426"/>
      <c r="F62" s="440">
        <v>4.8499999999999996</v>
      </c>
      <c r="G62" s="441" t="s">
        <v>701</v>
      </c>
      <c r="H62" s="428">
        <v>1</v>
      </c>
      <c r="I62" s="530">
        <f t="shared" si="0"/>
        <v>4.8499999999999996</v>
      </c>
      <c r="J62" s="285"/>
    </row>
    <row r="63" spans="1:10" ht="14.25" customHeight="1" x14ac:dyDescent="0.25">
      <c r="A63" s="284"/>
      <c r="B63" s="529" t="s">
        <v>612</v>
      </c>
      <c r="C63" s="523" t="s">
        <v>633</v>
      </c>
      <c r="D63" s="426" t="s">
        <v>626</v>
      </c>
      <c r="E63" s="426"/>
      <c r="F63" s="440">
        <v>18.87</v>
      </c>
      <c r="G63" s="441" t="s">
        <v>701</v>
      </c>
      <c r="H63" s="428">
        <v>1</v>
      </c>
      <c r="I63" s="530">
        <f t="shared" si="0"/>
        <v>18.87</v>
      </c>
      <c r="J63" s="285"/>
    </row>
    <row r="64" spans="1:10" ht="14.25" customHeight="1" x14ac:dyDescent="0.25">
      <c r="A64" s="284"/>
      <c r="B64" s="529" t="s">
        <v>612</v>
      </c>
      <c r="C64" s="523" t="s">
        <v>633</v>
      </c>
      <c r="D64" s="426" t="s">
        <v>627</v>
      </c>
      <c r="E64" s="426"/>
      <c r="F64" s="440">
        <v>4.8499999999999996</v>
      </c>
      <c r="G64" s="441" t="s">
        <v>701</v>
      </c>
      <c r="H64" s="428">
        <v>1</v>
      </c>
      <c r="I64" s="530">
        <f t="shared" si="0"/>
        <v>4.8499999999999996</v>
      </c>
      <c r="J64" s="285"/>
    </row>
    <row r="65" spans="1:10" ht="14.25" customHeight="1" x14ac:dyDescent="0.25">
      <c r="A65" s="284"/>
      <c r="B65" s="529" t="s">
        <v>612</v>
      </c>
      <c r="C65" s="523" t="s">
        <v>634</v>
      </c>
      <c r="D65" s="426" t="s">
        <v>614</v>
      </c>
      <c r="E65" s="426"/>
      <c r="F65" s="440">
        <v>27.02</v>
      </c>
      <c r="G65" s="441" t="s">
        <v>701</v>
      </c>
      <c r="H65" s="428">
        <v>1</v>
      </c>
      <c r="I65" s="530">
        <f t="shared" si="0"/>
        <v>27.02</v>
      </c>
      <c r="J65" s="285"/>
    </row>
    <row r="66" spans="1:10" ht="14.25" customHeight="1" x14ac:dyDescent="0.25">
      <c r="A66" s="284"/>
      <c r="B66" s="529" t="s">
        <v>612</v>
      </c>
      <c r="C66" s="523" t="s">
        <v>634</v>
      </c>
      <c r="D66" s="426" t="s">
        <v>615</v>
      </c>
      <c r="E66" s="426"/>
      <c r="F66" s="440">
        <v>37.68</v>
      </c>
      <c r="G66" s="441" t="s">
        <v>701</v>
      </c>
      <c r="H66" s="428">
        <v>1</v>
      </c>
      <c r="I66" s="530">
        <f t="shared" si="0"/>
        <v>37.68</v>
      </c>
      <c r="J66" s="285"/>
    </row>
    <row r="67" spans="1:10" ht="14.25" customHeight="1" x14ac:dyDescent="0.25">
      <c r="A67" s="284"/>
      <c r="B67" s="529" t="s">
        <v>612</v>
      </c>
      <c r="C67" s="523" t="s">
        <v>634</v>
      </c>
      <c r="D67" s="426" t="s">
        <v>616</v>
      </c>
      <c r="E67" s="426"/>
      <c r="F67" s="440">
        <v>3.77</v>
      </c>
      <c r="G67" s="441" t="s">
        <v>701</v>
      </c>
      <c r="H67" s="428">
        <v>1</v>
      </c>
      <c r="I67" s="530">
        <f t="shared" si="0"/>
        <v>3.77</v>
      </c>
      <c r="J67" s="285"/>
    </row>
    <row r="68" spans="1:10" ht="14.25" customHeight="1" x14ac:dyDescent="0.25">
      <c r="A68" s="284"/>
      <c r="B68" s="529" t="s">
        <v>612</v>
      </c>
      <c r="C68" s="523" t="s">
        <v>634</v>
      </c>
      <c r="D68" s="426" t="s">
        <v>618</v>
      </c>
      <c r="E68" s="426"/>
      <c r="F68" s="440">
        <v>32.299999999999997</v>
      </c>
      <c r="G68" s="441"/>
      <c r="H68" s="428">
        <v>1</v>
      </c>
      <c r="I68" s="530">
        <f t="shared" si="0"/>
        <v>32.299999999999997</v>
      </c>
      <c r="J68" s="285"/>
    </row>
    <row r="69" spans="1:10" ht="14.25" customHeight="1" x14ac:dyDescent="0.25">
      <c r="A69" s="284"/>
      <c r="B69" s="529" t="s">
        <v>612</v>
      </c>
      <c r="C69" s="523" t="s">
        <v>634</v>
      </c>
      <c r="D69" s="426" t="s">
        <v>689</v>
      </c>
      <c r="E69" s="426"/>
      <c r="F69" s="440">
        <v>23.17</v>
      </c>
      <c r="G69" s="441" t="s">
        <v>701</v>
      </c>
      <c r="H69" s="428">
        <v>1</v>
      </c>
      <c r="I69" s="530">
        <f t="shared" si="0"/>
        <v>23.17</v>
      </c>
      <c r="J69" s="285"/>
    </row>
    <row r="70" spans="1:10" ht="14.25" customHeight="1" x14ac:dyDescent="0.25">
      <c r="A70" s="284"/>
      <c r="B70" s="529" t="s">
        <v>612</v>
      </c>
      <c r="C70" s="523" t="s">
        <v>634</v>
      </c>
      <c r="D70" s="426" t="s">
        <v>619</v>
      </c>
      <c r="E70" s="426"/>
      <c r="F70" s="440">
        <v>15.19</v>
      </c>
      <c r="G70" s="441" t="s">
        <v>701</v>
      </c>
      <c r="H70" s="428">
        <v>1</v>
      </c>
      <c r="I70" s="530">
        <f t="shared" si="0"/>
        <v>15.19</v>
      </c>
      <c r="J70" s="285"/>
    </row>
    <row r="71" spans="1:10" ht="14.25" customHeight="1" x14ac:dyDescent="0.25">
      <c r="A71" s="284"/>
      <c r="B71" s="529" t="s">
        <v>612</v>
      </c>
      <c r="C71" s="523" t="s">
        <v>634</v>
      </c>
      <c r="D71" s="426" t="s">
        <v>620</v>
      </c>
      <c r="E71" s="426"/>
      <c r="F71" s="440">
        <v>9.49</v>
      </c>
      <c r="G71" s="441" t="s">
        <v>701</v>
      </c>
      <c r="H71" s="428">
        <v>1</v>
      </c>
      <c r="I71" s="530">
        <f t="shared" si="0"/>
        <v>9.49</v>
      </c>
      <c r="J71" s="285"/>
    </row>
    <row r="72" spans="1:10" ht="14.25" customHeight="1" x14ac:dyDescent="0.25">
      <c r="A72" s="284"/>
      <c r="B72" s="529" t="s">
        <v>612</v>
      </c>
      <c r="C72" s="523" t="s">
        <v>634</v>
      </c>
      <c r="D72" s="426" t="s">
        <v>640</v>
      </c>
      <c r="E72" s="426"/>
      <c r="F72" s="440">
        <v>6.96</v>
      </c>
      <c r="G72" s="441" t="s">
        <v>701</v>
      </c>
      <c r="H72" s="428">
        <v>1</v>
      </c>
      <c r="I72" s="530">
        <f t="shared" si="0"/>
        <v>6.96</v>
      </c>
      <c r="J72" s="285"/>
    </row>
    <row r="73" spans="1:10" ht="14.25" customHeight="1" x14ac:dyDescent="0.25">
      <c r="A73" s="284"/>
      <c r="B73" s="529" t="s">
        <v>612</v>
      </c>
      <c r="C73" s="523" t="s">
        <v>634</v>
      </c>
      <c r="D73" s="426" t="s">
        <v>621</v>
      </c>
      <c r="E73" s="426"/>
      <c r="F73" s="440">
        <v>4.09</v>
      </c>
      <c r="G73" s="441" t="s">
        <v>701</v>
      </c>
      <c r="H73" s="428">
        <v>1</v>
      </c>
      <c r="I73" s="530">
        <f t="shared" si="0"/>
        <v>4.09</v>
      </c>
      <c r="J73" s="285"/>
    </row>
    <row r="74" spans="1:10" ht="14.25" customHeight="1" x14ac:dyDescent="0.25">
      <c r="A74" s="284"/>
      <c r="B74" s="529" t="s">
        <v>612</v>
      </c>
      <c r="C74" s="523" t="s">
        <v>634</v>
      </c>
      <c r="D74" s="426" t="s">
        <v>617</v>
      </c>
      <c r="E74" s="426"/>
      <c r="F74" s="440">
        <v>14.99</v>
      </c>
      <c r="G74" s="441" t="s">
        <v>701</v>
      </c>
      <c r="H74" s="428">
        <v>1</v>
      </c>
      <c r="I74" s="530">
        <f t="shared" si="0"/>
        <v>14.99</v>
      </c>
      <c r="J74" s="285"/>
    </row>
    <row r="75" spans="1:10" ht="14.25" customHeight="1" x14ac:dyDescent="0.25">
      <c r="A75" s="284"/>
      <c r="B75" s="529" t="s">
        <v>612</v>
      </c>
      <c r="C75" s="523" t="s">
        <v>634</v>
      </c>
      <c r="D75" s="426" t="s">
        <v>622</v>
      </c>
      <c r="E75" s="426"/>
      <c r="F75" s="440">
        <v>28.46</v>
      </c>
      <c r="G75" s="441" t="s">
        <v>701</v>
      </c>
      <c r="H75" s="428">
        <v>1</v>
      </c>
      <c r="I75" s="530">
        <f t="shared" si="0"/>
        <v>28.46</v>
      </c>
      <c r="J75" s="285"/>
    </row>
    <row r="76" spans="1:10" ht="14.25" customHeight="1" x14ac:dyDescent="0.25">
      <c r="A76" s="284"/>
      <c r="B76" s="529" t="s">
        <v>612</v>
      </c>
      <c r="C76" s="523" t="s">
        <v>634</v>
      </c>
      <c r="D76" s="426" t="s">
        <v>623</v>
      </c>
      <c r="E76" s="426"/>
      <c r="F76" s="440">
        <v>7.06</v>
      </c>
      <c r="G76" s="441" t="s">
        <v>701</v>
      </c>
      <c r="H76" s="428">
        <v>1</v>
      </c>
      <c r="I76" s="530">
        <f t="shared" ref="I76:I139" si="1">F76*H76</f>
        <v>7.06</v>
      </c>
      <c r="J76" s="285"/>
    </row>
    <row r="77" spans="1:10" ht="14.25" customHeight="1" x14ac:dyDescent="0.25">
      <c r="A77" s="284"/>
      <c r="B77" s="529" t="s">
        <v>612</v>
      </c>
      <c r="C77" s="523" t="s">
        <v>634</v>
      </c>
      <c r="D77" s="426" t="s">
        <v>630</v>
      </c>
      <c r="E77" s="426"/>
      <c r="F77" s="440">
        <v>18.87</v>
      </c>
      <c r="G77" s="441" t="s">
        <v>701</v>
      </c>
      <c r="H77" s="428">
        <v>1</v>
      </c>
      <c r="I77" s="530">
        <f t="shared" si="1"/>
        <v>18.87</v>
      </c>
      <c r="J77" s="285"/>
    </row>
    <row r="78" spans="1:10" ht="14.25" customHeight="1" x14ac:dyDescent="0.25">
      <c r="A78" s="284"/>
      <c r="B78" s="529" t="s">
        <v>612</v>
      </c>
      <c r="C78" s="523" t="s">
        <v>634</v>
      </c>
      <c r="D78" s="426" t="s">
        <v>631</v>
      </c>
      <c r="E78" s="426"/>
      <c r="F78" s="440">
        <v>4.8499999999999996</v>
      </c>
      <c r="G78" s="441" t="s">
        <v>701</v>
      </c>
      <c r="H78" s="428">
        <v>1</v>
      </c>
      <c r="I78" s="530">
        <f t="shared" si="1"/>
        <v>4.8499999999999996</v>
      </c>
      <c r="J78" s="285"/>
    </row>
    <row r="79" spans="1:10" ht="14.25" customHeight="1" x14ac:dyDescent="0.25">
      <c r="A79" s="284"/>
      <c r="B79" s="529" t="s">
        <v>612</v>
      </c>
      <c r="C79" s="523" t="s">
        <v>634</v>
      </c>
      <c r="D79" s="426" t="s">
        <v>624</v>
      </c>
      <c r="E79" s="426"/>
      <c r="F79" s="440">
        <v>18.850000000000001</v>
      </c>
      <c r="G79" s="441" t="s">
        <v>701</v>
      </c>
      <c r="H79" s="428">
        <v>1</v>
      </c>
      <c r="I79" s="530">
        <f t="shared" si="1"/>
        <v>18.850000000000001</v>
      </c>
      <c r="J79" s="285"/>
    </row>
    <row r="80" spans="1:10" ht="14.25" customHeight="1" x14ac:dyDescent="0.25">
      <c r="A80" s="284"/>
      <c r="B80" s="529" t="s">
        <v>612</v>
      </c>
      <c r="C80" s="523" t="s">
        <v>634</v>
      </c>
      <c r="D80" s="426" t="s">
        <v>625</v>
      </c>
      <c r="E80" s="426"/>
      <c r="F80" s="440">
        <v>4.8499999999999996</v>
      </c>
      <c r="G80" s="441" t="s">
        <v>701</v>
      </c>
      <c r="H80" s="428">
        <v>1</v>
      </c>
      <c r="I80" s="530">
        <f t="shared" si="1"/>
        <v>4.8499999999999996</v>
      </c>
      <c r="J80" s="285"/>
    </row>
    <row r="81" spans="1:10" ht="14.25" customHeight="1" x14ac:dyDescent="0.25">
      <c r="A81" s="284"/>
      <c r="B81" s="529" t="s">
        <v>612</v>
      </c>
      <c r="C81" s="523" t="s">
        <v>634</v>
      </c>
      <c r="D81" s="426" t="s">
        <v>626</v>
      </c>
      <c r="E81" s="426"/>
      <c r="F81" s="440">
        <v>18.850000000000001</v>
      </c>
      <c r="G81" s="441" t="s">
        <v>701</v>
      </c>
      <c r="H81" s="428">
        <v>1</v>
      </c>
      <c r="I81" s="530">
        <f t="shared" si="1"/>
        <v>18.850000000000001</v>
      </c>
      <c r="J81" s="285"/>
    </row>
    <row r="82" spans="1:10" ht="14.25" customHeight="1" x14ac:dyDescent="0.25">
      <c r="A82" s="284"/>
      <c r="B82" s="529" t="s">
        <v>612</v>
      </c>
      <c r="C82" s="523" t="s">
        <v>634</v>
      </c>
      <c r="D82" s="426" t="s">
        <v>627</v>
      </c>
      <c r="E82" s="426"/>
      <c r="F82" s="440">
        <v>4.8499999999999996</v>
      </c>
      <c r="G82" s="441" t="s">
        <v>701</v>
      </c>
      <c r="H82" s="428">
        <v>1</v>
      </c>
      <c r="I82" s="530">
        <f t="shared" si="1"/>
        <v>4.8499999999999996</v>
      </c>
      <c r="J82" s="285"/>
    </row>
    <row r="83" spans="1:10" ht="14.25" customHeight="1" x14ac:dyDescent="0.25">
      <c r="A83" s="284"/>
      <c r="B83" s="529" t="s">
        <v>612</v>
      </c>
      <c r="C83" s="523" t="s">
        <v>635</v>
      </c>
      <c r="D83" s="426" t="s">
        <v>611</v>
      </c>
      <c r="E83" s="426"/>
      <c r="F83" s="440">
        <v>1083.6099999999999</v>
      </c>
      <c r="G83" s="441"/>
      <c r="H83" s="428">
        <v>1</v>
      </c>
      <c r="I83" s="530">
        <f t="shared" si="1"/>
        <v>1083.6099999999999</v>
      </c>
      <c r="J83" s="285"/>
    </row>
    <row r="84" spans="1:10" ht="14.25" customHeight="1" x14ac:dyDescent="0.25">
      <c r="A84" s="284"/>
      <c r="B84" s="529" t="s">
        <v>612</v>
      </c>
      <c r="C84" s="523" t="s">
        <v>635</v>
      </c>
      <c r="D84" s="426" t="s">
        <v>637</v>
      </c>
      <c r="E84" s="426"/>
      <c r="F84" s="440">
        <v>26.49</v>
      </c>
      <c r="G84" s="441"/>
      <c r="H84" s="428">
        <v>1</v>
      </c>
      <c r="I84" s="530">
        <f t="shared" si="1"/>
        <v>26.49</v>
      </c>
      <c r="J84" s="285"/>
    </row>
    <row r="85" spans="1:10" ht="14.25" customHeight="1" x14ac:dyDescent="0.25">
      <c r="A85" s="284"/>
      <c r="B85" s="529" t="s">
        <v>612</v>
      </c>
      <c r="C85" s="523" t="s">
        <v>635</v>
      </c>
      <c r="D85" s="426" t="s">
        <v>638</v>
      </c>
      <c r="E85" s="426"/>
      <c r="F85" s="440">
        <v>8.01</v>
      </c>
      <c r="G85" s="441"/>
      <c r="H85" s="428">
        <v>1</v>
      </c>
      <c r="I85" s="530">
        <f t="shared" si="1"/>
        <v>8.01</v>
      </c>
      <c r="J85" s="285"/>
    </row>
    <row r="86" spans="1:10" ht="14.25" customHeight="1" x14ac:dyDescent="0.25">
      <c r="A86" s="284"/>
      <c r="B86" s="529" t="s">
        <v>612</v>
      </c>
      <c r="C86" s="523" t="s">
        <v>635</v>
      </c>
      <c r="D86" s="426" t="s">
        <v>610</v>
      </c>
      <c r="E86" s="426"/>
      <c r="F86" s="440">
        <v>34.340000000000003</v>
      </c>
      <c r="G86" s="441" t="s">
        <v>701</v>
      </c>
      <c r="H86" s="428">
        <v>1</v>
      </c>
      <c r="I86" s="530">
        <f t="shared" si="1"/>
        <v>34.340000000000003</v>
      </c>
      <c r="J86" s="285"/>
    </row>
    <row r="87" spans="1:10" ht="14.25" customHeight="1" x14ac:dyDescent="0.25">
      <c r="A87" s="284"/>
      <c r="B87" s="529" t="s">
        <v>612</v>
      </c>
      <c r="C87" s="523" t="s">
        <v>635</v>
      </c>
      <c r="D87" s="426" t="s">
        <v>689</v>
      </c>
      <c r="E87" s="426"/>
      <c r="F87" s="440">
        <v>65.86</v>
      </c>
      <c r="G87" s="441"/>
      <c r="H87" s="428">
        <v>1</v>
      </c>
      <c r="I87" s="530">
        <f t="shared" si="1"/>
        <v>65.86</v>
      </c>
      <c r="J87" s="285"/>
    </row>
    <row r="88" spans="1:10" ht="14.25" customHeight="1" x14ac:dyDescent="0.25">
      <c r="A88" s="284"/>
      <c r="B88" s="529" t="s">
        <v>612</v>
      </c>
      <c r="C88" s="523" t="s">
        <v>635</v>
      </c>
      <c r="D88" s="426" t="s">
        <v>609</v>
      </c>
      <c r="E88" s="426"/>
      <c r="F88" s="440">
        <v>8.99</v>
      </c>
      <c r="G88" s="441"/>
      <c r="H88" s="428">
        <v>1</v>
      </c>
      <c r="I88" s="530">
        <f t="shared" si="1"/>
        <v>8.99</v>
      </c>
      <c r="J88" s="285"/>
    </row>
    <row r="89" spans="1:10" ht="14.25" customHeight="1" x14ac:dyDescent="0.25">
      <c r="A89" s="284"/>
      <c r="B89" s="529" t="s">
        <v>612</v>
      </c>
      <c r="C89" s="523" t="s">
        <v>635</v>
      </c>
      <c r="D89" s="426" t="s">
        <v>636</v>
      </c>
      <c r="E89" s="426"/>
      <c r="F89" s="440">
        <v>24.93</v>
      </c>
      <c r="G89" s="441" t="s">
        <v>701</v>
      </c>
      <c r="H89" s="428">
        <v>1</v>
      </c>
      <c r="I89" s="530">
        <f t="shared" si="1"/>
        <v>24.93</v>
      </c>
      <c r="J89" s="285"/>
    </row>
    <row r="90" spans="1:10" ht="14.25" customHeight="1" x14ac:dyDescent="0.25">
      <c r="A90" s="284"/>
      <c r="B90" s="529" t="s">
        <v>612</v>
      </c>
      <c r="C90" s="523" t="s">
        <v>613</v>
      </c>
      <c r="D90" s="426" t="s">
        <v>614</v>
      </c>
      <c r="E90" s="426"/>
      <c r="F90" s="440">
        <v>24.98</v>
      </c>
      <c r="G90" s="441" t="s">
        <v>701</v>
      </c>
      <c r="H90" s="428">
        <v>1</v>
      </c>
      <c r="I90" s="530">
        <f t="shared" si="1"/>
        <v>24.98</v>
      </c>
      <c r="J90" s="285"/>
    </row>
    <row r="91" spans="1:10" ht="14.25" customHeight="1" x14ac:dyDescent="0.25">
      <c r="A91" s="284"/>
      <c r="B91" s="529" t="s">
        <v>612</v>
      </c>
      <c r="C91" s="523" t="s">
        <v>613</v>
      </c>
      <c r="D91" s="426" t="s">
        <v>615</v>
      </c>
      <c r="E91" s="426"/>
      <c r="F91" s="440">
        <v>25.92</v>
      </c>
      <c r="G91" s="441" t="s">
        <v>701</v>
      </c>
      <c r="H91" s="428">
        <v>1</v>
      </c>
      <c r="I91" s="530">
        <f t="shared" si="1"/>
        <v>25.92</v>
      </c>
      <c r="J91" s="285"/>
    </row>
    <row r="92" spans="1:10" ht="14.25" customHeight="1" x14ac:dyDescent="0.25">
      <c r="A92" s="284"/>
      <c r="B92" s="529" t="s">
        <v>612</v>
      </c>
      <c r="C92" s="523" t="s">
        <v>613</v>
      </c>
      <c r="D92" s="426" t="s">
        <v>616</v>
      </c>
      <c r="E92" s="426"/>
      <c r="F92" s="440">
        <v>2.86</v>
      </c>
      <c r="G92" s="441" t="s">
        <v>701</v>
      </c>
      <c r="H92" s="428">
        <v>1</v>
      </c>
      <c r="I92" s="530">
        <f t="shared" si="1"/>
        <v>2.86</v>
      </c>
      <c r="J92" s="285"/>
    </row>
    <row r="93" spans="1:10" ht="14.25" customHeight="1" x14ac:dyDescent="0.25">
      <c r="A93" s="284"/>
      <c r="B93" s="529" t="s">
        <v>612</v>
      </c>
      <c r="C93" s="523" t="s">
        <v>613</v>
      </c>
      <c r="D93" s="426" t="s">
        <v>618</v>
      </c>
      <c r="E93" s="426"/>
      <c r="F93" s="440">
        <v>29.26</v>
      </c>
      <c r="G93" s="441"/>
      <c r="H93" s="428">
        <v>1</v>
      </c>
      <c r="I93" s="530">
        <f t="shared" si="1"/>
        <v>29.26</v>
      </c>
      <c r="J93" s="285"/>
    </row>
    <row r="94" spans="1:10" ht="14.25" customHeight="1" x14ac:dyDescent="0.25">
      <c r="A94" s="284"/>
      <c r="B94" s="529" t="s">
        <v>612</v>
      </c>
      <c r="C94" s="523" t="s">
        <v>613</v>
      </c>
      <c r="D94" s="426" t="s">
        <v>689</v>
      </c>
      <c r="E94" s="426"/>
      <c r="F94" s="440">
        <v>22.93</v>
      </c>
      <c r="G94" s="441" t="s">
        <v>701</v>
      </c>
      <c r="H94" s="428">
        <v>1</v>
      </c>
      <c r="I94" s="530">
        <f t="shared" si="1"/>
        <v>22.93</v>
      </c>
      <c r="J94" s="285"/>
    </row>
    <row r="95" spans="1:10" ht="14.25" customHeight="1" x14ac:dyDescent="0.25">
      <c r="A95" s="284"/>
      <c r="B95" s="529" t="s">
        <v>612</v>
      </c>
      <c r="C95" s="523" t="s">
        <v>613</v>
      </c>
      <c r="D95" s="426" t="s">
        <v>619</v>
      </c>
      <c r="E95" s="426"/>
      <c r="F95" s="440">
        <v>16.3</v>
      </c>
      <c r="G95" s="441" t="s">
        <v>701</v>
      </c>
      <c r="H95" s="428">
        <v>1</v>
      </c>
      <c r="I95" s="530">
        <f t="shared" si="1"/>
        <v>16.3</v>
      </c>
      <c r="J95" s="285"/>
    </row>
    <row r="96" spans="1:10" ht="14.25" customHeight="1" x14ac:dyDescent="0.25">
      <c r="A96" s="284"/>
      <c r="B96" s="529" t="s">
        <v>612</v>
      </c>
      <c r="C96" s="523" t="s">
        <v>613</v>
      </c>
      <c r="D96" s="426" t="s">
        <v>620</v>
      </c>
      <c r="E96" s="426"/>
      <c r="F96" s="440">
        <v>4.3099999999999996</v>
      </c>
      <c r="G96" s="441" t="s">
        <v>701</v>
      </c>
      <c r="H96" s="428">
        <v>1</v>
      </c>
      <c r="I96" s="530">
        <f t="shared" si="1"/>
        <v>4.3099999999999996</v>
      </c>
      <c r="J96" s="285"/>
    </row>
    <row r="97" spans="1:10" ht="14.25" customHeight="1" x14ac:dyDescent="0.25">
      <c r="A97" s="284"/>
      <c r="B97" s="529" t="s">
        <v>612</v>
      </c>
      <c r="C97" s="523" t="s">
        <v>613</v>
      </c>
      <c r="D97" s="426" t="s">
        <v>621</v>
      </c>
      <c r="E97" s="426"/>
      <c r="F97" s="440">
        <v>5.28</v>
      </c>
      <c r="G97" s="441" t="s">
        <v>701</v>
      </c>
      <c r="H97" s="428">
        <v>1</v>
      </c>
      <c r="I97" s="530">
        <f t="shared" si="1"/>
        <v>5.28</v>
      </c>
      <c r="J97" s="285"/>
    </row>
    <row r="98" spans="1:10" ht="14.25" customHeight="1" x14ac:dyDescent="0.25">
      <c r="A98" s="284"/>
      <c r="B98" s="529" t="s">
        <v>612</v>
      </c>
      <c r="C98" s="523" t="s">
        <v>613</v>
      </c>
      <c r="D98" s="426" t="s">
        <v>617</v>
      </c>
      <c r="E98" s="426"/>
      <c r="F98" s="440">
        <v>10.66</v>
      </c>
      <c r="G98" s="441" t="s">
        <v>701</v>
      </c>
      <c r="H98" s="428">
        <v>1</v>
      </c>
      <c r="I98" s="530">
        <f t="shared" si="1"/>
        <v>10.66</v>
      </c>
      <c r="J98" s="285"/>
    </row>
    <row r="99" spans="1:10" ht="14.25" customHeight="1" x14ac:dyDescent="0.25">
      <c r="A99" s="284"/>
      <c r="B99" s="529" t="s">
        <v>612</v>
      </c>
      <c r="C99" s="523" t="s">
        <v>613</v>
      </c>
      <c r="D99" s="426" t="s">
        <v>622</v>
      </c>
      <c r="E99" s="426"/>
      <c r="F99" s="440">
        <v>19.489999999999998</v>
      </c>
      <c r="G99" s="441" t="s">
        <v>701</v>
      </c>
      <c r="H99" s="428">
        <v>1</v>
      </c>
      <c r="I99" s="530">
        <f t="shared" si="1"/>
        <v>19.489999999999998</v>
      </c>
      <c r="J99" s="285"/>
    </row>
    <row r="100" spans="1:10" ht="14.25" customHeight="1" x14ac:dyDescent="0.25">
      <c r="A100" s="284"/>
      <c r="B100" s="529" t="s">
        <v>612</v>
      </c>
      <c r="C100" s="523" t="s">
        <v>613</v>
      </c>
      <c r="D100" s="426" t="s">
        <v>623</v>
      </c>
      <c r="E100" s="426"/>
      <c r="F100" s="440">
        <v>7.37</v>
      </c>
      <c r="G100" s="441" t="s">
        <v>701</v>
      </c>
      <c r="H100" s="428">
        <v>1</v>
      </c>
      <c r="I100" s="530">
        <f t="shared" si="1"/>
        <v>7.37</v>
      </c>
      <c r="J100" s="285"/>
    </row>
    <row r="101" spans="1:10" ht="14.25" customHeight="1" x14ac:dyDescent="0.25">
      <c r="A101" s="284"/>
      <c r="B101" s="529" t="s">
        <v>612</v>
      </c>
      <c r="C101" s="523" t="s">
        <v>613</v>
      </c>
      <c r="D101" s="426" t="s">
        <v>624</v>
      </c>
      <c r="E101" s="426"/>
      <c r="F101" s="440">
        <v>18.7</v>
      </c>
      <c r="G101" s="441" t="s">
        <v>701</v>
      </c>
      <c r="H101" s="428">
        <v>1</v>
      </c>
      <c r="I101" s="530">
        <f t="shared" si="1"/>
        <v>18.7</v>
      </c>
      <c r="J101" s="285"/>
    </row>
    <row r="102" spans="1:10" ht="14.25" customHeight="1" x14ac:dyDescent="0.25">
      <c r="A102" s="284"/>
      <c r="B102" s="529" t="s">
        <v>612</v>
      </c>
      <c r="C102" s="523" t="s">
        <v>613</v>
      </c>
      <c r="D102" s="426" t="s">
        <v>625</v>
      </c>
      <c r="E102" s="426"/>
      <c r="F102" s="440">
        <v>4.76</v>
      </c>
      <c r="G102" s="441" t="s">
        <v>701</v>
      </c>
      <c r="H102" s="428">
        <v>1</v>
      </c>
      <c r="I102" s="530">
        <f t="shared" si="1"/>
        <v>4.76</v>
      </c>
      <c r="J102" s="285"/>
    </row>
    <row r="103" spans="1:10" ht="14.25" customHeight="1" x14ac:dyDescent="0.25">
      <c r="A103" s="284"/>
      <c r="B103" s="529" t="s">
        <v>612</v>
      </c>
      <c r="C103" s="523" t="s">
        <v>613</v>
      </c>
      <c r="D103" s="426" t="s">
        <v>626</v>
      </c>
      <c r="E103" s="426"/>
      <c r="F103" s="440">
        <v>18.71</v>
      </c>
      <c r="G103" s="441" t="s">
        <v>701</v>
      </c>
      <c r="H103" s="428">
        <v>1</v>
      </c>
      <c r="I103" s="530">
        <f t="shared" si="1"/>
        <v>18.71</v>
      </c>
      <c r="J103" s="285"/>
    </row>
    <row r="104" spans="1:10" ht="14.25" customHeight="1" x14ac:dyDescent="0.25">
      <c r="A104" s="284"/>
      <c r="B104" s="529" t="s">
        <v>612</v>
      </c>
      <c r="C104" s="523" t="s">
        <v>613</v>
      </c>
      <c r="D104" s="426" t="s">
        <v>627</v>
      </c>
      <c r="E104" s="426"/>
      <c r="F104" s="440">
        <v>4.78</v>
      </c>
      <c r="G104" s="441" t="s">
        <v>701</v>
      </c>
      <c r="H104" s="428">
        <v>1</v>
      </c>
      <c r="I104" s="530">
        <f t="shared" si="1"/>
        <v>4.78</v>
      </c>
      <c r="J104" s="285"/>
    </row>
    <row r="105" spans="1:10" ht="14.25" customHeight="1" x14ac:dyDescent="0.25">
      <c r="A105" s="284"/>
      <c r="B105" s="529" t="s">
        <v>612</v>
      </c>
      <c r="C105" s="523" t="s">
        <v>634</v>
      </c>
      <c r="D105" s="426" t="s">
        <v>614</v>
      </c>
      <c r="E105" s="426"/>
      <c r="F105" s="440">
        <v>21.3</v>
      </c>
      <c r="G105" s="441" t="s">
        <v>701</v>
      </c>
      <c r="H105" s="428">
        <v>1</v>
      </c>
      <c r="I105" s="530">
        <f t="shared" si="1"/>
        <v>21.3</v>
      </c>
      <c r="J105" s="285"/>
    </row>
    <row r="106" spans="1:10" ht="14.25" customHeight="1" x14ac:dyDescent="0.25">
      <c r="A106" s="284"/>
      <c r="B106" s="529" t="s">
        <v>612</v>
      </c>
      <c r="C106" s="523" t="s">
        <v>634</v>
      </c>
      <c r="D106" s="426" t="s">
        <v>615</v>
      </c>
      <c r="E106" s="426"/>
      <c r="F106" s="440">
        <v>24.95</v>
      </c>
      <c r="G106" s="441" t="s">
        <v>701</v>
      </c>
      <c r="H106" s="428">
        <v>1</v>
      </c>
      <c r="I106" s="530">
        <f t="shared" si="1"/>
        <v>24.95</v>
      </c>
      <c r="J106" s="285"/>
    </row>
    <row r="107" spans="1:10" ht="14.25" customHeight="1" x14ac:dyDescent="0.25">
      <c r="A107" s="284"/>
      <c r="B107" s="529" t="s">
        <v>612</v>
      </c>
      <c r="C107" s="523" t="s">
        <v>634</v>
      </c>
      <c r="D107" s="426" t="s">
        <v>616</v>
      </c>
      <c r="E107" s="426"/>
      <c r="F107" s="440">
        <v>3.5</v>
      </c>
      <c r="G107" s="441" t="s">
        <v>701</v>
      </c>
      <c r="H107" s="428">
        <v>1</v>
      </c>
      <c r="I107" s="530">
        <f t="shared" si="1"/>
        <v>3.5</v>
      </c>
      <c r="J107" s="285"/>
    </row>
    <row r="108" spans="1:10" ht="14.25" customHeight="1" x14ac:dyDescent="0.25">
      <c r="A108" s="284"/>
      <c r="B108" s="529" t="s">
        <v>612</v>
      </c>
      <c r="C108" s="523" t="s">
        <v>634</v>
      </c>
      <c r="D108" s="426" t="s">
        <v>618</v>
      </c>
      <c r="E108" s="426"/>
      <c r="F108" s="440">
        <v>37.4</v>
      </c>
      <c r="G108" s="441"/>
      <c r="H108" s="428">
        <v>1</v>
      </c>
      <c r="I108" s="530">
        <f t="shared" si="1"/>
        <v>37.4</v>
      </c>
      <c r="J108" s="285"/>
    </row>
    <row r="109" spans="1:10" ht="14.25" customHeight="1" x14ac:dyDescent="0.25">
      <c r="A109" s="284"/>
      <c r="B109" s="529" t="s">
        <v>612</v>
      </c>
      <c r="C109" s="523" t="s">
        <v>634</v>
      </c>
      <c r="D109" s="426" t="s">
        <v>689</v>
      </c>
      <c r="E109" s="426"/>
      <c r="F109" s="440">
        <v>19.48</v>
      </c>
      <c r="G109" s="441" t="s">
        <v>701</v>
      </c>
      <c r="H109" s="428">
        <v>1</v>
      </c>
      <c r="I109" s="530">
        <f t="shared" si="1"/>
        <v>19.48</v>
      </c>
      <c r="J109" s="285"/>
    </row>
    <row r="110" spans="1:10" ht="14.25" customHeight="1" x14ac:dyDescent="0.25">
      <c r="A110" s="284"/>
      <c r="B110" s="529" t="s">
        <v>612</v>
      </c>
      <c r="C110" s="523" t="s">
        <v>634</v>
      </c>
      <c r="D110" s="426" t="s">
        <v>619</v>
      </c>
      <c r="E110" s="426"/>
      <c r="F110" s="440">
        <v>13.44</v>
      </c>
      <c r="G110" s="441" t="s">
        <v>701</v>
      </c>
      <c r="H110" s="428">
        <v>1</v>
      </c>
      <c r="I110" s="530">
        <f t="shared" si="1"/>
        <v>13.44</v>
      </c>
      <c r="J110" s="285"/>
    </row>
    <row r="111" spans="1:10" ht="14.25" customHeight="1" x14ac:dyDescent="0.25">
      <c r="A111" s="284"/>
      <c r="B111" s="529" t="s">
        <v>612</v>
      </c>
      <c r="C111" s="523" t="s">
        <v>634</v>
      </c>
      <c r="D111" s="426" t="s">
        <v>620</v>
      </c>
      <c r="E111" s="426"/>
      <c r="F111" s="440">
        <v>9.19</v>
      </c>
      <c r="G111" s="441" t="s">
        <v>701</v>
      </c>
      <c r="H111" s="428">
        <v>1</v>
      </c>
      <c r="I111" s="530">
        <f t="shared" si="1"/>
        <v>9.19</v>
      </c>
      <c r="J111" s="285"/>
    </row>
    <row r="112" spans="1:10" ht="14.25" customHeight="1" x14ac:dyDescent="0.25">
      <c r="A112" s="284"/>
      <c r="B112" s="529" t="s">
        <v>612</v>
      </c>
      <c r="C112" s="523" t="s">
        <v>634</v>
      </c>
      <c r="D112" s="426" t="s">
        <v>639</v>
      </c>
      <c r="E112" s="426"/>
      <c r="F112" s="440">
        <v>3.08</v>
      </c>
      <c r="G112" s="441" t="s">
        <v>701</v>
      </c>
      <c r="H112" s="428">
        <v>1</v>
      </c>
      <c r="I112" s="530">
        <f t="shared" si="1"/>
        <v>3.08</v>
      </c>
      <c r="J112" s="285"/>
    </row>
    <row r="113" spans="1:10" ht="14.25" customHeight="1" x14ac:dyDescent="0.25">
      <c r="A113" s="284"/>
      <c r="B113" s="529" t="s">
        <v>612</v>
      </c>
      <c r="C113" s="523" t="s">
        <v>634</v>
      </c>
      <c r="D113" s="426" t="s">
        <v>640</v>
      </c>
      <c r="E113" s="426"/>
      <c r="F113" s="440">
        <v>8.4499999999999993</v>
      </c>
      <c r="G113" s="441" t="s">
        <v>701</v>
      </c>
      <c r="H113" s="428">
        <v>1</v>
      </c>
      <c r="I113" s="530">
        <f t="shared" si="1"/>
        <v>8.4499999999999993</v>
      </c>
      <c r="J113" s="285"/>
    </row>
    <row r="114" spans="1:10" ht="14.25" customHeight="1" x14ac:dyDescent="0.25">
      <c r="A114" s="284"/>
      <c r="B114" s="529" t="s">
        <v>612</v>
      </c>
      <c r="C114" s="523" t="s">
        <v>634</v>
      </c>
      <c r="D114" s="426" t="s">
        <v>617</v>
      </c>
      <c r="E114" s="426"/>
      <c r="F114" s="440">
        <v>18.690000000000001</v>
      </c>
      <c r="G114" s="441" t="s">
        <v>701</v>
      </c>
      <c r="H114" s="428">
        <v>1</v>
      </c>
      <c r="I114" s="530">
        <f t="shared" si="1"/>
        <v>18.690000000000001</v>
      </c>
      <c r="J114" s="285"/>
    </row>
    <row r="115" spans="1:10" ht="14.25" customHeight="1" x14ac:dyDescent="0.25">
      <c r="A115" s="284"/>
      <c r="B115" s="529" t="s">
        <v>612</v>
      </c>
      <c r="C115" s="523" t="s">
        <v>634</v>
      </c>
      <c r="D115" s="426" t="s">
        <v>626</v>
      </c>
      <c r="E115" s="426"/>
      <c r="F115" s="440">
        <v>15.83</v>
      </c>
      <c r="G115" s="441" t="s">
        <v>701</v>
      </c>
      <c r="H115" s="428">
        <v>1</v>
      </c>
      <c r="I115" s="530">
        <f t="shared" si="1"/>
        <v>15.83</v>
      </c>
      <c r="J115" s="285"/>
    </row>
    <row r="116" spans="1:10" ht="14.25" customHeight="1" x14ac:dyDescent="0.25">
      <c r="A116" s="284"/>
      <c r="B116" s="529" t="s">
        <v>612</v>
      </c>
      <c r="C116" s="523" t="s">
        <v>634</v>
      </c>
      <c r="D116" s="426" t="s">
        <v>627</v>
      </c>
      <c r="E116" s="426"/>
      <c r="F116" s="440">
        <v>4.3600000000000003</v>
      </c>
      <c r="G116" s="441" t="s">
        <v>701</v>
      </c>
      <c r="H116" s="428">
        <v>1</v>
      </c>
      <c r="I116" s="530">
        <f t="shared" si="1"/>
        <v>4.3600000000000003</v>
      </c>
      <c r="J116" s="285"/>
    </row>
    <row r="117" spans="1:10" ht="14.25" customHeight="1" x14ac:dyDescent="0.25">
      <c r="A117" s="284"/>
      <c r="B117" s="529" t="s">
        <v>641</v>
      </c>
      <c r="C117" s="523" t="s">
        <v>658</v>
      </c>
      <c r="D117" s="426" t="s">
        <v>614</v>
      </c>
      <c r="E117" s="426"/>
      <c r="F117" s="440">
        <v>23.82</v>
      </c>
      <c r="G117" s="441" t="s">
        <v>701</v>
      </c>
      <c r="H117" s="428">
        <v>1</v>
      </c>
      <c r="I117" s="530">
        <f t="shared" si="1"/>
        <v>23.82</v>
      </c>
      <c r="J117" s="285"/>
    </row>
    <row r="118" spans="1:10" ht="14.25" customHeight="1" x14ac:dyDescent="0.25">
      <c r="A118" s="284"/>
      <c r="B118" s="529" t="s">
        <v>641</v>
      </c>
      <c r="C118" s="523" t="s">
        <v>658</v>
      </c>
      <c r="D118" s="426" t="s">
        <v>615</v>
      </c>
      <c r="E118" s="426"/>
      <c r="F118" s="440">
        <v>27.05</v>
      </c>
      <c r="G118" s="441" t="s">
        <v>701</v>
      </c>
      <c r="H118" s="428">
        <v>1</v>
      </c>
      <c r="I118" s="530">
        <f t="shared" si="1"/>
        <v>27.05</v>
      </c>
      <c r="J118" s="285"/>
    </row>
    <row r="119" spans="1:10" ht="14.25" customHeight="1" x14ac:dyDescent="0.25">
      <c r="A119" s="284"/>
      <c r="B119" s="529" t="s">
        <v>641</v>
      </c>
      <c r="C119" s="523" t="s">
        <v>658</v>
      </c>
      <c r="D119" s="426" t="s">
        <v>616</v>
      </c>
      <c r="E119" s="426"/>
      <c r="F119" s="440">
        <v>3.6</v>
      </c>
      <c r="G119" s="441" t="s">
        <v>701</v>
      </c>
      <c r="H119" s="428">
        <v>1</v>
      </c>
      <c r="I119" s="530">
        <f t="shared" si="1"/>
        <v>3.6</v>
      </c>
      <c r="J119" s="285"/>
    </row>
    <row r="120" spans="1:10" ht="14.25" customHeight="1" x14ac:dyDescent="0.25">
      <c r="A120" s="284"/>
      <c r="B120" s="529" t="s">
        <v>641</v>
      </c>
      <c r="C120" s="523" t="s">
        <v>658</v>
      </c>
      <c r="D120" s="426" t="s">
        <v>618</v>
      </c>
      <c r="E120" s="426"/>
      <c r="F120" s="440">
        <v>32.74</v>
      </c>
      <c r="G120" s="441"/>
      <c r="H120" s="428">
        <v>1</v>
      </c>
      <c r="I120" s="530">
        <f t="shared" si="1"/>
        <v>32.74</v>
      </c>
      <c r="J120" s="285"/>
    </row>
    <row r="121" spans="1:10" ht="14.25" customHeight="1" x14ac:dyDescent="0.25">
      <c r="A121" s="284"/>
      <c r="B121" s="529" t="s">
        <v>641</v>
      </c>
      <c r="C121" s="523" t="s">
        <v>658</v>
      </c>
      <c r="D121" s="426" t="s">
        <v>689</v>
      </c>
      <c r="E121" s="426"/>
      <c r="F121" s="440">
        <v>22.74</v>
      </c>
      <c r="G121" s="441" t="s">
        <v>701</v>
      </c>
      <c r="H121" s="428">
        <v>1</v>
      </c>
      <c r="I121" s="530">
        <f t="shared" si="1"/>
        <v>22.74</v>
      </c>
      <c r="J121" s="285"/>
    </row>
    <row r="122" spans="1:10" ht="14.25" customHeight="1" x14ac:dyDescent="0.25">
      <c r="A122" s="284"/>
      <c r="B122" s="529" t="s">
        <v>641</v>
      </c>
      <c r="C122" s="523" t="s">
        <v>658</v>
      </c>
      <c r="D122" s="426" t="s">
        <v>619</v>
      </c>
      <c r="E122" s="426"/>
      <c r="F122" s="440">
        <v>11.27</v>
      </c>
      <c r="G122" s="441" t="s">
        <v>701</v>
      </c>
      <c r="H122" s="428">
        <v>1</v>
      </c>
      <c r="I122" s="530">
        <f t="shared" si="1"/>
        <v>11.27</v>
      </c>
      <c r="J122" s="285"/>
    </row>
    <row r="123" spans="1:10" ht="14.25" customHeight="1" x14ac:dyDescent="0.25">
      <c r="A123" s="284"/>
      <c r="B123" s="529" t="s">
        <v>641</v>
      </c>
      <c r="C123" s="523" t="s">
        <v>658</v>
      </c>
      <c r="D123" s="426" t="s">
        <v>620</v>
      </c>
      <c r="E123" s="426"/>
      <c r="F123" s="440">
        <v>6.91</v>
      </c>
      <c r="G123" s="441" t="s">
        <v>701</v>
      </c>
      <c r="H123" s="428">
        <v>1</v>
      </c>
      <c r="I123" s="530">
        <f t="shared" si="1"/>
        <v>6.91</v>
      </c>
      <c r="J123" s="285"/>
    </row>
    <row r="124" spans="1:10" ht="14.25" customHeight="1" x14ac:dyDescent="0.25">
      <c r="A124" s="284"/>
      <c r="B124" s="529" t="s">
        <v>641</v>
      </c>
      <c r="C124" s="523" t="s">
        <v>658</v>
      </c>
      <c r="D124" s="426" t="s">
        <v>621</v>
      </c>
      <c r="E124" s="426"/>
      <c r="F124" s="440">
        <v>7.74</v>
      </c>
      <c r="G124" s="441" t="s">
        <v>701</v>
      </c>
      <c r="H124" s="428">
        <v>1</v>
      </c>
      <c r="I124" s="530">
        <f t="shared" si="1"/>
        <v>7.74</v>
      </c>
      <c r="J124" s="285"/>
    </row>
    <row r="125" spans="1:10" ht="14.25" customHeight="1" x14ac:dyDescent="0.25">
      <c r="A125" s="284"/>
      <c r="B125" s="529" t="s">
        <v>641</v>
      </c>
      <c r="C125" s="523" t="s">
        <v>658</v>
      </c>
      <c r="D125" s="426" t="s">
        <v>617</v>
      </c>
      <c r="E125" s="426"/>
      <c r="F125" s="440">
        <v>10.34</v>
      </c>
      <c r="G125" s="441" t="s">
        <v>701</v>
      </c>
      <c r="H125" s="428">
        <v>1</v>
      </c>
      <c r="I125" s="530">
        <f t="shared" si="1"/>
        <v>10.34</v>
      </c>
      <c r="J125" s="285"/>
    </row>
    <row r="126" spans="1:10" ht="14.25" customHeight="1" x14ac:dyDescent="0.25">
      <c r="A126" s="284"/>
      <c r="B126" s="529" t="s">
        <v>641</v>
      </c>
      <c r="C126" s="523" t="s">
        <v>658</v>
      </c>
      <c r="D126" s="426" t="s">
        <v>622</v>
      </c>
      <c r="E126" s="426"/>
      <c r="F126" s="440">
        <v>27.56</v>
      </c>
      <c r="G126" s="441" t="s">
        <v>701</v>
      </c>
      <c r="H126" s="428">
        <v>1</v>
      </c>
      <c r="I126" s="530">
        <f t="shared" si="1"/>
        <v>27.56</v>
      </c>
      <c r="J126" s="285"/>
    </row>
    <row r="127" spans="1:10" ht="14.25" customHeight="1" x14ac:dyDescent="0.25">
      <c r="A127" s="284"/>
      <c r="B127" s="529" t="s">
        <v>641</v>
      </c>
      <c r="C127" s="523" t="s">
        <v>658</v>
      </c>
      <c r="D127" s="426" t="s">
        <v>623</v>
      </c>
      <c r="E127" s="426"/>
      <c r="F127" s="440">
        <v>7.74</v>
      </c>
      <c r="G127" s="441" t="s">
        <v>701</v>
      </c>
      <c r="H127" s="428">
        <v>1</v>
      </c>
      <c r="I127" s="530">
        <f t="shared" si="1"/>
        <v>7.74</v>
      </c>
      <c r="J127" s="285"/>
    </row>
    <row r="128" spans="1:10" ht="14.25" customHeight="1" x14ac:dyDescent="0.25">
      <c r="A128" s="284"/>
      <c r="B128" s="529" t="s">
        <v>641</v>
      </c>
      <c r="C128" s="523" t="s">
        <v>658</v>
      </c>
      <c r="D128" s="426" t="s">
        <v>624</v>
      </c>
      <c r="E128" s="426"/>
      <c r="F128" s="440">
        <v>19.21</v>
      </c>
      <c r="G128" s="441" t="s">
        <v>701</v>
      </c>
      <c r="H128" s="428">
        <v>1</v>
      </c>
      <c r="I128" s="530">
        <f t="shared" si="1"/>
        <v>19.21</v>
      </c>
      <c r="J128" s="285"/>
    </row>
    <row r="129" spans="1:10" ht="14.25" customHeight="1" x14ac:dyDescent="0.25">
      <c r="A129" s="284"/>
      <c r="B129" s="529" t="s">
        <v>641</v>
      </c>
      <c r="C129" s="523" t="s">
        <v>658</v>
      </c>
      <c r="D129" s="426" t="s">
        <v>625</v>
      </c>
      <c r="E129" s="426"/>
      <c r="F129" s="440">
        <v>4.8600000000000003</v>
      </c>
      <c r="G129" s="441" t="s">
        <v>701</v>
      </c>
      <c r="H129" s="428">
        <v>1</v>
      </c>
      <c r="I129" s="530">
        <f t="shared" si="1"/>
        <v>4.8600000000000003</v>
      </c>
      <c r="J129" s="285"/>
    </row>
    <row r="130" spans="1:10" ht="14.25" customHeight="1" x14ac:dyDescent="0.25">
      <c r="A130" s="284"/>
      <c r="B130" s="529" t="s">
        <v>641</v>
      </c>
      <c r="C130" s="523" t="s">
        <v>658</v>
      </c>
      <c r="D130" s="426" t="s">
        <v>626</v>
      </c>
      <c r="E130" s="426"/>
      <c r="F130" s="440">
        <v>19.21</v>
      </c>
      <c r="G130" s="441" t="s">
        <v>701</v>
      </c>
      <c r="H130" s="428">
        <v>1</v>
      </c>
      <c r="I130" s="530">
        <f t="shared" si="1"/>
        <v>19.21</v>
      </c>
      <c r="J130" s="285"/>
    </row>
    <row r="131" spans="1:10" ht="14.25" customHeight="1" x14ac:dyDescent="0.25">
      <c r="A131" s="284"/>
      <c r="B131" s="529" t="s">
        <v>641</v>
      </c>
      <c r="C131" s="523" t="s">
        <v>658</v>
      </c>
      <c r="D131" s="426" t="s">
        <v>627</v>
      </c>
      <c r="E131" s="426"/>
      <c r="F131" s="440">
        <v>4.8600000000000003</v>
      </c>
      <c r="G131" s="441" t="s">
        <v>701</v>
      </c>
      <c r="H131" s="428">
        <v>1</v>
      </c>
      <c r="I131" s="530">
        <f t="shared" si="1"/>
        <v>4.8600000000000003</v>
      </c>
      <c r="J131" s="285"/>
    </row>
    <row r="132" spans="1:10" ht="14.25" customHeight="1" x14ac:dyDescent="0.25">
      <c r="A132" s="284"/>
      <c r="B132" s="529" t="s">
        <v>641</v>
      </c>
      <c r="C132" s="523" t="s">
        <v>635</v>
      </c>
      <c r="D132" s="426" t="s">
        <v>628</v>
      </c>
      <c r="E132" s="426"/>
      <c r="F132" s="440">
        <v>18.04</v>
      </c>
      <c r="G132" s="441"/>
      <c r="H132" s="428">
        <v>1</v>
      </c>
      <c r="I132" s="530">
        <f t="shared" si="1"/>
        <v>18.04</v>
      </c>
      <c r="J132" s="285"/>
    </row>
    <row r="133" spans="1:10" ht="14.25" customHeight="1" x14ac:dyDescent="0.25">
      <c r="A133" s="284"/>
      <c r="B133" s="529" t="s">
        <v>641</v>
      </c>
      <c r="C133" s="523" t="s">
        <v>635</v>
      </c>
      <c r="D133" s="426" t="s">
        <v>642</v>
      </c>
      <c r="E133" s="426"/>
      <c r="F133" s="440">
        <v>123.68</v>
      </c>
      <c r="G133" s="441" t="s">
        <v>701</v>
      </c>
      <c r="H133" s="428">
        <v>1</v>
      </c>
      <c r="I133" s="530">
        <f t="shared" si="1"/>
        <v>123.68</v>
      </c>
      <c r="J133" s="285"/>
    </row>
    <row r="134" spans="1:10" ht="14.25" customHeight="1" x14ac:dyDescent="0.25">
      <c r="A134" s="284"/>
      <c r="B134" s="529" t="s">
        <v>641</v>
      </c>
      <c r="C134" s="523" t="s">
        <v>635</v>
      </c>
      <c r="D134" s="426" t="s">
        <v>643</v>
      </c>
      <c r="E134" s="426"/>
      <c r="F134" s="440">
        <v>5.16</v>
      </c>
      <c r="G134" s="441" t="s">
        <v>701</v>
      </c>
      <c r="H134" s="428">
        <v>1</v>
      </c>
      <c r="I134" s="530">
        <f t="shared" si="1"/>
        <v>5.16</v>
      </c>
      <c r="J134" s="285"/>
    </row>
    <row r="135" spans="1:10" ht="14.25" customHeight="1" x14ac:dyDescent="0.25">
      <c r="A135" s="284"/>
      <c r="B135" s="529" t="s">
        <v>641</v>
      </c>
      <c r="C135" s="523" t="s">
        <v>635</v>
      </c>
      <c r="D135" s="426" t="s">
        <v>644</v>
      </c>
      <c r="E135" s="426"/>
      <c r="F135" s="440">
        <v>5.48</v>
      </c>
      <c r="G135" s="441" t="s">
        <v>701</v>
      </c>
      <c r="H135" s="428">
        <v>1</v>
      </c>
      <c r="I135" s="530">
        <f t="shared" si="1"/>
        <v>5.48</v>
      </c>
      <c r="J135" s="285"/>
    </row>
    <row r="136" spans="1:10" ht="14.25" customHeight="1" x14ac:dyDescent="0.25">
      <c r="A136" s="284"/>
      <c r="B136" s="529" t="s">
        <v>641</v>
      </c>
      <c r="C136" s="523" t="s">
        <v>635</v>
      </c>
      <c r="D136" s="426" t="s">
        <v>655</v>
      </c>
      <c r="E136" s="426"/>
      <c r="F136" s="440">
        <v>7.39</v>
      </c>
      <c r="G136" s="441" t="s">
        <v>701</v>
      </c>
      <c r="H136" s="428">
        <v>1</v>
      </c>
      <c r="I136" s="530">
        <f t="shared" si="1"/>
        <v>7.39</v>
      </c>
      <c r="J136" s="285"/>
    </row>
    <row r="137" spans="1:10" ht="14.25" customHeight="1" x14ac:dyDescent="0.25">
      <c r="A137" s="284"/>
      <c r="B137" s="529" t="s">
        <v>641</v>
      </c>
      <c r="C137" s="523" t="s">
        <v>635</v>
      </c>
      <c r="D137" s="426" t="s">
        <v>643</v>
      </c>
      <c r="E137" s="426"/>
      <c r="F137" s="440">
        <v>5.16</v>
      </c>
      <c r="G137" s="441" t="s">
        <v>701</v>
      </c>
      <c r="H137" s="428">
        <v>1</v>
      </c>
      <c r="I137" s="530">
        <f t="shared" si="1"/>
        <v>5.16</v>
      </c>
      <c r="J137" s="285"/>
    </row>
    <row r="138" spans="1:10" ht="14.25" customHeight="1" x14ac:dyDescent="0.25">
      <c r="A138" s="284"/>
      <c r="B138" s="529" t="s">
        <v>641</v>
      </c>
      <c r="C138" s="523" t="s">
        <v>635</v>
      </c>
      <c r="D138" s="426" t="s">
        <v>645</v>
      </c>
      <c r="E138" s="426"/>
      <c r="F138" s="440">
        <v>5.48</v>
      </c>
      <c r="G138" s="441" t="s">
        <v>701</v>
      </c>
      <c r="H138" s="428">
        <v>1</v>
      </c>
      <c r="I138" s="530">
        <f t="shared" si="1"/>
        <v>5.48</v>
      </c>
      <c r="J138" s="285"/>
    </row>
    <row r="139" spans="1:10" ht="14.25" customHeight="1" x14ac:dyDescent="0.25">
      <c r="A139" s="284"/>
      <c r="B139" s="529" t="s">
        <v>641</v>
      </c>
      <c r="C139" s="523" t="s">
        <v>657</v>
      </c>
      <c r="D139" s="426" t="s">
        <v>614</v>
      </c>
      <c r="E139" s="426"/>
      <c r="F139" s="440">
        <v>27.02</v>
      </c>
      <c r="G139" s="441" t="s">
        <v>701</v>
      </c>
      <c r="H139" s="428">
        <v>1</v>
      </c>
      <c r="I139" s="530">
        <f t="shared" si="1"/>
        <v>27.02</v>
      </c>
      <c r="J139" s="285"/>
    </row>
    <row r="140" spans="1:10" ht="14.25" customHeight="1" x14ac:dyDescent="0.25">
      <c r="A140" s="284"/>
      <c r="B140" s="529" t="s">
        <v>641</v>
      </c>
      <c r="C140" s="523" t="s">
        <v>657</v>
      </c>
      <c r="D140" s="426" t="s">
        <v>615</v>
      </c>
      <c r="E140" s="426"/>
      <c r="F140" s="440">
        <v>39.43</v>
      </c>
      <c r="G140" s="441" t="s">
        <v>701</v>
      </c>
      <c r="H140" s="428">
        <v>1</v>
      </c>
      <c r="I140" s="530">
        <f t="shared" ref="I140:I203" si="2">F140*H140</f>
        <v>39.43</v>
      </c>
      <c r="J140" s="285"/>
    </row>
    <row r="141" spans="1:10" ht="14.25" customHeight="1" x14ac:dyDescent="0.25">
      <c r="A141" s="284"/>
      <c r="B141" s="529" t="s">
        <v>641</v>
      </c>
      <c r="C141" s="523" t="s">
        <v>657</v>
      </c>
      <c r="D141" s="426" t="s">
        <v>616</v>
      </c>
      <c r="E141" s="426"/>
      <c r="F141" s="440">
        <v>3.66</v>
      </c>
      <c r="G141" s="441" t="s">
        <v>701</v>
      </c>
      <c r="H141" s="428">
        <v>1</v>
      </c>
      <c r="I141" s="530">
        <f t="shared" si="2"/>
        <v>3.66</v>
      </c>
      <c r="J141" s="285"/>
    </row>
    <row r="142" spans="1:10" ht="14.25" customHeight="1" x14ac:dyDescent="0.25">
      <c r="A142" s="284"/>
      <c r="B142" s="529" t="s">
        <v>641</v>
      </c>
      <c r="C142" s="523" t="s">
        <v>657</v>
      </c>
      <c r="D142" s="426" t="s">
        <v>618</v>
      </c>
      <c r="E142" s="426"/>
      <c r="F142" s="440">
        <v>28.88</v>
      </c>
      <c r="G142" s="441"/>
      <c r="H142" s="428">
        <v>1</v>
      </c>
      <c r="I142" s="530">
        <f t="shared" si="2"/>
        <v>28.88</v>
      </c>
      <c r="J142" s="285"/>
    </row>
    <row r="143" spans="1:10" ht="14.25" customHeight="1" x14ac:dyDescent="0.25">
      <c r="A143" s="284"/>
      <c r="B143" s="529" t="s">
        <v>641</v>
      </c>
      <c r="C143" s="523" t="s">
        <v>657</v>
      </c>
      <c r="D143" s="426" t="s">
        <v>689</v>
      </c>
      <c r="E143" s="426"/>
      <c r="F143" s="440">
        <v>21.51</v>
      </c>
      <c r="G143" s="441" t="s">
        <v>701</v>
      </c>
      <c r="H143" s="428">
        <v>1</v>
      </c>
      <c r="I143" s="530">
        <f t="shared" si="2"/>
        <v>21.51</v>
      </c>
      <c r="J143" s="285"/>
    </row>
    <row r="144" spans="1:10" ht="14.25" customHeight="1" x14ac:dyDescent="0.25">
      <c r="A144" s="284"/>
      <c r="B144" s="529" t="s">
        <v>641</v>
      </c>
      <c r="C144" s="523" t="s">
        <v>657</v>
      </c>
      <c r="D144" s="426" t="s">
        <v>619</v>
      </c>
      <c r="E144" s="426"/>
      <c r="F144" s="440">
        <v>17.02</v>
      </c>
      <c r="G144" s="441" t="s">
        <v>701</v>
      </c>
      <c r="H144" s="428">
        <v>1</v>
      </c>
      <c r="I144" s="530">
        <f t="shared" si="2"/>
        <v>17.02</v>
      </c>
      <c r="J144" s="285"/>
    </row>
    <row r="145" spans="1:10" ht="14.25" customHeight="1" x14ac:dyDescent="0.25">
      <c r="A145" s="284"/>
      <c r="B145" s="529" t="s">
        <v>641</v>
      </c>
      <c r="C145" s="523" t="s">
        <v>657</v>
      </c>
      <c r="D145" s="426" t="s">
        <v>620</v>
      </c>
      <c r="E145" s="426"/>
      <c r="F145" s="440">
        <v>9.32</v>
      </c>
      <c r="G145" s="441" t="s">
        <v>701</v>
      </c>
      <c r="H145" s="428">
        <v>1</v>
      </c>
      <c r="I145" s="530">
        <f t="shared" si="2"/>
        <v>9.32</v>
      </c>
      <c r="J145" s="285"/>
    </row>
    <row r="146" spans="1:10" ht="14.25" customHeight="1" x14ac:dyDescent="0.25">
      <c r="A146" s="284"/>
      <c r="B146" s="529" t="s">
        <v>641</v>
      </c>
      <c r="C146" s="523" t="s">
        <v>657</v>
      </c>
      <c r="D146" s="426" t="s">
        <v>640</v>
      </c>
      <c r="E146" s="426"/>
      <c r="F146" s="440">
        <v>6.48</v>
      </c>
      <c r="G146" s="441" t="s">
        <v>701</v>
      </c>
      <c r="H146" s="428">
        <v>1</v>
      </c>
      <c r="I146" s="530">
        <f t="shared" si="2"/>
        <v>6.48</v>
      </c>
      <c r="J146" s="285"/>
    </row>
    <row r="147" spans="1:10" ht="14.25" customHeight="1" x14ac:dyDescent="0.25">
      <c r="A147" s="284"/>
      <c r="B147" s="529" t="s">
        <v>641</v>
      </c>
      <c r="C147" s="523" t="s">
        <v>657</v>
      </c>
      <c r="D147" s="426" t="s">
        <v>621</v>
      </c>
      <c r="E147" s="426"/>
      <c r="F147" s="440">
        <v>3.78</v>
      </c>
      <c r="G147" s="441" t="s">
        <v>701</v>
      </c>
      <c r="H147" s="428">
        <v>1</v>
      </c>
      <c r="I147" s="530">
        <f t="shared" si="2"/>
        <v>3.78</v>
      </c>
      <c r="J147" s="285"/>
    </row>
    <row r="148" spans="1:10" ht="14.25" customHeight="1" x14ac:dyDescent="0.25">
      <c r="A148" s="284"/>
      <c r="B148" s="529" t="s">
        <v>641</v>
      </c>
      <c r="C148" s="523" t="s">
        <v>657</v>
      </c>
      <c r="D148" s="426" t="s">
        <v>617</v>
      </c>
      <c r="E148" s="426"/>
      <c r="F148" s="440">
        <v>17.87</v>
      </c>
      <c r="G148" s="441" t="s">
        <v>701</v>
      </c>
      <c r="H148" s="428">
        <v>1</v>
      </c>
      <c r="I148" s="530">
        <f t="shared" si="2"/>
        <v>17.87</v>
      </c>
      <c r="J148" s="285"/>
    </row>
    <row r="149" spans="1:10" ht="14.25" customHeight="1" x14ac:dyDescent="0.25">
      <c r="A149" s="284"/>
      <c r="B149" s="529" t="s">
        <v>641</v>
      </c>
      <c r="C149" s="523" t="s">
        <v>657</v>
      </c>
      <c r="D149" s="426" t="s">
        <v>622</v>
      </c>
      <c r="E149" s="426"/>
      <c r="F149" s="440">
        <v>26.67</v>
      </c>
      <c r="G149" s="441" t="s">
        <v>701</v>
      </c>
      <c r="H149" s="428">
        <v>1</v>
      </c>
      <c r="I149" s="530">
        <f t="shared" si="2"/>
        <v>26.67</v>
      </c>
      <c r="J149" s="285"/>
    </row>
    <row r="150" spans="1:10" ht="14.25" customHeight="1" x14ac:dyDescent="0.25">
      <c r="A150" s="284"/>
      <c r="B150" s="529" t="s">
        <v>641</v>
      </c>
      <c r="C150" s="523" t="s">
        <v>657</v>
      </c>
      <c r="D150" s="426" t="s">
        <v>623</v>
      </c>
      <c r="E150" s="426"/>
      <c r="F150" s="440">
        <v>7.51</v>
      </c>
      <c r="G150" s="441" t="s">
        <v>701</v>
      </c>
      <c r="H150" s="428">
        <v>1</v>
      </c>
      <c r="I150" s="530">
        <f t="shared" si="2"/>
        <v>7.51</v>
      </c>
      <c r="J150" s="285"/>
    </row>
    <row r="151" spans="1:10" ht="14.25" customHeight="1" x14ac:dyDescent="0.25">
      <c r="A151" s="284"/>
      <c r="B151" s="529" t="s">
        <v>641</v>
      </c>
      <c r="C151" s="523" t="s">
        <v>657</v>
      </c>
      <c r="D151" s="426" t="s">
        <v>630</v>
      </c>
      <c r="E151" s="426"/>
      <c r="F151" s="440">
        <v>18.829999999999998</v>
      </c>
      <c r="G151" s="441" t="s">
        <v>701</v>
      </c>
      <c r="H151" s="428">
        <v>1</v>
      </c>
      <c r="I151" s="530">
        <f t="shared" si="2"/>
        <v>18.829999999999998</v>
      </c>
      <c r="J151" s="285"/>
    </row>
    <row r="152" spans="1:10" ht="14.25" customHeight="1" x14ac:dyDescent="0.25">
      <c r="A152" s="284"/>
      <c r="B152" s="529" t="s">
        <v>641</v>
      </c>
      <c r="C152" s="523" t="s">
        <v>657</v>
      </c>
      <c r="D152" s="426" t="s">
        <v>631</v>
      </c>
      <c r="E152" s="426"/>
      <c r="F152" s="440">
        <v>4.84</v>
      </c>
      <c r="G152" s="441" t="s">
        <v>701</v>
      </c>
      <c r="H152" s="428">
        <v>1</v>
      </c>
      <c r="I152" s="530">
        <f t="shared" si="2"/>
        <v>4.84</v>
      </c>
      <c r="J152" s="285"/>
    </row>
    <row r="153" spans="1:10" ht="14.25" customHeight="1" x14ac:dyDescent="0.25">
      <c r="A153" s="284"/>
      <c r="B153" s="529" t="s">
        <v>641</v>
      </c>
      <c r="C153" s="523" t="s">
        <v>657</v>
      </c>
      <c r="D153" s="426" t="s">
        <v>624</v>
      </c>
      <c r="E153" s="426"/>
      <c r="F153" s="440">
        <v>18.8</v>
      </c>
      <c r="G153" s="441" t="s">
        <v>701</v>
      </c>
      <c r="H153" s="428">
        <v>1</v>
      </c>
      <c r="I153" s="530">
        <f t="shared" si="2"/>
        <v>18.8</v>
      </c>
      <c r="J153" s="285"/>
    </row>
    <row r="154" spans="1:10" ht="14.25" customHeight="1" x14ac:dyDescent="0.25">
      <c r="A154" s="284"/>
      <c r="B154" s="529" t="s">
        <v>641</v>
      </c>
      <c r="C154" s="523" t="s">
        <v>657</v>
      </c>
      <c r="D154" s="426" t="s">
        <v>625</v>
      </c>
      <c r="E154" s="426"/>
      <c r="F154" s="440">
        <v>4.83</v>
      </c>
      <c r="G154" s="441" t="s">
        <v>701</v>
      </c>
      <c r="H154" s="428">
        <v>1</v>
      </c>
      <c r="I154" s="530">
        <f t="shared" si="2"/>
        <v>4.83</v>
      </c>
      <c r="J154" s="285"/>
    </row>
    <row r="155" spans="1:10" ht="14.25" customHeight="1" x14ac:dyDescent="0.25">
      <c r="A155" s="284"/>
      <c r="B155" s="529" t="s">
        <v>641</v>
      </c>
      <c r="C155" s="523" t="s">
        <v>657</v>
      </c>
      <c r="D155" s="426" t="s">
        <v>626</v>
      </c>
      <c r="E155" s="426"/>
      <c r="F155" s="440">
        <v>18.760000000000002</v>
      </c>
      <c r="G155" s="441" t="s">
        <v>701</v>
      </c>
      <c r="H155" s="428">
        <v>1</v>
      </c>
      <c r="I155" s="530">
        <f t="shared" si="2"/>
        <v>18.760000000000002</v>
      </c>
      <c r="J155" s="285"/>
    </row>
    <row r="156" spans="1:10" ht="14.25" customHeight="1" x14ac:dyDescent="0.25">
      <c r="A156" s="284"/>
      <c r="B156" s="529" t="s">
        <v>641</v>
      </c>
      <c r="C156" s="523" t="s">
        <v>657</v>
      </c>
      <c r="D156" s="426" t="s">
        <v>627</v>
      </c>
      <c r="E156" s="426"/>
      <c r="F156" s="440">
        <v>4.82</v>
      </c>
      <c r="G156" s="441" t="s">
        <v>701</v>
      </c>
      <c r="H156" s="428">
        <v>1</v>
      </c>
      <c r="I156" s="530">
        <f t="shared" si="2"/>
        <v>4.82</v>
      </c>
      <c r="J156" s="285"/>
    </row>
    <row r="157" spans="1:10" ht="14.25" customHeight="1" x14ac:dyDescent="0.25">
      <c r="A157" s="284"/>
      <c r="B157" s="529" t="s">
        <v>641</v>
      </c>
      <c r="C157" s="523" t="s">
        <v>656</v>
      </c>
      <c r="D157" s="426" t="s">
        <v>614</v>
      </c>
      <c r="E157" s="426"/>
      <c r="F157" s="440">
        <v>24.29</v>
      </c>
      <c r="G157" s="441" t="s">
        <v>701</v>
      </c>
      <c r="H157" s="428">
        <v>1</v>
      </c>
      <c r="I157" s="530">
        <f t="shared" si="2"/>
        <v>24.29</v>
      </c>
      <c r="J157" s="285"/>
    </row>
    <row r="158" spans="1:10" ht="14.25" customHeight="1" x14ac:dyDescent="0.25">
      <c r="A158" s="284"/>
      <c r="B158" s="529" t="s">
        <v>641</v>
      </c>
      <c r="C158" s="523" t="s">
        <v>656</v>
      </c>
      <c r="D158" s="426" t="s">
        <v>615</v>
      </c>
      <c r="E158" s="426"/>
      <c r="F158" s="440">
        <v>28.88</v>
      </c>
      <c r="G158" s="441" t="s">
        <v>701</v>
      </c>
      <c r="H158" s="428">
        <v>1</v>
      </c>
      <c r="I158" s="530">
        <f t="shared" si="2"/>
        <v>28.88</v>
      </c>
      <c r="J158" s="285"/>
    </row>
    <row r="159" spans="1:10" ht="14.25" customHeight="1" x14ac:dyDescent="0.25">
      <c r="A159" s="284"/>
      <c r="B159" s="529" t="s">
        <v>641</v>
      </c>
      <c r="C159" s="523" t="s">
        <v>656</v>
      </c>
      <c r="D159" s="426" t="s">
        <v>616</v>
      </c>
      <c r="E159" s="426"/>
      <c r="F159" s="440">
        <v>3.6</v>
      </c>
      <c r="G159" s="441" t="s">
        <v>701</v>
      </c>
      <c r="H159" s="428">
        <v>1</v>
      </c>
      <c r="I159" s="530">
        <f t="shared" si="2"/>
        <v>3.6</v>
      </c>
      <c r="J159" s="285"/>
    </row>
    <row r="160" spans="1:10" ht="14.25" customHeight="1" x14ac:dyDescent="0.25">
      <c r="A160" s="284"/>
      <c r="B160" s="529" t="s">
        <v>641</v>
      </c>
      <c r="C160" s="523" t="s">
        <v>656</v>
      </c>
      <c r="D160" s="426" t="s">
        <v>618</v>
      </c>
      <c r="E160" s="426"/>
      <c r="F160" s="440">
        <v>29.24</v>
      </c>
      <c r="G160" s="441"/>
      <c r="H160" s="428">
        <v>1</v>
      </c>
      <c r="I160" s="530">
        <f t="shared" si="2"/>
        <v>29.24</v>
      </c>
      <c r="J160" s="285"/>
    </row>
    <row r="161" spans="1:10" ht="14.25" customHeight="1" x14ac:dyDescent="0.25">
      <c r="A161" s="284"/>
      <c r="B161" s="529" t="s">
        <v>641</v>
      </c>
      <c r="C161" s="523" t="s">
        <v>656</v>
      </c>
      <c r="D161" s="426" t="s">
        <v>689</v>
      </c>
      <c r="E161" s="426"/>
      <c r="F161" s="440">
        <v>22.78</v>
      </c>
      <c r="G161" s="441" t="s">
        <v>701</v>
      </c>
      <c r="H161" s="428">
        <v>1</v>
      </c>
      <c r="I161" s="530">
        <f t="shared" si="2"/>
        <v>22.78</v>
      </c>
      <c r="J161" s="285"/>
    </row>
    <row r="162" spans="1:10" ht="14.25" customHeight="1" x14ac:dyDescent="0.25">
      <c r="A162" s="284"/>
      <c r="B162" s="529" t="s">
        <v>641</v>
      </c>
      <c r="C162" s="523" t="s">
        <v>656</v>
      </c>
      <c r="D162" s="426" t="s">
        <v>619</v>
      </c>
      <c r="E162" s="426"/>
      <c r="F162" s="440">
        <v>13.22</v>
      </c>
      <c r="G162" s="441" t="s">
        <v>701</v>
      </c>
      <c r="H162" s="428">
        <v>1</v>
      </c>
      <c r="I162" s="530">
        <f t="shared" si="2"/>
        <v>13.22</v>
      </c>
      <c r="J162" s="285"/>
    </row>
    <row r="163" spans="1:10" ht="14.25" customHeight="1" x14ac:dyDescent="0.25">
      <c r="A163" s="284"/>
      <c r="B163" s="529" t="s">
        <v>641</v>
      </c>
      <c r="C163" s="523" t="s">
        <v>656</v>
      </c>
      <c r="D163" s="426" t="s">
        <v>620</v>
      </c>
      <c r="E163" s="426"/>
      <c r="F163" s="440">
        <v>6.91</v>
      </c>
      <c r="G163" s="441" t="s">
        <v>701</v>
      </c>
      <c r="H163" s="428">
        <v>1</v>
      </c>
      <c r="I163" s="530">
        <f t="shared" si="2"/>
        <v>6.91</v>
      </c>
      <c r="J163" s="285"/>
    </row>
    <row r="164" spans="1:10" ht="14.25" customHeight="1" x14ac:dyDescent="0.25">
      <c r="A164" s="284"/>
      <c r="B164" s="529" t="s">
        <v>641</v>
      </c>
      <c r="C164" s="523" t="s">
        <v>656</v>
      </c>
      <c r="D164" s="426" t="s">
        <v>621</v>
      </c>
      <c r="E164" s="426"/>
      <c r="F164" s="440">
        <v>3.88</v>
      </c>
      <c r="G164" s="441" t="s">
        <v>701</v>
      </c>
      <c r="H164" s="428">
        <v>1</v>
      </c>
      <c r="I164" s="530">
        <f t="shared" si="2"/>
        <v>3.88</v>
      </c>
      <c r="J164" s="285"/>
    </row>
    <row r="165" spans="1:10" ht="14.25" customHeight="1" x14ac:dyDescent="0.25">
      <c r="A165" s="284"/>
      <c r="B165" s="529" t="s">
        <v>641</v>
      </c>
      <c r="C165" s="523" t="s">
        <v>656</v>
      </c>
      <c r="D165" s="426" t="s">
        <v>617</v>
      </c>
      <c r="E165" s="426"/>
      <c r="F165" s="440">
        <v>10.34</v>
      </c>
      <c r="G165" s="441" t="s">
        <v>701</v>
      </c>
      <c r="H165" s="428">
        <v>1</v>
      </c>
      <c r="I165" s="530">
        <f t="shared" si="2"/>
        <v>10.34</v>
      </c>
      <c r="J165" s="285"/>
    </row>
    <row r="166" spans="1:10" ht="14.25" customHeight="1" x14ac:dyDescent="0.25">
      <c r="A166" s="284"/>
      <c r="B166" s="529" t="s">
        <v>641</v>
      </c>
      <c r="C166" s="523" t="s">
        <v>656</v>
      </c>
      <c r="D166" s="426" t="s">
        <v>622</v>
      </c>
      <c r="E166" s="426"/>
      <c r="F166" s="440">
        <v>27.64</v>
      </c>
      <c r="G166" s="441" t="s">
        <v>701</v>
      </c>
      <c r="H166" s="428">
        <v>1</v>
      </c>
      <c r="I166" s="530">
        <f t="shared" si="2"/>
        <v>27.64</v>
      </c>
      <c r="J166" s="285"/>
    </row>
    <row r="167" spans="1:10" ht="14.25" customHeight="1" x14ac:dyDescent="0.25">
      <c r="A167" s="284"/>
      <c r="B167" s="529" t="s">
        <v>641</v>
      </c>
      <c r="C167" s="523" t="s">
        <v>656</v>
      </c>
      <c r="D167" s="426" t="s">
        <v>623</v>
      </c>
      <c r="E167" s="426"/>
      <c r="F167" s="440">
        <v>7.74</v>
      </c>
      <c r="G167" s="441" t="s">
        <v>701</v>
      </c>
      <c r="H167" s="428">
        <v>1</v>
      </c>
      <c r="I167" s="530">
        <f t="shared" si="2"/>
        <v>7.74</v>
      </c>
      <c r="J167" s="285"/>
    </row>
    <row r="168" spans="1:10" ht="14.25" customHeight="1" x14ac:dyDescent="0.25">
      <c r="A168" s="284"/>
      <c r="B168" s="529" t="s">
        <v>641</v>
      </c>
      <c r="C168" s="523" t="s">
        <v>656</v>
      </c>
      <c r="D168" s="426" t="s">
        <v>624</v>
      </c>
      <c r="E168" s="426"/>
      <c r="F168" s="440">
        <v>19.21</v>
      </c>
      <c r="G168" s="441" t="s">
        <v>701</v>
      </c>
      <c r="H168" s="428">
        <v>1</v>
      </c>
      <c r="I168" s="530">
        <f t="shared" si="2"/>
        <v>19.21</v>
      </c>
      <c r="J168" s="285"/>
    </row>
    <row r="169" spans="1:10" ht="14.25" customHeight="1" x14ac:dyDescent="0.25">
      <c r="A169" s="284"/>
      <c r="B169" s="529" t="s">
        <v>641</v>
      </c>
      <c r="C169" s="523" t="s">
        <v>656</v>
      </c>
      <c r="D169" s="426" t="s">
        <v>625</v>
      </c>
      <c r="E169" s="426"/>
      <c r="F169" s="440">
        <v>4.8600000000000003</v>
      </c>
      <c r="G169" s="441" t="s">
        <v>701</v>
      </c>
      <c r="H169" s="428">
        <v>1</v>
      </c>
      <c r="I169" s="530">
        <f t="shared" si="2"/>
        <v>4.8600000000000003</v>
      </c>
      <c r="J169" s="285"/>
    </row>
    <row r="170" spans="1:10" ht="14.25" customHeight="1" x14ac:dyDescent="0.25">
      <c r="A170" s="284"/>
      <c r="B170" s="529" t="s">
        <v>641</v>
      </c>
      <c r="C170" s="523" t="s">
        <v>656</v>
      </c>
      <c r="D170" s="426" t="s">
        <v>626</v>
      </c>
      <c r="E170" s="426"/>
      <c r="F170" s="440">
        <v>19.21</v>
      </c>
      <c r="G170" s="441" t="s">
        <v>701</v>
      </c>
      <c r="H170" s="428">
        <v>1</v>
      </c>
      <c r="I170" s="530">
        <f t="shared" si="2"/>
        <v>19.21</v>
      </c>
      <c r="J170" s="285"/>
    </row>
    <row r="171" spans="1:10" ht="14.25" customHeight="1" x14ac:dyDescent="0.25">
      <c r="A171" s="284"/>
      <c r="B171" s="529" t="s">
        <v>641</v>
      </c>
      <c r="C171" s="523" t="s">
        <v>656</v>
      </c>
      <c r="D171" s="426" t="s">
        <v>627</v>
      </c>
      <c r="E171" s="426"/>
      <c r="F171" s="440">
        <v>4.8600000000000003</v>
      </c>
      <c r="G171" s="441" t="s">
        <v>701</v>
      </c>
      <c r="H171" s="428">
        <v>1</v>
      </c>
      <c r="I171" s="530">
        <f t="shared" si="2"/>
        <v>4.8600000000000003</v>
      </c>
      <c r="J171" s="285"/>
    </row>
    <row r="172" spans="1:10" ht="14.25" customHeight="1" x14ac:dyDescent="0.25">
      <c r="A172" s="284"/>
      <c r="B172" s="529" t="s">
        <v>641</v>
      </c>
      <c r="C172" s="523" t="s">
        <v>659</v>
      </c>
      <c r="D172" s="426" t="s">
        <v>614</v>
      </c>
      <c r="E172" s="426"/>
      <c r="F172" s="440">
        <v>26.55</v>
      </c>
      <c r="G172" s="441" t="s">
        <v>701</v>
      </c>
      <c r="H172" s="428">
        <v>1</v>
      </c>
      <c r="I172" s="530">
        <f t="shared" si="2"/>
        <v>26.55</v>
      </c>
      <c r="J172" s="285"/>
    </row>
    <row r="173" spans="1:10" ht="14.25" customHeight="1" x14ac:dyDescent="0.25">
      <c r="A173" s="284"/>
      <c r="B173" s="529" t="s">
        <v>641</v>
      </c>
      <c r="C173" s="523" t="s">
        <v>659</v>
      </c>
      <c r="D173" s="426" t="s">
        <v>615</v>
      </c>
      <c r="E173" s="426"/>
      <c r="F173" s="440">
        <v>33.43</v>
      </c>
      <c r="G173" s="441" t="s">
        <v>701</v>
      </c>
      <c r="H173" s="428">
        <v>1</v>
      </c>
      <c r="I173" s="530">
        <f t="shared" si="2"/>
        <v>33.43</v>
      </c>
      <c r="J173" s="285"/>
    </row>
    <row r="174" spans="1:10" ht="14.25" customHeight="1" x14ac:dyDescent="0.25">
      <c r="A174" s="284"/>
      <c r="B174" s="529" t="s">
        <v>641</v>
      </c>
      <c r="C174" s="523" t="s">
        <v>659</v>
      </c>
      <c r="D174" s="426" t="s">
        <v>616</v>
      </c>
      <c r="E174" s="426"/>
      <c r="F174" s="440">
        <v>3.14</v>
      </c>
      <c r="G174" s="441" t="s">
        <v>701</v>
      </c>
      <c r="H174" s="428">
        <v>1</v>
      </c>
      <c r="I174" s="530">
        <f t="shared" si="2"/>
        <v>3.14</v>
      </c>
      <c r="J174" s="285"/>
    </row>
    <row r="175" spans="1:10" ht="14.25" customHeight="1" x14ac:dyDescent="0.25">
      <c r="A175" s="284"/>
      <c r="B175" s="529" t="s">
        <v>641</v>
      </c>
      <c r="C175" s="523" t="s">
        <v>659</v>
      </c>
      <c r="D175" s="426" t="s">
        <v>618</v>
      </c>
      <c r="E175" s="426"/>
      <c r="F175" s="440">
        <v>28.92</v>
      </c>
      <c r="G175" s="441"/>
      <c r="H175" s="428">
        <v>1</v>
      </c>
      <c r="I175" s="530">
        <f t="shared" si="2"/>
        <v>28.92</v>
      </c>
      <c r="J175" s="285"/>
    </row>
    <row r="176" spans="1:10" ht="14.25" customHeight="1" x14ac:dyDescent="0.25">
      <c r="A176" s="284"/>
      <c r="B176" s="529" t="s">
        <v>641</v>
      </c>
      <c r="C176" s="523" t="s">
        <v>659</v>
      </c>
      <c r="D176" s="426" t="s">
        <v>689</v>
      </c>
      <c r="E176" s="426"/>
      <c r="F176" s="440">
        <v>21.51</v>
      </c>
      <c r="G176" s="441" t="s">
        <v>701</v>
      </c>
      <c r="H176" s="428">
        <v>1</v>
      </c>
      <c r="I176" s="530">
        <f t="shared" si="2"/>
        <v>21.51</v>
      </c>
      <c r="J176" s="285"/>
    </row>
    <row r="177" spans="1:10" ht="14.25" customHeight="1" x14ac:dyDescent="0.25">
      <c r="A177" s="284"/>
      <c r="B177" s="529" t="s">
        <v>641</v>
      </c>
      <c r="C177" s="523" t="s">
        <v>659</v>
      </c>
      <c r="D177" s="426" t="s">
        <v>619</v>
      </c>
      <c r="E177" s="426"/>
      <c r="F177" s="440">
        <v>17.02</v>
      </c>
      <c r="G177" s="441" t="s">
        <v>701</v>
      </c>
      <c r="H177" s="428">
        <v>1</v>
      </c>
      <c r="I177" s="530">
        <f t="shared" si="2"/>
        <v>17.02</v>
      </c>
      <c r="J177" s="285"/>
    </row>
    <row r="178" spans="1:10" ht="14.25" customHeight="1" x14ac:dyDescent="0.25">
      <c r="A178" s="284"/>
      <c r="B178" s="529" t="s">
        <v>641</v>
      </c>
      <c r="C178" s="523" t="s">
        <v>659</v>
      </c>
      <c r="D178" s="426" t="s">
        <v>620</v>
      </c>
      <c r="E178" s="426"/>
      <c r="F178" s="440">
        <v>9.32</v>
      </c>
      <c r="G178" s="441" t="s">
        <v>701</v>
      </c>
      <c r="H178" s="428">
        <v>1</v>
      </c>
      <c r="I178" s="530">
        <f t="shared" si="2"/>
        <v>9.32</v>
      </c>
      <c r="J178" s="285"/>
    </row>
    <row r="179" spans="1:10" ht="14.25" customHeight="1" x14ac:dyDescent="0.25">
      <c r="A179" s="284"/>
      <c r="B179" s="529" t="s">
        <v>641</v>
      </c>
      <c r="C179" s="523" t="s">
        <v>659</v>
      </c>
      <c r="D179" s="426" t="s">
        <v>640</v>
      </c>
      <c r="E179" s="426"/>
      <c r="F179" s="440">
        <v>6.48</v>
      </c>
      <c r="G179" s="441" t="s">
        <v>701</v>
      </c>
      <c r="H179" s="428">
        <v>1</v>
      </c>
      <c r="I179" s="530">
        <f t="shared" si="2"/>
        <v>6.48</v>
      </c>
      <c r="J179" s="285"/>
    </row>
    <row r="180" spans="1:10" ht="14.25" customHeight="1" x14ac:dyDescent="0.25">
      <c r="A180" s="284"/>
      <c r="B180" s="529" t="s">
        <v>641</v>
      </c>
      <c r="C180" s="523" t="s">
        <v>659</v>
      </c>
      <c r="D180" s="426" t="s">
        <v>621</v>
      </c>
      <c r="E180" s="426"/>
      <c r="F180" s="440">
        <v>7.51</v>
      </c>
      <c r="G180" s="441" t="s">
        <v>701</v>
      </c>
      <c r="H180" s="428">
        <v>1</v>
      </c>
      <c r="I180" s="530">
        <f t="shared" si="2"/>
        <v>7.51</v>
      </c>
      <c r="J180" s="285"/>
    </row>
    <row r="181" spans="1:10" ht="14.25" customHeight="1" x14ac:dyDescent="0.25">
      <c r="A181" s="284"/>
      <c r="B181" s="529" t="s">
        <v>641</v>
      </c>
      <c r="C181" s="523" t="s">
        <v>659</v>
      </c>
      <c r="D181" s="426" t="s">
        <v>617</v>
      </c>
      <c r="E181" s="426"/>
      <c r="F181" s="440">
        <v>17.87</v>
      </c>
      <c r="G181" s="441" t="s">
        <v>701</v>
      </c>
      <c r="H181" s="428">
        <v>1</v>
      </c>
      <c r="I181" s="530">
        <f t="shared" si="2"/>
        <v>17.87</v>
      </c>
      <c r="J181" s="285"/>
    </row>
    <row r="182" spans="1:10" ht="14.25" customHeight="1" x14ac:dyDescent="0.25">
      <c r="A182" s="284"/>
      <c r="B182" s="529" t="s">
        <v>641</v>
      </c>
      <c r="C182" s="523" t="s">
        <v>659</v>
      </c>
      <c r="D182" s="426" t="s">
        <v>622</v>
      </c>
      <c r="E182" s="426"/>
      <c r="F182" s="440">
        <v>26.69</v>
      </c>
      <c r="G182" s="441" t="s">
        <v>701</v>
      </c>
      <c r="H182" s="428">
        <v>1</v>
      </c>
      <c r="I182" s="530">
        <f t="shared" si="2"/>
        <v>26.69</v>
      </c>
      <c r="J182" s="285"/>
    </row>
    <row r="183" spans="1:10" ht="14.25" customHeight="1" x14ac:dyDescent="0.25">
      <c r="A183" s="284"/>
      <c r="B183" s="529" t="s">
        <v>641</v>
      </c>
      <c r="C183" s="523" t="s">
        <v>659</v>
      </c>
      <c r="D183" s="426" t="s">
        <v>623</v>
      </c>
      <c r="E183" s="426"/>
      <c r="F183" s="440">
        <v>7.51</v>
      </c>
      <c r="G183" s="441" t="s">
        <v>701</v>
      </c>
      <c r="H183" s="428">
        <v>1</v>
      </c>
      <c r="I183" s="530">
        <f t="shared" si="2"/>
        <v>7.51</v>
      </c>
      <c r="J183" s="285"/>
    </row>
    <row r="184" spans="1:10" ht="14.25" customHeight="1" x14ac:dyDescent="0.25">
      <c r="A184" s="284"/>
      <c r="B184" s="529" t="s">
        <v>641</v>
      </c>
      <c r="C184" s="523" t="s">
        <v>659</v>
      </c>
      <c r="D184" s="426" t="s">
        <v>630</v>
      </c>
      <c r="E184" s="426"/>
      <c r="F184" s="440">
        <v>18.87</v>
      </c>
      <c r="G184" s="441" t="s">
        <v>701</v>
      </c>
      <c r="H184" s="428">
        <v>1</v>
      </c>
      <c r="I184" s="530">
        <f t="shared" si="2"/>
        <v>18.87</v>
      </c>
      <c r="J184" s="285"/>
    </row>
    <row r="185" spans="1:10" ht="14.25" customHeight="1" x14ac:dyDescent="0.25">
      <c r="A185" s="284"/>
      <c r="B185" s="529" t="s">
        <v>641</v>
      </c>
      <c r="C185" s="523" t="s">
        <v>659</v>
      </c>
      <c r="D185" s="426" t="s">
        <v>631</v>
      </c>
      <c r="E185" s="426"/>
      <c r="F185" s="440">
        <v>4.8600000000000003</v>
      </c>
      <c r="G185" s="441" t="s">
        <v>701</v>
      </c>
      <c r="H185" s="428">
        <v>1</v>
      </c>
      <c r="I185" s="530">
        <f t="shared" si="2"/>
        <v>4.8600000000000003</v>
      </c>
      <c r="J185" s="285"/>
    </row>
    <row r="186" spans="1:10" ht="14.25" customHeight="1" x14ac:dyDescent="0.25">
      <c r="A186" s="284"/>
      <c r="B186" s="529" t="s">
        <v>641</v>
      </c>
      <c r="C186" s="523" t="s">
        <v>659</v>
      </c>
      <c r="D186" s="426" t="s">
        <v>624</v>
      </c>
      <c r="E186" s="426"/>
      <c r="F186" s="440">
        <v>18.87</v>
      </c>
      <c r="G186" s="441" t="s">
        <v>701</v>
      </c>
      <c r="H186" s="428">
        <v>1</v>
      </c>
      <c r="I186" s="530">
        <f t="shared" si="2"/>
        <v>18.87</v>
      </c>
      <c r="J186" s="285"/>
    </row>
    <row r="187" spans="1:10" ht="14.25" customHeight="1" x14ac:dyDescent="0.25">
      <c r="A187" s="284"/>
      <c r="B187" s="529" t="s">
        <v>641</v>
      </c>
      <c r="C187" s="523" t="s">
        <v>659</v>
      </c>
      <c r="D187" s="426" t="s">
        <v>625</v>
      </c>
      <c r="E187" s="426"/>
      <c r="F187" s="440">
        <v>4.8600000000000003</v>
      </c>
      <c r="G187" s="441" t="s">
        <v>701</v>
      </c>
      <c r="H187" s="428">
        <v>1</v>
      </c>
      <c r="I187" s="530">
        <f t="shared" si="2"/>
        <v>4.8600000000000003</v>
      </c>
      <c r="J187" s="285"/>
    </row>
    <row r="188" spans="1:10" ht="14.25" customHeight="1" x14ac:dyDescent="0.25">
      <c r="A188" s="284"/>
      <c r="B188" s="529" t="s">
        <v>641</v>
      </c>
      <c r="C188" s="523" t="s">
        <v>659</v>
      </c>
      <c r="D188" s="426" t="s">
        <v>626</v>
      </c>
      <c r="E188" s="426"/>
      <c r="F188" s="440">
        <v>18.87</v>
      </c>
      <c r="G188" s="441" t="s">
        <v>701</v>
      </c>
      <c r="H188" s="428">
        <v>1</v>
      </c>
      <c r="I188" s="530">
        <f t="shared" si="2"/>
        <v>18.87</v>
      </c>
      <c r="J188" s="285"/>
    </row>
    <row r="189" spans="1:10" ht="14.25" customHeight="1" x14ac:dyDescent="0.25">
      <c r="A189" s="284"/>
      <c r="B189" s="529" t="s">
        <v>641</v>
      </c>
      <c r="C189" s="523" t="s">
        <v>659</v>
      </c>
      <c r="D189" s="426" t="s">
        <v>627</v>
      </c>
      <c r="E189" s="426"/>
      <c r="F189" s="440">
        <v>4.8600000000000003</v>
      </c>
      <c r="G189" s="441" t="s">
        <v>701</v>
      </c>
      <c r="H189" s="428">
        <v>1</v>
      </c>
      <c r="I189" s="530">
        <f t="shared" si="2"/>
        <v>4.8600000000000003</v>
      </c>
      <c r="J189" s="285"/>
    </row>
    <row r="190" spans="1:10" ht="14.25" customHeight="1" x14ac:dyDescent="0.25">
      <c r="A190" s="284"/>
      <c r="B190" s="529" t="s">
        <v>641</v>
      </c>
      <c r="C190" s="523" t="s">
        <v>658</v>
      </c>
      <c r="D190" s="426" t="s">
        <v>614</v>
      </c>
      <c r="E190" s="426"/>
      <c r="F190" s="440">
        <v>20.92</v>
      </c>
      <c r="G190" s="441" t="s">
        <v>701</v>
      </c>
      <c r="H190" s="428">
        <v>1</v>
      </c>
      <c r="I190" s="530">
        <f t="shared" si="2"/>
        <v>20.92</v>
      </c>
      <c r="J190" s="285"/>
    </row>
    <row r="191" spans="1:10" ht="14.25" customHeight="1" x14ac:dyDescent="0.25">
      <c r="A191" s="284"/>
      <c r="B191" s="529" t="s">
        <v>641</v>
      </c>
      <c r="C191" s="523" t="s">
        <v>658</v>
      </c>
      <c r="D191" s="426" t="s">
        <v>615</v>
      </c>
      <c r="E191" s="426"/>
      <c r="F191" s="440">
        <v>29.33</v>
      </c>
      <c r="G191" s="441" t="s">
        <v>701</v>
      </c>
      <c r="H191" s="428">
        <v>1</v>
      </c>
      <c r="I191" s="530">
        <f t="shared" si="2"/>
        <v>29.33</v>
      </c>
      <c r="J191" s="285"/>
    </row>
    <row r="192" spans="1:10" ht="14.25" customHeight="1" x14ac:dyDescent="0.25">
      <c r="A192" s="284"/>
      <c r="B192" s="529" t="s">
        <v>641</v>
      </c>
      <c r="C192" s="523" t="s">
        <v>658</v>
      </c>
      <c r="D192" s="426" t="s">
        <v>616</v>
      </c>
      <c r="E192" s="426"/>
      <c r="F192" s="440">
        <v>3.91</v>
      </c>
      <c r="G192" s="441" t="s">
        <v>701</v>
      </c>
      <c r="H192" s="428">
        <v>1</v>
      </c>
      <c r="I192" s="530">
        <f t="shared" si="2"/>
        <v>3.91</v>
      </c>
      <c r="J192" s="285"/>
    </row>
    <row r="193" spans="1:10" ht="14.25" customHeight="1" x14ac:dyDescent="0.25">
      <c r="A193" s="284"/>
      <c r="B193" s="529" t="s">
        <v>641</v>
      </c>
      <c r="C193" s="523" t="s">
        <v>658</v>
      </c>
      <c r="D193" s="426" t="s">
        <v>618</v>
      </c>
      <c r="E193" s="426"/>
      <c r="F193" s="440">
        <v>28.85</v>
      </c>
      <c r="G193" s="441"/>
      <c r="H193" s="428">
        <v>1</v>
      </c>
      <c r="I193" s="530">
        <f t="shared" si="2"/>
        <v>28.85</v>
      </c>
      <c r="J193" s="285"/>
    </row>
    <row r="194" spans="1:10" ht="14.25" customHeight="1" x14ac:dyDescent="0.25">
      <c r="A194" s="284"/>
      <c r="B194" s="529" t="s">
        <v>641</v>
      </c>
      <c r="C194" s="523" t="s">
        <v>658</v>
      </c>
      <c r="D194" s="426" t="s">
        <v>689</v>
      </c>
      <c r="E194" s="426"/>
      <c r="F194" s="440">
        <v>22.79</v>
      </c>
      <c r="G194" s="441" t="s">
        <v>701</v>
      </c>
      <c r="H194" s="428">
        <v>1</v>
      </c>
      <c r="I194" s="530">
        <f t="shared" si="2"/>
        <v>22.79</v>
      </c>
      <c r="J194" s="285"/>
    </row>
    <row r="195" spans="1:10" ht="14.25" customHeight="1" x14ac:dyDescent="0.25">
      <c r="A195" s="284"/>
      <c r="B195" s="529" t="s">
        <v>641</v>
      </c>
      <c r="C195" s="523" t="s">
        <v>658</v>
      </c>
      <c r="D195" s="426" t="s">
        <v>619</v>
      </c>
      <c r="E195" s="426"/>
      <c r="F195" s="440">
        <v>12.23</v>
      </c>
      <c r="G195" s="441" t="s">
        <v>701</v>
      </c>
      <c r="H195" s="428">
        <v>1</v>
      </c>
      <c r="I195" s="530">
        <f t="shared" si="2"/>
        <v>12.23</v>
      </c>
      <c r="J195" s="285"/>
    </row>
    <row r="196" spans="1:10" ht="14.25" customHeight="1" x14ac:dyDescent="0.25">
      <c r="A196" s="284"/>
      <c r="B196" s="529" t="s">
        <v>641</v>
      </c>
      <c r="C196" s="523" t="s">
        <v>658</v>
      </c>
      <c r="D196" s="426" t="s">
        <v>620</v>
      </c>
      <c r="E196" s="426"/>
      <c r="F196" s="440">
        <v>5.12</v>
      </c>
      <c r="G196" s="441" t="s">
        <v>701</v>
      </c>
      <c r="H196" s="428">
        <v>1</v>
      </c>
      <c r="I196" s="530">
        <f t="shared" si="2"/>
        <v>5.12</v>
      </c>
      <c r="J196" s="285"/>
    </row>
    <row r="197" spans="1:10" ht="14.25" customHeight="1" x14ac:dyDescent="0.25">
      <c r="A197" s="284"/>
      <c r="B197" s="529" t="s">
        <v>641</v>
      </c>
      <c r="C197" s="523" t="s">
        <v>658</v>
      </c>
      <c r="D197" s="426" t="s">
        <v>621</v>
      </c>
      <c r="E197" s="426"/>
      <c r="F197" s="440">
        <v>5.28</v>
      </c>
      <c r="G197" s="441" t="s">
        <v>701</v>
      </c>
      <c r="H197" s="428">
        <v>1</v>
      </c>
      <c r="I197" s="530">
        <f t="shared" si="2"/>
        <v>5.28</v>
      </c>
      <c r="J197" s="285"/>
    </row>
    <row r="198" spans="1:10" ht="14.25" customHeight="1" x14ac:dyDescent="0.25">
      <c r="A198" s="284"/>
      <c r="B198" s="529" t="s">
        <v>641</v>
      </c>
      <c r="C198" s="523" t="s">
        <v>658</v>
      </c>
      <c r="D198" s="426" t="s">
        <v>617</v>
      </c>
      <c r="E198" s="426"/>
      <c r="F198" s="440">
        <v>10.66</v>
      </c>
      <c r="G198" s="441" t="s">
        <v>701</v>
      </c>
      <c r="H198" s="428">
        <v>1</v>
      </c>
      <c r="I198" s="530">
        <f t="shared" si="2"/>
        <v>10.66</v>
      </c>
      <c r="J198" s="285"/>
    </row>
    <row r="199" spans="1:10" ht="14.25" customHeight="1" x14ac:dyDescent="0.25">
      <c r="A199" s="284"/>
      <c r="B199" s="529" t="s">
        <v>641</v>
      </c>
      <c r="C199" s="523" t="s">
        <v>658</v>
      </c>
      <c r="D199" s="426" t="s">
        <v>622</v>
      </c>
      <c r="E199" s="426"/>
      <c r="F199" s="440">
        <v>31.59</v>
      </c>
      <c r="G199" s="441" t="s">
        <v>701</v>
      </c>
      <c r="H199" s="428">
        <v>1</v>
      </c>
      <c r="I199" s="530">
        <f t="shared" si="2"/>
        <v>31.59</v>
      </c>
      <c r="J199" s="285"/>
    </row>
    <row r="200" spans="1:10" ht="14.25" customHeight="1" x14ac:dyDescent="0.25">
      <c r="A200" s="284"/>
      <c r="B200" s="529" t="s">
        <v>641</v>
      </c>
      <c r="C200" s="523" t="s">
        <v>658</v>
      </c>
      <c r="D200" s="426" t="s">
        <v>623</v>
      </c>
      <c r="E200" s="426"/>
      <c r="F200" s="440">
        <v>7.34</v>
      </c>
      <c r="G200" s="441" t="s">
        <v>701</v>
      </c>
      <c r="H200" s="428">
        <v>1</v>
      </c>
      <c r="I200" s="530">
        <f t="shared" si="2"/>
        <v>7.34</v>
      </c>
      <c r="J200" s="285"/>
    </row>
    <row r="201" spans="1:10" ht="14.25" customHeight="1" x14ac:dyDescent="0.25">
      <c r="A201" s="284"/>
      <c r="B201" s="529" t="s">
        <v>641</v>
      </c>
      <c r="C201" s="523" t="s">
        <v>658</v>
      </c>
      <c r="D201" s="426" t="s">
        <v>624</v>
      </c>
      <c r="E201" s="426"/>
      <c r="F201" s="440">
        <v>18.7</v>
      </c>
      <c r="G201" s="441" t="s">
        <v>701</v>
      </c>
      <c r="H201" s="428">
        <v>1</v>
      </c>
      <c r="I201" s="530">
        <f t="shared" si="2"/>
        <v>18.7</v>
      </c>
      <c r="J201" s="285"/>
    </row>
    <row r="202" spans="1:10" ht="14.25" customHeight="1" x14ac:dyDescent="0.25">
      <c r="A202" s="284"/>
      <c r="B202" s="529" t="s">
        <v>641</v>
      </c>
      <c r="C202" s="523" t="s">
        <v>658</v>
      </c>
      <c r="D202" s="426" t="s">
        <v>625</v>
      </c>
      <c r="E202" s="426"/>
      <c r="F202" s="440">
        <v>4.83</v>
      </c>
      <c r="G202" s="441" t="s">
        <v>701</v>
      </c>
      <c r="H202" s="428">
        <v>1</v>
      </c>
      <c r="I202" s="530">
        <f t="shared" si="2"/>
        <v>4.83</v>
      </c>
      <c r="J202" s="285"/>
    </row>
    <row r="203" spans="1:10" ht="14.25" customHeight="1" x14ac:dyDescent="0.25">
      <c r="A203" s="284"/>
      <c r="B203" s="529" t="s">
        <v>641</v>
      </c>
      <c r="C203" s="523" t="s">
        <v>658</v>
      </c>
      <c r="D203" s="426" t="s">
        <v>626</v>
      </c>
      <c r="E203" s="426"/>
      <c r="F203" s="440">
        <v>18.7</v>
      </c>
      <c r="G203" s="441" t="s">
        <v>701</v>
      </c>
      <c r="H203" s="428">
        <v>1</v>
      </c>
      <c r="I203" s="530">
        <f t="shared" si="2"/>
        <v>18.7</v>
      </c>
      <c r="J203" s="285"/>
    </row>
    <row r="204" spans="1:10" ht="14.25" customHeight="1" x14ac:dyDescent="0.25">
      <c r="A204" s="284"/>
      <c r="B204" s="529" t="s">
        <v>641</v>
      </c>
      <c r="C204" s="523" t="s">
        <v>658</v>
      </c>
      <c r="D204" s="426" t="s">
        <v>627</v>
      </c>
      <c r="E204" s="426"/>
      <c r="F204" s="440">
        <v>5.82</v>
      </c>
      <c r="G204" s="441" t="s">
        <v>701</v>
      </c>
      <c r="H204" s="428">
        <v>1</v>
      </c>
      <c r="I204" s="530">
        <f t="shared" ref="I204:I267" si="3">F204*H204</f>
        <v>5.82</v>
      </c>
      <c r="J204" s="285"/>
    </row>
    <row r="205" spans="1:10" ht="14.25" customHeight="1" x14ac:dyDescent="0.25">
      <c r="A205" s="284"/>
      <c r="B205" s="529" t="s">
        <v>641</v>
      </c>
      <c r="C205" s="523" t="s">
        <v>635</v>
      </c>
      <c r="D205" s="426" t="s">
        <v>637</v>
      </c>
      <c r="E205" s="426"/>
      <c r="F205" s="440">
        <v>15.93</v>
      </c>
      <c r="G205" s="441"/>
      <c r="H205" s="428">
        <v>1</v>
      </c>
      <c r="I205" s="530">
        <f t="shared" si="3"/>
        <v>15.93</v>
      </c>
      <c r="J205" s="285"/>
    </row>
    <row r="206" spans="1:10" ht="14.25" customHeight="1" x14ac:dyDescent="0.25">
      <c r="A206" s="284"/>
      <c r="B206" s="529" t="s">
        <v>641</v>
      </c>
      <c r="C206" s="523" t="s">
        <v>635</v>
      </c>
      <c r="D206" s="426" t="s">
        <v>646</v>
      </c>
      <c r="E206" s="426"/>
      <c r="F206" s="440">
        <v>12.9</v>
      </c>
      <c r="G206" s="441" t="s">
        <v>701</v>
      </c>
      <c r="H206" s="428">
        <v>1</v>
      </c>
      <c r="I206" s="530">
        <f t="shared" si="3"/>
        <v>12.9</v>
      </c>
      <c r="J206" s="285"/>
    </row>
    <row r="207" spans="1:10" ht="14.25" customHeight="1" x14ac:dyDescent="0.25">
      <c r="A207" s="284"/>
      <c r="B207" s="529" t="s">
        <v>641</v>
      </c>
      <c r="C207" s="523" t="s">
        <v>635</v>
      </c>
      <c r="D207" s="426" t="s">
        <v>647</v>
      </c>
      <c r="E207" s="426"/>
      <c r="F207" s="440">
        <v>6.05</v>
      </c>
      <c r="G207" s="441" t="s">
        <v>701</v>
      </c>
      <c r="H207" s="428">
        <v>1</v>
      </c>
      <c r="I207" s="530">
        <f t="shared" si="3"/>
        <v>6.05</v>
      </c>
      <c r="J207" s="285"/>
    </row>
    <row r="208" spans="1:10" ht="14.25" customHeight="1" x14ac:dyDescent="0.25">
      <c r="A208" s="284"/>
      <c r="B208" s="529" t="s">
        <v>641</v>
      </c>
      <c r="C208" s="523" t="s">
        <v>635</v>
      </c>
      <c r="D208" s="426" t="s">
        <v>648</v>
      </c>
      <c r="E208" s="426"/>
      <c r="F208" s="440">
        <v>2.04</v>
      </c>
      <c r="G208" s="441" t="s">
        <v>701</v>
      </c>
      <c r="H208" s="428">
        <v>1</v>
      </c>
      <c r="I208" s="530">
        <f t="shared" si="3"/>
        <v>2.04</v>
      </c>
      <c r="J208" s="285"/>
    </row>
    <row r="209" spans="1:10" ht="14.25" customHeight="1" x14ac:dyDescent="0.25">
      <c r="A209" s="284"/>
      <c r="B209" s="529" t="s">
        <v>641</v>
      </c>
      <c r="C209" s="523" t="s">
        <v>635</v>
      </c>
      <c r="D209" s="426" t="s">
        <v>649</v>
      </c>
      <c r="E209" s="426"/>
      <c r="F209" s="440">
        <v>9.02</v>
      </c>
      <c r="G209" s="441"/>
      <c r="H209" s="428">
        <v>1</v>
      </c>
      <c r="I209" s="530">
        <f t="shared" si="3"/>
        <v>9.02</v>
      </c>
      <c r="J209" s="285"/>
    </row>
    <row r="210" spans="1:10" ht="14.25" customHeight="1" x14ac:dyDescent="0.25">
      <c r="A210" s="284"/>
      <c r="B210" s="529" t="s">
        <v>641</v>
      </c>
      <c r="C210" s="523" t="s">
        <v>635</v>
      </c>
      <c r="D210" s="426" t="s">
        <v>650</v>
      </c>
      <c r="E210" s="426"/>
      <c r="F210" s="440">
        <v>19.420000000000002</v>
      </c>
      <c r="G210" s="441" t="s">
        <v>701</v>
      </c>
      <c r="H210" s="428">
        <v>1</v>
      </c>
      <c r="I210" s="530">
        <f t="shared" si="3"/>
        <v>19.420000000000002</v>
      </c>
      <c r="J210" s="285"/>
    </row>
    <row r="211" spans="1:10" ht="14.25" customHeight="1" x14ac:dyDescent="0.25">
      <c r="A211" s="284"/>
      <c r="B211" s="529" t="s">
        <v>641</v>
      </c>
      <c r="C211" s="523" t="s">
        <v>635</v>
      </c>
      <c r="D211" s="426" t="s">
        <v>652</v>
      </c>
      <c r="E211" s="426"/>
      <c r="F211" s="440">
        <v>488.99</v>
      </c>
      <c r="G211" s="441" t="s">
        <v>701</v>
      </c>
      <c r="H211" s="428">
        <v>1</v>
      </c>
      <c r="I211" s="530">
        <f t="shared" si="3"/>
        <v>488.99</v>
      </c>
      <c r="J211" s="285"/>
    </row>
    <row r="212" spans="1:10" ht="14.25" customHeight="1" x14ac:dyDescent="0.25">
      <c r="A212" s="284"/>
      <c r="B212" s="529" t="s">
        <v>641</v>
      </c>
      <c r="C212" s="523" t="s">
        <v>657</v>
      </c>
      <c r="D212" s="426" t="s">
        <v>614</v>
      </c>
      <c r="E212" s="426"/>
      <c r="F212" s="440">
        <v>27.56</v>
      </c>
      <c r="G212" s="441" t="s">
        <v>701</v>
      </c>
      <c r="H212" s="428">
        <v>1</v>
      </c>
      <c r="I212" s="530">
        <f t="shared" si="3"/>
        <v>27.56</v>
      </c>
      <c r="J212" s="285"/>
    </row>
    <row r="213" spans="1:10" ht="14.25" customHeight="1" x14ac:dyDescent="0.25">
      <c r="A213" s="284"/>
      <c r="B213" s="529" t="s">
        <v>641</v>
      </c>
      <c r="C213" s="523" t="s">
        <v>657</v>
      </c>
      <c r="D213" s="426" t="s">
        <v>615</v>
      </c>
      <c r="E213" s="426"/>
      <c r="F213" s="440">
        <v>41.49</v>
      </c>
      <c r="G213" s="441" t="s">
        <v>701</v>
      </c>
      <c r="H213" s="428">
        <v>1</v>
      </c>
      <c r="I213" s="530">
        <f t="shared" si="3"/>
        <v>41.49</v>
      </c>
      <c r="J213" s="285"/>
    </row>
    <row r="214" spans="1:10" ht="14.25" customHeight="1" x14ac:dyDescent="0.25">
      <c r="A214" s="284"/>
      <c r="B214" s="529" t="s">
        <v>641</v>
      </c>
      <c r="C214" s="523" t="s">
        <v>657</v>
      </c>
      <c r="D214" s="426" t="s">
        <v>616</v>
      </c>
      <c r="E214" s="426"/>
      <c r="F214" s="440">
        <v>3.5</v>
      </c>
      <c r="G214" s="441" t="s">
        <v>701</v>
      </c>
      <c r="H214" s="428">
        <v>1</v>
      </c>
      <c r="I214" s="530">
        <f t="shared" si="3"/>
        <v>3.5</v>
      </c>
      <c r="J214" s="285"/>
    </row>
    <row r="215" spans="1:10" ht="14.25" customHeight="1" x14ac:dyDescent="0.25">
      <c r="A215" s="284"/>
      <c r="B215" s="529" t="s">
        <v>641</v>
      </c>
      <c r="C215" s="523" t="s">
        <v>657</v>
      </c>
      <c r="D215" s="426" t="s">
        <v>618</v>
      </c>
      <c r="E215" s="426"/>
      <c r="F215" s="440">
        <v>30.89</v>
      </c>
      <c r="G215" s="441"/>
      <c r="H215" s="428">
        <v>1</v>
      </c>
      <c r="I215" s="530">
        <f t="shared" si="3"/>
        <v>30.89</v>
      </c>
      <c r="J215" s="285"/>
    </row>
    <row r="216" spans="1:10" ht="14.25" customHeight="1" x14ac:dyDescent="0.25">
      <c r="A216" s="284"/>
      <c r="B216" s="529" t="s">
        <v>641</v>
      </c>
      <c r="C216" s="523" t="s">
        <v>657</v>
      </c>
      <c r="D216" s="426" t="s">
        <v>689</v>
      </c>
      <c r="E216" s="426"/>
      <c r="F216" s="440">
        <v>22.77</v>
      </c>
      <c r="G216" s="441" t="s">
        <v>701</v>
      </c>
      <c r="H216" s="428">
        <v>1</v>
      </c>
      <c r="I216" s="530">
        <f t="shared" si="3"/>
        <v>22.77</v>
      </c>
      <c r="J216" s="285"/>
    </row>
    <row r="217" spans="1:10" ht="14.25" customHeight="1" x14ac:dyDescent="0.25">
      <c r="A217" s="284"/>
      <c r="B217" s="529" t="s">
        <v>641</v>
      </c>
      <c r="C217" s="523" t="s">
        <v>657</v>
      </c>
      <c r="D217" s="426" t="s">
        <v>619</v>
      </c>
      <c r="E217" s="426"/>
      <c r="F217" s="440">
        <v>15.14</v>
      </c>
      <c r="G217" s="441" t="s">
        <v>701</v>
      </c>
      <c r="H217" s="428">
        <v>1</v>
      </c>
      <c r="I217" s="530">
        <f t="shared" si="3"/>
        <v>15.14</v>
      </c>
      <c r="J217" s="285"/>
    </row>
    <row r="218" spans="1:10" ht="14.25" customHeight="1" x14ac:dyDescent="0.25">
      <c r="A218" s="284"/>
      <c r="B218" s="529" t="s">
        <v>641</v>
      </c>
      <c r="C218" s="523" t="s">
        <v>657</v>
      </c>
      <c r="D218" s="426" t="s">
        <v>620</v>
      </c>
      <c r="E218" s="426"/>
      <c r="F218" s="440">
        <v>9.49</v>
      </c>
      <c r="G218" s="441" t="s">
        <v>701</v>
      </c>
      <c r="H218" s="428">
        <v>1</v>
      </c>
      <c r="I218" s="530">
        <f t="shared" si="3"/>
        <v>9.49</v>
      </c>
      <c r="J218" s="285"/>
    </row>
    <row r="219" spans="1:10" ht="14.25" customHeight="1" x14ac:dyDescent="0.25">
      <c r="A219" s="284"/>
      <c r="B219" s="529" t="s">
        <v>641</v>
      </c>
      <c r="C219" s="523" t="s">
        <v>657</v>
      </c>
      <c r="D219" s="426" t="s">
        <v>621</v>
      </c>
      <c r="E219" s="426"/>
      <c r="F219" s="440">
        <v>6.96</v>
      </c>
      <c r="G219" s="441" t="s">
        <v>701</v>
      </c>
      <c r="H219" s="428">
        <v>1</v>
      </c>
      <c r="I219" s="530">
        <f t="shared" si="3"/>
        <v>6.96</v>
      </c>
      <c r="J219" s="285"/>
    </row>
    <row r="220" spans="1:10" ht="14.25" customHeight="1" x14ac:dyDescent="0.25">
      <c r="A220" s="284"/>
      <c r="B220" s="529" t="s">
        <v>641</v>
      </c>
      <c r="C220" s="523" t="s">
        <v>657</v>
      </c>
      <c r="D220" s="426" t="s">
        <v>617</v>
      </c>
      <c r="E220" s="426"/>
      <c r="F220" s="440">
        <v>4.09</v>
      </c>
      <c r="G220" s="441" t="s">
        <v>701</v>
      </c>
      <c r="H220" s="428">
        <v>1</v>
      </c>
      <c r="I220" s="530">
        <f t="shared" si="3"/>
        <v>4.09</v>
      </c>
      <c r="J220" s="285"/>
    </row>
    <row r="221" spans="1:10" ht="14.25" customHeight="1" x14ac:dyDescent="0.25">
      <c r="A221" s="284"/>
      <c r="B221" s="529" t="s">
        <v>641</v>
      </c>
      <c r="C221" s="523" t="s">
        <v>657</v>
      </c>
      <c r="D221" s="426" t="s">
        <v>622</v>
      </c>
      <c r="E221" s="426"/>
      <c r="F221" s="440">
        <v>28.46</v>
      </c>
      <c r="G221" s="441" t="s">
        <v>701</v>
      </c>
      <c r="H221" s="428">
        <v>1</v>
      </c>
      <c r="I221" s="530">
        <f t="shared" si="3"/>
        <v>28.46</v>
      </c>
      <c r="J221" s="285"/>
    </row>
    <row r="222" spans="1:10" ht="14.25" customHeight="1" x14ac:dyDescent="0.25">
      <c r="A222" s="284"/>
      <c r="B222" s="529" t="s">
        <v>641</v>
      </c>
      <c r="C222" s="523" t="s">
        <v>657</v>
      </c>
      <c r="D222" s="426" t="s">
        <v>623</v>
      </c>
      <c r="E222" s="426"/>
      <c r="F222" s="440">
        <v>6.9</v>
      </c>
      <c r="G222" s="441" t="s">
        <v>701</v>
      </c>
      <c r="H222" s="428">
        <v>1</v>
      </c>
      <c r="I222" s="530">
        <f t="shared" si="3"/>
        <v>6.9</v>
      </c>
      <c r="J222" s="285"/>
    </row>
    <row r="223" spans="1:10" ht="14.25" customHeight="1" x14ac:dyDescent="0.25">
      <c r="A223" s="284"/>
      <c r="B223" s="529" t="s">
        <v>641</v>
      </c>
      <c r="C223" s="523" t="s">
        <v>657</v>
      </c>
      <c r="D223" s="426" t="s">
        <v>630</v>
      </c>
      <c r="E223" s="426"/>
      <c r="F223" s="440">
        <v>18.87</v>
      </c>
      <c r="G223" s="441" t="s">
        <v>701</v>
      </c>
      <c r="H223" s="428">
        <v>1</v>
      </c>
      <c r="I223" s="530">
        <f t="shared" si="3"/>
        <v>18.87</v>
      </c>
      <c r="J223" s="285"/>
    </row>
    <row r="224" spans="1:10" ht="14.25" customHeight="1" x14ac:dyDescent="0.25">
      <c r="A224" s="284"/>
      <c r="B224" s="529" t="s">
        <v>641</v>
      </c>
      <c r="C224" s="523" t="s">
        <v>657</v>
      </c>
      <c r="D224" s="426" t="s">
        <v>631</v>
      </c>
      <c r="E224" s="426"/>
      <c r="F224" s="440">
        <v>4.8499999999999996</v>
      </c>
      <c r="G224" s="441" t="s">
        <v>701</v>
      </c>
      <c r="H224" s="428">
        <v>1</v>
      </c>
      <c r="I224" s="530">
        <f t="shared" si="3"/>
        <v>4.8499999999999996</v>
      </c>
      <c r="J224" s="285"/>
    </row>
    <row r="225" spans="1:10" ht="14.25" customHeight="1" x14ac:dyDescent="0.25">
      <c r="A225" s="284"/>
      <c r="B225" s="529" t="s">
        <v>641</v>
      </c>
      <c r="C225" s="523" t="s">
        <v>657</v>
      </c>
      <c r="D225" s="426" t="s">
        <v>624</v>
      </c>
      <c r="E225" s="426"/>
      <c r="F225" s="440">
        <v>18.850000000000001</v>
      </c>
      <c r="G225" s="441" t="s">
        <v>701</v>
      </c>
      <c r="H225" s="428">
        <v>1</v>
      </c>
      <c r="I225" s="530">
        <f t="shared" si="3"/>
        <v>18.850000000000001</v>
      </c>
      <c r="J225" s="285"/>
    </row>
    <row r="226" spans="1:10" ht="14.25" customHeight="1" x14ac:dyDescent="0.25">
      <c r="A226" s="284"/>
      <c r="B226" s="529" t="s">
        <v>641</v>
      </c>
      <c r="C226" s="523" t="s">
        <v>657</v>
      </c>
      <c r="D226" s="426" t="s">
        <v>625</v>
      </c>
      <c r="E226" s="426"/>
      <c r="F226" s="440">
        <v>4.8499999999999996</v>
      </c>
      <c r="G226" s="441" t="s">
        <v>701</v>
      </c>
      <c r="H226" s="428">
        <v>1</v>
      </c>
      <c r="I226" s="530">
        <f t="shared" si="3"/>
        <v>4.8499999999999996</v>
      </c>
      <c r="J226" s="285"/>
    </row>
    <row r="227" spans="1:10" ht="14.25" customHeight="1" x14ac:dyDescent="0.25">
      <c r="A227" s="284"/>
      <c r="B227" s="529" t="s">
        <v>641</v>
      </c>
      <c r="C227" s="523" t="s">
        <v>657</v>
      </c>
      <c r="D227" s="426" t="s">
        <v>626</v>
      </c>
      <c r="E227" s="426"/>
      <c r="F227" s="440">
        <v>18.850000000000001</v>
      </c>
      <c r="G227" s="441" t="s">
        <v>701</v>
      </c>
      <c r="H227" s="428">
        <v>1</v>
      </c>
      <c r="I227" s="530">
        <f t="shared" si="3"/>
        <v>18.850000000000001</v>
      </c>
      <c r="J227" s="285"/>
    </row>
    <row r="228" spans="1:10" ht="14.25" customHeight="1" x14ac:dyDescent="0.25">
      <c r="A228" s="284"/>
      <c r="B228" s="529" t="s">
        <v>641</v>
      </c>
      <c r="C228" s="523" t="s">
        <v>657</v>
      </c>
      <c r="D228" s="426" t="s">
        <v>627</v>
      </c>
      <c r="E228" s="426"/>
      <c r="F228" s="440">
        <v>4.8499999999999996</v>
      </c>
      <c r="G228" s="441" t="s">
        <v>701</v>
      </c>
      <c r="H228" s="428">
        <v>1</v>
      </c>
      <c r="I228" s="530">
        <f t="shared" si="3"/>
        <v>4.8499999999999996</v>
      </c>
      <c r="J228" s="285"/>
    </row>
    <row r="229" spans="1:10" ht="14.25" customHeight="1" x14ac:dyDescent="0.25">
      <c r="A229" s="284"/>
      <c r="B229" s="529" t="s">
        <v>641</v>
      </c>
      <c r="C229" s="523" t="s">
        <v>656</v>
      </c>
      <c r="D229" s="426" t="s">
        <v>614</v>
      </c>
      <c r="E229" s="426"/>
      <c r="F229" s="440">
        <v>23.35</v>
      </c>
      <c r="G229" s="441" t="s">
        <v>701</v>
      </c>
      <c r="H229" s="428">
        <v>1</v>
      </c>
      <c r="I229" s="530">
        <f t="shared" si="3"/>
        <v>23.35</v>
      </c>
      <c r="J229" s="285"/>
    </row>
    <row r="230" spans="1:10" ht="14.25" customHeight="1" x14ac:dyDescent="0.25">
      <c r="A230" s="284"/>
      <c r="B230" s="529" t="s">
        <v>641</v>
      </c>
      <c r="C230" s="523" t="s">
        <v>656</v>
      </c>
      <c r="D230" s="426" t="s">
        <v>615</v>
      </c>
      <c r="E230" s="426"/>
      <c r="F230" s="440">
        <v>27.85</v>
      </c>
      <c r="G230" s="441" t="s">
        <v>701</v>
      </c>
      <c r="H230" s="428">
        <v>1</v>
      </c>
      <c r="I230" s="530">
        <f t="shared" si="3"/>
        <v>27.85</v>
      </c>
      <c r="J230" s="285"/>
    </row>
    <row r="231" spans="1:10" ht="14.25" customHeight="1" x14ac:dyDescent="0.25">
      <c r="A231" s="284"/>
      <c r="B231" s="529" t="s">
        <v>641</v>
      </c>
      <c r="C231" s="523" t="s">
        <v>656</v>
      </c>
      <c r="D231" s="426" t="s">
        <v>616</v>
      </c>
      <c r="E231" s="426"/>
      <c r="F231" s="440">
        <v>3.4</v>
      </c>
      <c r="G231" s="441" t="s">
        <v>701</v>
      </c>
      <c r="H231" s="428">
        <v>1</v>
      </c>
      <c r="I231" s="530">
        <f t="shared" si="3"/>
        <v>3.4</v>
      </c>
      <c r="J231" s="285"/>
    </row>
    <row r="232" spans="1:10" ht="14.25" customHeight="1" x14ac:dyDescent="0.25">
      <c r="A232" s="284"/>
      <c r="B232" s="529" t="s">
        <v>641</v>
      </c>
      <c r="C232" s="523" t="s">
        <v>656</v>
      </c>
      <c r="D232" s="426" t="s">
        <v>618</v>
      </c>
      <c r="E232" s="426"/>
      <c r="F232" s="440">
        <v>32.5</v>
      </c>
      <c r="G232" s="441"/>
      <c r="H232" s="428">
        <v>1</v>
      </c>
      <c r="I232" s="530">
        <f t="shared" si="3"/>
        <v>32.5</v>
      </c>
      <c r="J232" s="285"/>
    </row>
    <row r="233" spans="1:10" ht="14.25" customHeight="1" x14ac:dyDescent="0.25">
      <c r="A233" s="284"/>
      <c r="B233" s="529" t="s">
        <v>641</v>
      </c>
      <c r="C233" s="523" t="s">
        <v>656</v>
      </c>
      <c r="D233" s="426" t="s">
        <v>689</v>
      </c>
      <c r="E233" s="426"/>
      <c r="F233" s="440">
        <v>22.8</v>
      </c>
      <c r="G233" s="441" t="s">
        <v>701</v>
      </c>
      <c r="H233" s="428">
        <v>1</v>
      </c>
      <c r="I233" s="530">
        <f t="shared" si="3"/>
        <v>22.8</v>
      </c>
      <c r="J233" s="285"/>
    </row>
    <row r="234" spans="1:10" ht="14.25" customHeight="1" x14ac:dyDescent="0.25">
      <c r="A234" s="284"/>
      <c r="B234" s="529" t="s">
        <v>641</v>
      </c>
      <c r="C234" s="523" t="s">
        <v>656</v>
      </c>
      <c r="D234" s="426" t="s">
        <v>619</v>
      </c>
      <c r="E234" s="426"/>
      <c r="F234" s="440">
        <v>15.61</v>
      </c>
      <c r="G234" s="441" t="s">
        <v>701</v>
      </c>
      <c r="H234" s="428">
        <v>1</v>
      </c>
      <c r="I234" s="530">
        <f t="shared" si="3"/>
        <v>15.61</v>
      </c>
      <c r="J234" s="285"/>
    </row>
    <row r="235" spans="1:10" ht="14.25" customHeight="1" x14ac:dyDescent="0.25">
      <c r="A235" s="284"/>
      <c r="B235" s="529" t="s">
        <v>641</v>
      </c>
      <c r="C235" s="523" t="s">
        <v>656</v>
      </c>
      <c r="D235" s="426" t="s">
        <v>620</v>
      </c>
      <c r="E235" s="426"/>
      <c r="F235" s="440">
        <v>7.53</v>
      </c>
      <c r="G235" s="441" t="s">
        <v>701</v>
      </c>
      <c r="H235" s="428">
        <v>1</v>
      </c>
      <c r="I235" s="530">
        <f t="shared" si="3"/>
        <v>7.53</v>
      </c>
      <c r="J235" s="285"/>
    </row>
    <row r="236" spans="1:10" ht="14.25" customHeight="1" x14ac:dyDescent="0.25">
      <c r="A236" s="284"/>
      <c r="B236" s="529" t="s">
        <v>641</v>
      </c>
      <c r="C236" s="523" t="s">
        <v>656</v>
      </c>
      <c r="D236" s="426" t="s">
        <v>621</v>
      </c>
      <c r="E236" s="426"/>
      <c r="F236" s="440">
        <v>4.22</v>
      </c>
      <c r="G236" s="441" t="s">
        <v>701</v>
      </c>
      <c r="H236" s="428">
        <v>1</v>
      </c>
      <c r="I236" s="530">
        <f t="shared" si="3"/>
        <v>4.22</v>
      </c>
      <c r="J236" s="285"/>
    </row>
    <row r="237" spans="1:10" ht="14.25" customHeight="1" x14ac:dyDescent="0.25">
      <c r="A237" s="284"/>
      <c r="B237" s="529" t="s">
        <v>641</v>
      </c>
      <c r="C237" s="523" t="s">
        <v>656</v>
      </c>
      <c r="D237" s="426" t="s">
        <v>617</v>
      </c>
      <c r="E237" s="426"/>
      <c r="F237" s="440">
        <v>11.99</v>
      </c>
      <c r="G237" s="441" t="s">
        <v>701</v>
      </c>
      <c r="H237" s="428">
        <v>1</v>
      </c>
      <c r="I237" s="530">
        <f t="shared" si="3"/>
        <v>11.99</v>
      </c>
      <c r="J237" s="285"/>
    </row>
    <row r="238" spans="1:10" ht="14.25" customHeight="1" x14ac:dyDescent="0.25">
      <c r="A238" s="284"/>
      <c r="B238" s="529" t="s">
        <v>641</v>
      </c>
      <c r="C238" s="523" t="s">
        <v>656</v>
      </c>
      <c r="D238" s="426" t="s">
        <v>622</v>
      </c>
      <c r="E238" s="426"/>
      <c r="F238" s="440">
        <v>27.24</v>
      </c>
      <c r="G238" s="441" t="s">
        <v>701</v>
      </c>
      <c r="H238" s="428">
        <v>1</v>
      </c>
      <c r="I238" s="530">
        <f t="shared" si="3"/>
        <v>27.24</v>
      </c>
      <c r="J238" s="285"/>
    </row>
    <row r="239" spans="1:10" ht="14.25" customHeight="1" x14ac:dyDescent="0.25">
      <c r="A239" s="284"/>
      <c r="B239" s="529" t="s">
        <v>641</v>
      </c>
      <c r="C239" s="523" t="s">
        <v>656</v>
      </c>
      <c r="D239" s="426" t="s">
        <v>623</v>
      </c>
      <c r="E239" s="426"/>
      <c r="F239" s="440">
        <v>7.54</v>
      </c>
      <c r="G239" s="441" t="s">
        <v>701</v>
      </c>
      <c r="H239" s="428">
        <v>1</v>
      </c>
      <c r="I239" s="530">
        <f t="shared" si="3"/>
        <v>7.54</v>
      </c>
      <c r="J239" s="285"/>
    </row>
    <row r="240" spans="1:10" ht="14.25" customHeight="1" x14ac:dyDescent="0.25">
      <c r="A240" s="284"/>
      <c r="B240" s="529" t="s">
        <v>641</v>
      </c>
      <c r="C240" s="523" t="s">
        <v>656</v>
      </c>
      <c r="D240" s="426" t="s">
        <v>624</v>
      </c>
      <c r="E240" s="426"/>
      <c r="F240" s="440">
        <v>18.87</v>
      </c>
      <c r="G240" s="441" t="s">
        <v>701</v>
      </c>
      <c r="H240" s="428">
        <v>1</v>
      </c>
      <c r="I240" s="530">
        <f t="shared" si="3"/>
        <v>18.87</v>
      </c>
      <c r="J240" s="285"/>
    </row>
    <row r="241" spans="1:10" ht="14.25" customHeight="1" x14ac:dyDescent="0.25">
      <c r="A241" s="284"/>
      <c r="B241" s="529" t="s">
        <v>641</v>
      </c>
      <c r="C241" s="523" t="s">
        <v>656</v>
      </c>
      <c r="D241" s="426" t="s">
        <v>625</v>
      </c>
      <c r="E241" s="426"/>
      <c r="F241" s="440">
        <v>4.8499999999999996</v>
      </c>
      <c r="G241" s="441" t="s">
        <v>701</v>
      </c>
      <c r="H241" s="428">
        <v>1</v>
      </c>
      <c r="I241" s="530">
        <f t="shared" si="3"/>
        <v>4.8499999999999996</v>
      </c>
      <c r="J241" s="285"/>
    </row>
    <row r="242" spans="1:10" ht="14.25" customHeight="1" x14ac:dyDescent="0.25">
      <c r="A242" s="284"/>
      <c r="B242" s="529" t="s">
        <v>641</v>
      </c>
      <c r="C242" s="523" t="s">
        <v>656</v>
      </c>
      <c r="D242" s="426" t="s">
        <v>626</v>
      </c>
      <c r="E242" s="426"/>
      <c r="F242" s="440">
        <v>18.87</v>
      </c>
      <c r="G242" s="441" t="s">
        <v>701</v>
      </c>
      <c r="H242" s="428">
        <v>1</v>
      </c>
      <c r="I242" s="530">
        <f t="shared" si="3"/>
        <v>18.87</v>
      </c>
      <c r="J242" s="285"/>
    </row>
    <row r="243" spans="1:10" ht="14.25" customHeight="1" x14ac:dyDescent="0.25">
      <c r="A243" s="284"/>
      <c r="B243" s="529" t="s">
        <v>641</v>
      </c>
      <c r="C243" s="523" t="s">
        <v>656</v>
      </c>
      <c r="D243" s="426" t="s">
        <v>627</v>
      </c>
      <c r="E243" s="426"/>
      <c r="F243" s="440">
        <v>4.8499999999999996</v>
      </c>
      <c r="G243" s="441" t="s">
        <v>701</v>
      </c>
      <c r="H243" s="428">
        <v>1</v>
      </c>
      <c r="I243" s="530">
        <f t="shared" si="3"/>
        <v>4.8499999999999996</v>
      </c>
      <c r="J243" s="285"/>
    </row>
    <row r="244" spans="1:10" ht="14.25" customHeight="1" x14ac:dyDescent="0.25">
      <c r="A244" s="284"/>
      <c r="B244" s="529" t="s">
        <v>641</v>
      </c>
      <c r="C244" s="523" t="s">
        <v>659</v>
      </c>
      <c r="D244" s="426" t="s">
        <v>614</v>
      </c>
      <c r="E244" s="426"/>
      <c r="F244" s="440">
        <v>22.08</v>
      </c>
      <c r="G244" s="441" t="s">
        <v>701</v>
      </c>
      <c r="H244" s="428">
        <v>1</v>
      </c>
      <c r="I244" s="530">
        <f t="shared" si="3"/>
        <v>22.08</v>
      </c>
      <c r="J244" s="285"/>
    </row>
    <row r="245" spans="1:10" ht="14.25" customHeight="1" x14ac:dyDescent="0.25">
      <c r="A245" s="284"/>
      <c r="B245" s="529" t="s">
        <v>641</v>
      </c>
      <c r="C245" s="523" t="s">
        <v>659</v>
      </c>
      <c r="D245" s="426" t="s">
        <v>615</v>
      </c>
      <c r="E245" s="426"/>
      <c r="F245" s="440">
        <v>34.340000000000003</v>
      </c>
      <c r="G245" s="441" t="s">
        <v>701</v>
      </c>
      <c r="H245" s="428">
        <v>1</v>
      </c>
      <c r="I245" s="530">
        <f t="shared" si="3"/>
        <v>34.340000000000003</v>
      </c>
      <c r="J245" s="285"/>
    </row>
    <row r="246" spans="1:10" ht="14.25" customHeight="1" x14ac:dyDescent="0.25">
      <c r="A246" s="284"/>
      <c r="B246" s="529" t="s">
        <v>641</v>
      </c>
      <c r="C246" s="523" t="s">
        <v>659</v>
      </c>
      <c r="D246" s="426" t="s">
        <v>616</v>
      </c>
      <c r="E246" s="426"/>
      <c r="F246" s="440">
        <v>3.47</v>
      </c>
      <c r="G246" s="441" t="s">
        <v>701</v>
      </c>
      <c r="H246" s="428">
        <v>1</v>
      </c>
      <c r="I246" s="530">
        <f t="shared" si="3"/>
        <v>3.47</v>
      </c>
      <c r="J246" s="285"/>
    </row>
    <row r="247" spans="1:10" ht="14.25" customHeight="1" x14ac:dyDescent="0.25">
      <c r="A247" s="284"/>
      <c r="B247" s="529" t="s">
        <v>641</v>
      </c>
      <c r="C247" s="523" t="s">
        <v>659</v>
      </c>
      <c r="D247" s="426" t="s">
        <v>618</v>
      </c>
      <c r="E247" s="426"/>
      <c r="F247" s="440">
        <v>17.28</v>
      </c>
      <c r="G247" s="441"/>
      <c r="H247" s="428">
        <v>1</v>
      </c>
      <c r="I247" s="530">
        <f t="shared" si="3"/>
        <v>17.28</v>
      </c>
      <c r="J247" s="285"/>
    </row>
    <row r="248" spans="1:10" ht="14.25" customHeight="1" x14ac:dyDescent="0.25">
      <c r="A248" s="284"/>
      <c r="B248" s="529" t="s">
        <v>641</v>
      </c>
      <c r="C248" s="523" t="s">
        <v>659</v>
      </c>
      <c r="D248" s="426" t="s">
        <v>689</v>
      </c>
      <c r="E248" s="426"/>
      <c r="F248" s="440">
        <v>19.23</v>
      </c>
      <c r="G248" s="441" t="s">
        <v>701</v>
      </c>
      <c r="H248" s="428">
        <v>1</v>
      </c>
      <c r="I248" s="530">
        <f t="shared" si="3"/>
        <v>19.23</v>
      </c>
      <c r="J248" s="285"/>
    </row>
    <row r="249" spans="1:10" ht="14.25" customHeight="1" x14ac:dyDescent="0.25">
      <c r="A249" s="284"/>
      <c r="B249" s="529" t="s">
        <v>641</v>
      </c>
      <c r="C249" s="523" t="s">
        <v>659</v>
      </c>
      <c r="D249" s="426" t="s">
        <v>619</v>
      </c>
      <c r="E249" s="426"/>
      <c r="F249" s="440">
        <v>16.88</v>
      </c>
      <c r="G249" s="441" t="s">
        <v>701</v>
      </c>
      <c r="H249" s="428">
        <v>1</v>
      </c>
      <c r="I249" s="530">
        <f t="shared" si="3"/>
        <v>16.88</v>
      </c>
      <c r="J249" s="285"/>
    </row>
    <row r="250" spans="1:10" ht="14.25" customHeight="1" x14ac:dyDescent="0.25">
      <c r="A250" s="284"/>
      <c r="B250" s="529" t="s">
        <v>641</v>
      </c>
      <c r="C250" s="523" t="s">
        <v>659</v>
      </c>
      <c r="D250" s="426" t="s">
        <v>620</v>
      </c>
      <c r="E250" s="426"/>
      <c r="F250" s="440">
        <v>10.95</v>
      </c>
      <c r="G250" s="441" t="s">
        <v>701</v>
      </c>
      <c r="H250" s="428">
        <v>1</v>
      </c>
      <c r="I250" s="530">
        <f t="shared" si="3"/>
        <v>10.95</v>
      </c>
      <c r="J250" s="285"/>
    </row>
    <row r="251" spans="1:10" ht="14.25" customHeight="1" x14ac:dyDescent="0.25">
      <c r="A251" s="284"/>
      <c r="B251" s="529" t="s">
        <v>641</v>
      </c>
      <c r="C251" s="523" t="s">
        <v>659</v>
      </c>
      <c r="D251" s="426" t="s">
        <v>639</v>
      </c>
      <c r="E251" s="426"/>
      <c r="F251" s="440">
        <v>2.75</v>
      </c>
      <c r="G251" s="441" t="s">
        <v>701</v>
      </c>
      <c r="H251" s="428">
        <v>1</v>
      </c>
      <c r="I251" s="530">
        <f t="shared" si="3"/>
        <v>2.75</v>
      </c>
      <c r="J251" s="285"/>
    </row>
    <row r="252" spans="1:10" ht="14.25" customHeight="1" x14ac:dyDescent="0.25">
      <c r="A252" s="284"/>
      <c r="B252" s="529" t="s">
        <v>641</v>
      </c>
      <c r="C252" s="523" t="s">
        <v>659</v>
      </c>
      <c r="D252" s="426" t="s">
        <v>651</v>
      </c>
      <c r="E252" s="426"/>
      <c r="F252" s="440">
        <v>9.9499999999999993</v>
      </c>
      <c r="G252" s="441" t="s">
        <v>701</v>
      </c>
      <c r="H252" s="428">
        <v>1</v>
      </c>
      <c r="I252" s="530">
        <f t="shared" si="3"/>
        <v>9.9499999999999993</v>
      </c>
      <c r="J252" s="285"/>
    </row>
    <row r="253" spans="1:10" ht="14.25" customHeight="1" x14ac:dyDescent="0.25">
      <c r="A253" s="284"/>
      <c r="B253" s="529" t="s">
        <v>641</v>
      </c>
      <c r="C253" s="523" t="s">
        <v>659</v>
      </c>
      <c r="D253" s="426" t="s">
        <v>621</v>
      </c>
      <c r="E253" s="426"/>
      <c r="F253" s="440">
        <v>2.65</v>
      </c>
      <c r="G253" s="441" t="s">
        <v>701</v>
      </c>
      <c r="H253" s="428">
        <v>1</v>
      </c>
      <c r="I253" s="530">
        <f t="shared" si="3"/>
        <v>2.65</v>
      </c>
      <c r="J253" s="285"/>
    </row>
    <row r="254" spans="1:10" ht="14.25" customHeight="1" x14ac:dyDescent="0.25">
      <c r="A254" s="284"/>
      <c r="B254" s="529" t="s">
        <v>641</v>
      </c>
      <c r="C254" s="523" t="s">
        <v>659</v>
      </c>
      <c r="D254" s="426" t="s">
        <v>617</v>
      </c>
      <c r="E254" s="426"/>
      <c r="F254" s="440">
        <v>15.41</v>
      </c>
      <c r="G254" s="441" t="s">
        <v>701</v>
      </c>
      <c r="H254" s="428">
        <v>1</v>
      </c>
      <c r="I254" s="530">
        <f t="shared" si="3"/>
        <v>15.41</v>
      </c>
      <c r="J254" s="285"/>
    </row>
    <row r="255" spans="1:10" ht="14.25" customHeight="1" x14ac:dyDescent="0.25">
      <c r="A255" s="284"/>
      <c r="B255" s="529" t="s">
        <v>641</v>
      </c>
      <c r="C255" s="523" t="s">
        <v>659</v>
      </c>
      <c r="D255" s="426" t="s">
        <v>622</v>
      </c>
      <c r="E255" s="426"/>
      <c r="F255" s="440">
        <v>32.67</v>
      </c>
      <c r="G255" s="441" t="s">
        <v>701</v>
      </c>
      <c r="H255" s="428">
        <v>1</v>
      </c>
      <c r="I255" s="530">
        <f t="shared" si="3"/>
        <v>32.67</v>
      </c>
      <c r="J255" s="285"/>
    </row>
    <row r="256" spans="1:10" ht="14.25" customHeight="1" x14ac:dyDescent="0.25">
      <c r="A256" s="284"/>
      <c r="B256" s="529" t="s">
        <v>641</v>
      </c>
      <c r="C256" s="523" t="s">
        <v>659</v>
      </c>
      <c r="D256" s="426" t="s">
        <v>623</v>
      </c>
      <c r="E256" s="426"/>
      <c r="F256" s="440">
        <v>9.58</v>
      </c>
      <c r="G256" s="441" t="s">
        <v>701</v>
      </c>
      <c r="H256" s="428">
        <v>1</v>
      </c>
      <c r="I256" s="530">
        <f t="shared" si="3"/>
        <v>9.58</v>
      </c>
      <c r="J256" s="285"/>
    </row>
    <row r="257" spans="1:10" ht="14.25" customHeight="1" x14ac:dyDescent="0.25">
      <c r="A257" s="284"/>
      <c r="B257" s="529" t="s">
        <v>641</v>
      </c>
      <c r="C257" s="523" t="s">
        <v>659</v>
      </c>
      <c r="D257" s="426" t="s">
        <v>630</v>
      </c>
      <c r="E257" s="426"/>
      <c r="F257" s="440">
        <v>17.100000000000001</v>
      </c>
      <c r="G257" s="441" t="s">
        <v>701</v>
      </c>
      <c r="H257" s="428">
        <v>1</v>
      </c>
      <c r="I257" s="530">
        <f t="shared" si="3"/>
        <v>17.100000000000001</v>
      </c>
      <c r="J257" s="285"/>
    </row>
    <row r="258" spans="1:10" ht="14.25" customHeight="1" x14ac:dyDescent="0.25">
      <c r="A258" s="284"/>
      <c r="B258" s="529" t="s">
        <v>641</v>
      </c>
      <c r="C258" s="523" t="s">
        <v>659</v>
      </c>
      <c r="D258" s="426" t="s">
        <v>631</v>
      </c>
      <c r="E258" s="426"/>
      <c r="F258" s="440">
        <v>4.6399999999999997</v>
      </c>
      <c r="G258" s="441" t="s">
        <v>701</v>
      </c>
      <c r="H258" s="428">
        <v>1</v>
      </c>
      <c r="I258" s="530">
        <f t="shared" si="3"/>
        <v>4.6399999999999997</v>
      </c>
      <c r="J258" s="285"/>
    </row>
    <row r="259" spans="1:10" ht="14.25" customHeight="1" x14ac:dyDescent="0.25">
      <c r="A259" s="284"/>
      <c r="B259" s="529" t="s">
        <v>641</v>
      </c>
      <c r="C259" s="523" t="s">
        <v>659</v>
      </c>
      <c r="D259" s="426" t="s">
        <v>624</v>
      </c>
      <c r="E259" s="426"/>
      <c r="F259" s="440">
        <v>17.100000000000001</v>
      </c>
      <c r="G259" s="441" t="s">
        <v>701</v>
      </c>
      <c r="H259" s="428">
        <v>1</v>
      </c>
      <c r="I259" s="530">
        <f t="shared" si="3"/>
        <v>17.100000000000001</v>
      </c>
      <c r="J259" s="285"/>
    </row>
    <row r="260" spans="1:10" ht="14.25" customHeight="1" x14ac:dyDescent="0.25">
      <c r="A260" s="284"/>
      <c r="B260" s="529" t="s">
        <v>641</v>
      </c>
      <c r="C260" s="523" t="s">
        <v>659</v>
      </c>
      <c r="D260" s="426" t="s">
        <v>625</v>
      </c>
      <c r="E260" s="426"/>
      <c r="F260" s="440">
        <v>4.6399999999999997</v>
      </c>
      <c r="G260" s="441" t="s">
        <v>701</v>
      </c>
      <c r="H260" s="428">
        <v>1</v>
      </c>
      <c r="I260" s="530">
        <f t="shared" si="3"/>
        <v>4.6399999999999997</v>
      </c>
      <c r="J260" s="285"/>
    </row>
    <row r="261" spans="1:10" ht="14.25" customHeight="1" x14ac:dyDescent="0.25">
      <c r="A261" s="284"/>
      <c r="B261" s="529" t="s">
        <v>641</v>
      </c>
      <c r="C261" s="523" t="s">
        <v>659</v>
      </c>
      <c r="D261" s="426" t="s">
        <v>626</v>
      </c>
      <c r="E261" s="426"/>
      <c r="F261" s="440">
        <v>13.66</v>
      </c>
      <c r="G261" s="441" t="s">
        <v>701</v>
      </c>
      <c r="H261" s="428">
        <v>1</v>
      </c>
      <c r="I261" s="530">
        <f t="shared" si="3"/>
        <v>13.66</v>
      </c>
      <c r="J261" s="285"/>
    </row>
    <row r="262" spans="1:10" ht="14.25" customHeight="1" x14ac:dyDescent="0.25">
      <c r="A262" s="284"/>
      <c r="B262" s="529" t="s">
        <v>641</v>
      </c>
      <c r="C262" s="523" t="s">
        <v>659</v>
      </c>
      <c r="D262" s="426" t="s">
        <v>627</v>
      </c>
      <c r="E262" s="426"/>
      <c r="F262" s="440">
        <v>3.78</v>
      </c>
      <c r="G262" s="441" t="s">
        <v>701</v>
      </c>
      <c r="H262" s="428">
        <v>1</v>
      </c>
      <c r="I262" s="530">
        <f t="shared" si="3"/>
        <v>3.78</v>
      </c>
      <c r="J262" s="285"/>
    </row>
    <row r="263" spans="1:10" ht="14.25" customHeight="1" x14ac:dyDescent="0.25">
      <c r="A263" s="284"/>
      <c r="B263" s="529" t="s">
        <v>667</v>
      </c>
      <c r="C263" s="523" t="s">
        <v>663</v>
      </c>
      <c r="D263" s="426" t="s">
        <v>614</v>
      </c>
      <c r="E263" s="426"/>
      <c r="F263" s="440">
        <v>26.21</v>
      </c>
      <c r="G263" s="441" t="s">
        <v>701</v>
      </c>
      <c r="H263" s="428">
        <v>1</v>
      </c>
      <c r="I263" s="530">
        <f t="shared" si="3"/>
        <v>26.21</v>
      </c>
      <c r="J263" s="285"/>
    </row>
    <row r="264" spans="1:10" ht="14.25" customHeight="1" x14ac:dyDescent="0.25">
      <c r="A264" s="284"/>
      <c r="B264" s="529" t="s">
        <v>667</v>
      </c>
      <c r="C264" s="523" t="s">
        <v>663</v>
      </c>
      <c r="D264" s="426" t="s">
        <v>615</v>
      </c>
      <c r="E264" s="426"/>
      <c r="F264" s="440">
        <v>26.77</v>
      </c>
      <c r="G264" s="441" t="s">
        <v>701</v>
      </c>
      <c r="H264" s="428">
        <v>1</v>
      </c>
      <c r="I264" s="530">
        <f t="shared" si="3"/>
        <v>26.77</v>
      </c>
      <c r="J264" s="285"/>
    </row>
    <row r="265" spans="1:10" ht="14.25" customHeight="1" x14ac:dyDescent="0.25">
      <c r="A265" s="284"/>
      <c r="B265" s="529" t="s">
        <v>667</v>
      </c>
      <c r="C265" s="523" t="s">
        <v>663</v>
      </c>
      <c r="D265" s="426" t="s">
        <v>616</v>
      </c>
      <c r="E265" s="426"/>
      <c r="F265" s="440">
        <v>3.31</v>
      </c>
      <c r="G265" s="441" t="s">
        <v>701</v>
      </c>
      <c r="H265" s="428">
        <v>1</v>
      </c>
      <c r="I265" s="530">
        <f t="shared" si="3"/>
        <v>3.31</v>
      </c>
      <c r="J265" s="285"/>
    </row>
    <row r="266" spans="1:10" ht="14.25" customHeight="1" x14ac:dyDescent="0.25">
      <c r="A266" s="284"/>
      <c r="B266" s="529" t="s">
        <v>667</v>
      </c>
      <c r="C266" s="523" t="s">
        <v>663</v>
      </c>
      <c r="D266" s="426" t="s">
        <v>618</v>
      </c>
      <c r="E266" s="426"/>
      <c r="F266" s="440">
        <v>24.32</v>
      </c>
      <c r="G266" s="441"/>
      <c r="H266" s="428">
        <v>1</v>
      </c>
      <c r="I266" s="530">
        <f t="shared" si="3"/>
        <v>24.32</v>
      </c>
      <c r="J266" s="285"/>
    </row>
    <row r="267" spans="1:10" ht="14.25" customHeight="1" x14ac:dyDescent="0.25">
      <c r="A267" s="284"/>
      <c r="B267" s="529" t="s">
        <v>667</v>
      </c>
      <c r="C267" s="523" t="s">
        <v>663</v>
      </c>
      <c r="D267" s="426" t="s">
        <v>689</v>
      </c>
      <c r="E267" s="426"/>
      <c r="F267" s="440">
        <v>22.76</v>
      </c>
      <c r="G267" s="441" t="s">
        <v>701</v>
      </c>
      <c r="H267" s="428">
        <v>1</v>
      </c>
      <c r="I267" s="530">
        <f t="shared" si="3"/>
        <v>22.76</v>
      </c>
      <c r="J267" s="285"/>
    </row>
    <row r="268" spans="1:10" ht="14.25" customHeight="1" x14ac:dyDescent="0.25">
      <c r="A268" s="284"/>
      <c r="B268" s="529" t="s">
        <v>667</v>
      </c>
      <c r="C268" s="523" t="s">
        <v>663</v>
      </c>
      <c r="D268" s="426" t="s">
        <v>619</v>
      </c>
      <c r="E268" s="426"/>
      <c r="F268" s="440">
        <v>13.12</v>
      </c>
      <c r="G268" s="441" t="s">
        <v>701</v>
      </c>
      <c r="H268" s="428">
        <v>1</v>
      </c>
      <c r="I268" s="530">
        <f t="shared" ref="I268:I331" si="4">F268*H268</f>
        <v>13.12</v>
      </c>
      <c r="J268" s="285"/>
    </row>
    <row r="269" spans="1:10" ht="14.25" customHeight="1" x14ac:dyDescent="0.25">
      <c r="A269" s="284"/>
      <c r="B269" s="529" t="s">
        <v>667</v>
      </c>
      <c r="C269" s="523" t="s">
        <v>663</v>
      </c>
      <c r="D269" s="426" t="s">
        <v>620</v>
      </c>
      <c r="E269" s="426"/>
      <c r="F269" s="440">
        <v>6.95</v>
      </c>
      <c r="G269" s="441" t="s">
        <v>701</v>
      </c>
      <c r="H269" s="428">
        <v>1</v>
      </c>
      <c r="I269" s="530">
        <f t="shared" si="4"/>
        <v>6.95</v>
      </c>
      <c r="J269" s="285"/>
    </row>
    <row r="270" spans="1:10" ht="14.25" customHeight="1" x14ac:dyDescent="0.25">
      <c r="A270" s="284"/>
      <c r="B270" s="529" t="s">
        <v>667</v>
      </c>
      <c r="C270" s="523" t="s">
        <v>663</v>
      </c>
      <c r="D270" s="426" t="s">
        <v>621</v>
      </c>
      <c r="E270" s="426"/>
      <c r="F270" s="440">
        <v>4.03</v>
      </c>
      <c r="G270" s="441" t="s">
        <v>701</v>
      </c>
      <c r="H270" s="428">
        <v>1</v>
      </c>
      <c r="I270" s="530">
        <f t="shared" si="4"/>
        <v>4.03</v>
      </c>
      <c r="J270" s="285"/>
    </row>
    <row r="271" spans="1:10" ht="14.25" customHeight="1" x14ac:dyDescent="0.25">
      <c r="A271" s="284"/>
      <c r="B271" s="529" t="s">
        <v>667</v>
      </c>
      <c r="C271" s="523" t="s">
        <v>663</v>
      </c>
      <c r="D271" s="426" t="s">
        <v>617</v>
      </c>
      <c r="E271" s="426"/>
      <c r="F271" s="440">
        <v>7.1</v>
      </c>
      <c r="G271" s="441" t="s">
        <v>701</v>
      </c>
      <c r="H271" s="428">
        <v>1</v>
      </c>
      <c r="I271" s="530">
        <f t="shared" si="4"/>
        <v>7.1</v>
      </c>
      <c r="J271" s="285"/>
    </row>
    <row r="272" spans="1:10" ht="14.25" customHeight="1" x14ac:dyDescent="0.25">
      <c r="A272" s="284"/>
      <c r="B272" s="529" t="s">
        <v>667</v>
      </c>
      <c r="C272" s="523" t="s">
        <v>663</v>
      </c>
      <c r="D272" s="426" t="s">
        <v>622</v>
      </c>
      <c r="E272" s="426"/>
      <c r="F272" s="440">
        <v>31.28</v>
      </c>
      <c r="G272" s="441" t="s">
        <v>701</v>
      </c>
      <c r="H272" s="428">
        <v>1</v>
      </c>
      <c r="I272" s="530">
        <f t="shared" si="4"/>
        <v>31.28</v>
      </c>
      <c r="J272" s="285"/>
    </row>
    <row r="273" spans="1:10" ht="14.25" customHeight="1" x14ac:dyDescent="0.25">
      <c r="A273" s="284"/>
      <c r="B273" s="529" t="s">
        <v>667</v>
      </c>
      <c r="C273" s="523" t="s">
        <v>663</v>
      </c>
      <c r="D273" s="426" t="s">
        <v>623</v>
      </c>
      <c r="E273" s="426"/>
      <c r="F273" s="440">
        <v>7.06</v>
      </c>
      <c r="G273" s="441" t="s">
        <v>701</v>
      </c>
      <c r="H273" s="428">
        <v>1</v>
      </c>
      <c r="I273" s="530">
        <f t="shared" si="4"/>
        <v>7.06</v>
      </c>
      <c r="J273" s="285"/>
    </row>
    <row r="274" spans="1:10" ht="14.25" customHeight="1" x14ac:dyDescent="0.25">
      <c r="A274" s="284"/>
      <c r="B274" s="529" t="s">
        <v>667</v>
      </c>
      <c r="C274" s="523" t="s">
        <v>663</v>
      </c>
      <c r="D274" s="426" t="s">
        <v>624</v>
      </c>
      <c r="E274" s="426"/>
      <c r="F274" s="440">
        <v>17.98</v>
      </c>
      <c r="G274" s="441" t="s">
        <v>701</v>
      </c>
      <c r="H274" s="428">
        <v>1</v>
      </c>
      <c r="I274" s="530">
        <f t="shared" si="4"/>
        <v>17.98</v>
      </c>
      <c r="J274" s="285"/>
    </row>
    <row r="275" spans="1:10" ht="14.25" customHeight="1" x14ac:dyDescent="0.25">
      <c r="A275" s="284"/>
      <c r="B275" s="529" t="s">
        <v>667</v>
      </c>
      <c r="C275" s="523" t="s">
        <v>663</v>
      </c>
      <c r="D275" s="426" t="s">
        <v>625</v>
      </c>
      <c r="E275" s="426"/>
      <c r="F275" s="440">
        <v>4.72</v>
      </c>
      <c r="G275" s="441" t="s">
        <v>701</v>
      </c>
      <c r="H275" s="428">
        <v>1</v>
      </c>
      <c r="I275" s="530">
        <f t="shared" si="4"/>
        <v>4.72</v>
      </c>
      <c r="J275" s="285"/>
    </row>
    <row r="276" spans="1:10" ht="14.25" customHeight="1" x14ac:dyDescent="0.25">
      <c r="A276" s="284"/>
      <c r="B276" s="529" t="s">
        <v>667</v>
      </c>
      <c r="C276" s="523" t="s">
        <v>663</v>
      </c>
      <c r="D276" s="426" t="s">
        <v>626</v>
      </c>
      <c r="E276" s="426"/>
      <c r="F276" s="440">
        <v>18.059999999999999</v>
      </c>
      <c r="G276" s="441" t="s">
        <v>701</v>
      </c>
      <c r="H276" s="428">
        <v>1</v>
      </c>
      <c r="I276" s="530">
        <f t="shared" si="4"/>
        <v>18.059999999999999</v>
      </c>
      <c r="J276" s="285"/>
    </row>
    <row r="277" spans="1:10" ht="14.25" customHeight="1" x14ac:dyDescent="0.25">
      <c r="A277" s="284"/>
      <c r="B277" s="529" t="s">
        <v>667</v>
      </c>
      <c r="C277" s="523" t="s">
        <v>663</v>
      </c>
      <c r="D277" s="426" t="s">
        <v>627</v>
      </c>
      <c r="E277" s="426"/>
      <c r="F277" s="440">
        <v>4.72</v>
      </c>
      <c r="G277" s="441" t="s">
        <v>701</v>
      </c>
      <c r="H277" s="428">
        <v>1</v>
      </c>
      <c r="I277" s="530">
        <f t="shared" si="4"/>
        <v>4.72</v>
      </c>
      <c r="J277" s="285"/>
    </row>
    <row r="278" spans="1:10" ht="14.25" customHeight="1" x14ac:dyDescent="0.25">
      <c r="A278" s="284"/>
      <c r="B278" s="529" t="s">
        <v>667</v>
      </c>
      <c r="C278" s="523" t="s">
        <v>663</v>
      </c>
      <c r="D278" s="426" t="s">
        <v>668</v>
      </c>
      <c r="E278" s="426"/>
      <c r="F278" s="440">
        <v>82.5</v>
      </c>
      <c r="G278" s="441"/>
      <c r="H278" s="428">
        <v>1</v>
      </c>
      <c r="I278" s="530">
        <f t="shared" si="4"/>
        <v>82.5</v>
      </c>
      <c r="J278" s="285"/>
    </row>
    <row r="279" spans="1:10" ht="14.25" customHeight="1" x14ac:dyDescent="0.25">
      <c r="A279" s="284"/>
      <c r="B279" s="529" t="s">
        <v>667</v>
      </c>
      <c r="C279" s="523" t="s">
        <v>663</v>
      </c>
      <c r="D279" s="426" t="s">
        <v>669</v>
      </c>
      <c r="E279" s="426"/>
      <c r="F279" s="440">
        <v>29.88</v>
      </c>
      <c r="G279" s="441"/>
      <c r="H279" s="428">
        <v>1</v>
      </c>
      <c r="I279" s="530">
        <f t="shared" si="4"/>
        <v>29.88</v>
      </c>
      <c r="J279" s="285"/>
    </row>
    <row r="280" spans="1:10" ht="14.25" customHeight="1" x14ac:dyDescent="0.25">
      <c r="A280" s="284"/>
      <c r="B280" s="529" t="s">
        <v>667</v>
      </c>
      <c r="C280" s="523" t="s">
        <v>663</v>
      </c>
      <c r="D280" s="426" t="s">
        <v>670</v>
      </c>
      <c r="E280" s="426"/>
      <c r="F280" s="440">
        <v>56.97</v>
      </c>
      <c r="G280" s="441"/>
      <c r="H280" s="428">
        <v>1</v>
      </c>
      <c r="I280" s="530">
        <f t="shared" si="4"/>
        <v>56.97</v>
      </c>
      <c r="J280" s="285"/>
    </row>
    <row r="281" spans="1:10" ht="14.25" customHeight="1" x14ac:dyDescent="0.25">
      <c r="A281" s="284"/>
      <c r="B281" s="529" t="s">
        <v>653</v>
      </c>
      <c r="C281" s="523" t="s">
        <v>635</v>
      </c>
      <c r="D281" s="426" t="s">
        <v>628</v>
      </c>
      <c r="E281" s="426"/>
      <c r="F281" s="440">
        <v>18.79</v>
      </c>
      <c r="G281" s="441"/>
      <c r="H281" s="428">
        <v>1</v>
      </c>
      <c r="I281" s="530">
        <f t="shared" si="4"/>
        <v>18.79</v>
      </c>
      <c r="J281" s="285"/>
    </row>
    <row r="282" spans="1:10" ht="14.25" customHeight="1" x14ac:dyDescent="0.25">
      <c r="A282" s="284"/>
      <c r="B282" s="529" t="s">
        <v>653</v>
      </c>
      <c r="C282" s="523" t="s">
        <v>635</v>
      </c>
      <c r="D282" s="426" t="s">
        <v>642</v>
      </c>
      <c r="E282" s="426"/>
      <c r="F282" s="440">
        <v>123.68</v>
      </c>
      <c r="G282" s="441" t="s">
        <v>701</v>
      </c>
      <c r="H282" s="428">
        <v>1</v>
      </c>
      <c r="I282" s="530">
        <f t="shared" si="4"/>
        <v>123.68</v>
      </c>
      <c r="J282" s="285"/>
    </row>
    <row r="283" spans="1:10" ht="14.25" customHeight="1" x14ac:dyDescent="0.25">
      <c r="A283" s="284"/>
      <c r="B283" s="529" t="s">
        <v>667</v>
      </c>
      <c r="C283" s="523" t="s">
        <v>664</v>
      </c>
      <c r="D283" s="426" t="s">
        <v>614</v>
      </c>
      <c r="E283" s="426"/>
      <c r="F283" s="440">
        <v>28.46</v>
      </c>
      <c r="G283" s="441" t="s">
        <v>701</v>
      </c>
      <c r="H283" s="428">
        <v>1</v>
      </c>
      <c r="I283" s="530">
        <f t="shared" si="4"/>
        <v>28.46</v>
      </c>
      <c r="J283" s="285"/>
    </row>
    <row r="284" spans="1:10" ht="14.25" customHeight="1" x14ac:dyDescent="0.25">
      <c r="A284" s="284"/>
      <c r="B284" s="529" t="s">
        <v>667</v>
      </c>
      <c r="C284" s="523" t="s">
        <v>664</v>
      </c>
      <c r="D284" s="426" t="s">
        <v>615</v>
      </c>
      <c r="E284" s="426"/>
      <c r="F284" s="440">
        <v>38.81</v>
      </c>
      <c r="G284" s="441" t="s">
        <v>701</v>
      </c>
      <c r="H284" s="428">
        <v>1</v>
      </c>
      <c r="I284" s="530">
        <f t="shared" si="4"/>
        <v>38.81</v>
      </c>
      <c r="J284" s="285"/>
    </row>
    <row r="285" spans="1:10" ht="14.25" customHeight="1" x14ac:dyDescent="0.25">
      <c r="A285" s="284"/>
      <c r="B285" s="529" t="s">
        <v>667</v>
      </c>
      <c r="C285" s="523" t="s">
        <v>664</v>
      </c>
      <c r="D285" s="426" t="s">
        <v>616</v>
      </c>
      <c r="E285" s="426"/>
      <c r="F285" s="440">
        <v>3.29</v>
      </c>
      <c r="G285" s="441" t="s">
        <v>701</v>
      </c>
      <c r="H285" s="428">
        <v>1</v>
      </c>
      <c r="I285" s="530">
        <f t="shared" si="4"/>
        <v>3.29</v>
      </c>
      <c r="J285" s="285"/>
    </row>
    <row r="286" spans="1:10" ht="14.25" customHeight="1" x14ac:dyDescent="0.25">
      <c r="A286" s="284"/>
      <c r="B286" s="529" t="s">
        <v>667</v>
      </c>
      <c r="C286" s="523" t="s">
        <v>664</v>
      </c>
      <c r="D286" s="426" t="s">
        <v>618</v>
      </c>
      <c r="E286" s="426"/>
      <c r="F286" s="440">
        <v>27.9</v>
      </c>
      <c r="G286" s="441"/>
      <c r="H286" s="428">
        <v>1</v>
      </c>
      <c r="I286" s="530">
        <f t="shared" si="4"/>
        <v>27.9</v>
      </c>
      <c r="J286" s="285"/>
    </row>
    <row r="287" spans="1:10" ht="14.25" customHeight="1" x14ac:dyDescent="0.25">
      <c r="A287" s="284"/>
      <c r="B287" s="529" t="s">
        <v>667</v>
      </c>
      <c r="C287" s="523" t="s">
        <v>664</v>
      </c>
      <c r="D287" s="426" t="s">
        <v>689</v>
      </c>
      <c r="E287" s="426"/>
      <c r="F287" s="440">
        <v>21.55</v>
      </c>
      <c r="G287" s="441" t="s">
        <v>701</v>
      </c>
      <c r="H287" s="428">
        <v>1</v>
      </c>
      <c r="I287" s="530">
        <f t="shared" si="4"/>
        <v>21.55</v>
      </c>
      <c r="J287" s="285"/>
    </row>
    <row r="288" spans="1:10" ht="14.25" customHeight="1" x14ac:dyDescent="0.25">
      <c r="A288" s="284"/>
      <c r="B288" s="529" t="s">
        <v>667</v>
      </c>
      <c r="C288" s="523" t="s">
        <v>664</v>
      </c>
      <c r="D288" s="426" t="s">
        <v>619</v>
      </c>
      <c r="E288" s="426"/>
      <c r="F288" s="440">
        <v>16.829999999999998</v>
      </c>
      <c r="G288" s="441" t="s">
        <v>701</v>
      </c>
      <c r="H288" s="428">
        <v>1</v>
      </c>
      <c r="I288" s="530">
        <f t="shared" si="4"/>
        <v>16.829999999999998</v>
      </c>
      <c r="J288" s="285"/>
    </row>
    <row r="289" spans="1:10" ht="14.25" customHeight="1" x14ac:dyDescent="0.25">
      <c r="A289" s="284"/>
      <c r="B289" s="529" t="s">
        <v>667</v>
      </c>
      <c r="C289" s="523" t="s">
        <v>664</v>
      </c>
      <c r="D289" s="426" t="s">
        <v>620</v>
      </c>
      <c r="E289" s="426"/>
      <c r="F289" s="440">
        <v>9.11</v>
      </c>
      <c r="G289" s="441" t="s">
        <v>701</v>
      </c>
      <c r="H289" s="428">
        <v>1</v>
      </c>
      <c r="I289" s="530">
        <f t="shared" si="4"/>
        <v>9.11</v>
      </c>
      <c r="J289" s="285"/>
    </row>
    <row r="290" spans="1:10" ht="14.25" customHeight="1" x14ac:dyDescent="0.25">
      <c r="A290" s="284"/>
      <c r="B290" s="529" t="s">
        <v>667</v>
      </c>
      <c r="C290" s="523" t="s">
        <v>664</v>
      </c>
      <c r="D290" s="426" t="s">
        <v>640</v>
      </c>
      <c r="E290" s="426"/>
      <c r="F290" s="440">
        <v>6.42</v>
      </c>
      <c r="G290" s="441" t="s">
        <v>701</v>
      </c>
      <c r="H290" s="428">
        <v>1</v>
      </c>
      <c r="I290" s="530">
        <f t="shared" si="4"/>
        <v>6.42</v>
      </c>
      <c r="J290" s="285"/>
    </row>
    <row r="291" spans="1:10" ht="14.25" customHeight="1" x14ac:dyDescent="0.25">
      <c r="A291" s="284"/>
      <c r="B291" s="529" t="s">
        <v>667</v>
      </c>
      <c r="C291" s="523" t="s">
        <v>664</v>
      </c>
      <c r="D291" s="426" t="s">
        <v>621</v>
      </c>
      <c r="E291" s="426"/>
      <c r="F291" s="440">
        <v>3.82</v>
      </c>
      <c r="G291" s="441" t="s">
        <v>701</v>
      </c>
      <c r="H291" s="428">
        <v>1</v>
      </c>
      <c r="I291" s="530">
        <f t="shared" si="4"/>
        <v>3.82</v>
      </c>
      <c r="J291" s="285"/>
    </row>
    <row r="292" spans="1:10" ht="14.25" customHeight="1" x14ac:dyDescent="0.25">
      <c r="A292" s="284"/>
      <c r="B292" s="529" t="s">
        <v>667</v>
      </c>
      <c r="C292" s="523" t="s">
        <v>664</v>
      </c>
      <c r="D292" s="426" t="s">
        <v>617</v>
      </c>
      <c r="E292" s="426"/>
      <c r="F292" s="440">
        <v>14.38</v>
      </c>
      <c r="G292" s="441" t="s">
        <v>701</v>
      </c>
      <c r="H292" s="428">
        <v>1</v>
      </c>
      <c r="I292" s="530">
        <f t="shared" si="4"/>
        <v>14.38</v>
      </c>
      <c r="J292" s="285"/>
    </row>
    <row r="293" spans="1:10" ht="14.25" customHeight="1" x14ac:dyDescent="0.25">
      <c r="A293" s="284"/>
      <c r="B293" s="529" t="s">
        <v>667</v>
      </c>
      <c r="C293" s="523" t="s">
        <v>664</v>
      </c>
      <c r="D293" s="426" t="s">
        <v>622</v>
      </c>
      <c r="E293" s="426"/>
      <c r="F293" s="440">
        <v>31.18</v>
      </c>
      <c r="G293" s="441" t="s">
        <v>701</v>
      </c>
      <c r="H293" s="428">
        <v>1</v>
      </c>
      <c r="I293" s="530">
        <f t="shared" si="4"/>
        <v>31.18</v>
      </c>
      <c r="J293" s="285"/>
    </row>
    <row r="294" spans="1:10" ht="14.25" customHeight="1" x14ac:dyDescent="0.25">
      <c r="A294" s="284"/>
      <c r="B294" s="529" t="s">
        <v>667</v>
      </c>
      <c r="C294" s="523" t="s">
        <v>664</v>
      </c>
      <c r="D294" s="426" t="s">
        <v>623</v>
      </c>
      <c r="E294" s="426"/>
      <c r="F294" s="440">
        <v>7.34</v>
      </c>
      <c r="G294" s="441" t="s">
        <v>701</v>
      </c>
      <c r="H294" s="428">
        <v>1</v>
      </c>
      <c r="I294" s="530">
        <f t="shared" si="4"/>
        <v>7.34</v>
      </c>
      <c r="J294" s="285"/>
    </row>
    <row r="295" spans="1:10" ht="14.25" customHeight="1" x14ac:dyDescent="0.25">
      <c r="A295" s="284"/>
      <c r="B295" s="529" t="s">
        <v>667</v>
      </c>
      <c r="C295" s="523" t="s">
        <v>664</v>
      </c>
      <c r="D295" s="426" t="s">
        <v>630</v>
      </c>
      <c r="E295" s="426"/>
      <c r="F295" s="440">
        <v>18.100000000000001</v>
      </c>
      <c r="G295" s="441" t="s">
        <v>701</v>
      </c>
      <c r="H295" s="428">
        <v>1</v>
      </c>
      <c r="I295" s="530">
        <f t="shared" si="4"/>
        <v>18.100000000000001</v>
      </c>
      <c r="J295" s="285"/>
    </row>
    <row r="296" spans="1:10" ht="14.25" customHeight="1" x14ac:dyDescent="0.25">
      <c r="A296" s="284"/>
      <c r="B296" s="529" t="s">
        <v>667</v>
      </c>
      <c r="C296" s="523" t="s">
        <v>664</v>
      </c>
      <c r="D296" s="426" t="s">
        <v>631</v>
      </c>
      <c r="E296" s="426"/>
      <c r="F296" s="440">
        <v>4.62</v>
      </c>
      <c r="G296" s="441" t="s">
        <v>701</v>
      </c>
      <c r="H296" s="428">
        <v>1</v>
      </c>
      <c r="I296" s="530">
        <f t="shared" si="4"/>
        <v>4.62</v>
      </c>
      <c r="J296" s="285"/>
    </row>
    <row r="297" spans="1:10" ht="14.25" customHeight="1" x14ac:dyDescent="0.25">
      <c r="A297" s="284"/>
      <c r="B297" s="529" t="s">
        <v>667</v>
      </c>
      <c r="C297" s="523" t="s">
        <v>664</v>
      </c>
      <c r="D297" s="426" t="s">
        <v>624</v>
      </c>
      <c r="E297" s="426"/>
      <c r="F297" s="440">
        <v>18.079999999999998</v>
      </c>
      <c r="G297" s="441" t="s">
        <v>701</v>
      </c>
      <c r="H297" s="428">
        <v>1</v>
      </c>
      <c r="I297" s="530">
        <f t="shared" si="4"/>
        <v>18.079999999999998</v>
      </c>
      <c r="J297" s="285"/>
    </row>
    <row r="298" spans="1:10" ht="14.25" customHeight="1" x14ac:dyDescent="0.25">
      <c r="A298" s="284"/>
      <c r="B298" s="529" t="s">
        <v>667</v>
      </c>
      <c r="C298" s="523" t="s">
        <v>664</v>
      </c>
      <c r="D298" s="426" t="s">
        <v>625</v>
      </c>
      <c r="E298" s="426"/>
      <c r="F298" s="440">
        <v>4.6399999999999997</v>
      </c>
      <c r="G298" s="441" t="s">
        <v>701</v>
      </c>
      <c r="H298" s="428">
        <v>1</v>
      </c>
      <c r="I298" s="530">
        <f t="shared" si="4"/>
        <v>4.6399999999999997</v>
      </c>
      <c r="J298" s="285"/>
    </row>
    <row r="299" spans="1:10" ht="14.25" customHeight="1" x14ac:dyDescent="0.25">
      <c r="A299" s="284"/>
      <c r="B299" s="529" t="s">
        <v>667</v>
      </c>
      <c r="C299" s="523" t="s">
        <v>664</v>
      </c>
      <c r="D299" s="426" t="s">
        <v>626</v>
      </c>
      <c r="E299" s="426"/>
      <c r="F299" s="440">
        <v>18.079999999999998</v>
      </c>
      <c r="G299" s="441" t="s">
        <v>701</v>
      </c>
      <c r="H299" s="428">
        <v>1</v>
      </c>
      <c r="I299" s="530">
        <f t="shared" si="4"/>
        <v>18.079999999999998</v>
      </c>
      <c r="J299" s="285"/>
    </row>
    <row r="300" spans="1:10" ht="14.25" customHeight="1" x14ac:dyDescent="0.25">
      <c r="A300" s="284"/>
      <c r="B300" s="529" t="s">
        <v>667</v>
      </c>
      <c r="C300" s="523" t="s">
        <v>664</v>
      </c>
      <c r="D300" s="426" t="s">
        <v>627</v>
      </c>
      <c r="E300" s="426"/>
      <c r="F300" s="440">
        <v>4.6399999999999997</v>
      </c>
      <c r="G300" s="441" t="s">
        <v>701</v>
      </c>
      <c r="H300" s="428">
        <v>1</v>
      </c>
      <c r="I300" s="530">
        <f t="shared" si="4"/>
        <v>4.6399999999999997</v>
      </c>
      <c r="J300" s="285"/>
    </row>
    <row r="301" spans="1:10" ht="14.25" customHeight="1" x14ac:dyDescent="0.25">
      <c r="A301" s="284"/>
      <c r="B301" s="529" t="s">
        <v>667</v>
      </c>
      <c r="C301" s="523" t="s">
        <v>664</v>
      </c>
      <c r="D301" s="426" t="s">
        <v>668</v>
      </c>
      <c r="E301" s="426"/>
      <c r="F301" s="440">
        <v>76.209999999999994</v>
      </c>
      <c r="G301" s="441"/>
      <c r="H301" s="428">
        <v>1</v>
      </c>
      <c r="I301" s="530">
        <f t="shared" si="4"/>
        <v>76.209999999999994</v>
      </c>
      <c r="J301" s="285"/>
    </row>
    <row r="302" spans="1:10" ht="14.25" customHeight="1" x14ac:dyDescent="0.25">
      <c r="A302" s="284"/>
      <c r="B302" s="529" t="s">
        <v>667</v>
      </c>
      <c r="C302" s="523" t="s">
        <v>664</v>
      </c>
      <c r="D302" s="426" t="s">
        <v>669</v>
      </c>
      <c r="E302" s="426"/>
      <c r="F302" s="440">
        <v>29.88</v>
      </c>
      <c r="G302" s="441"/>
      <c r="H302" s="428">
        <v>1</v>
      </c>
      <c r="I302" s="530">
        <f t="shared" si="4"/>
        <v>29.88</v>
      </c>
      <c r="J302" s="285"/>
    </row>
    <row r="303" spans="1:10" ht="14.25" customHeight="1" x14ac:dyDescent="0.25">
      <c r="A303" s="284"/>
      <c r="B303" s="529" t="s">
        <v>667</v>
      </c>
      <c r="C303" s="523" t="s">
        <v>664</v>
      </c>
      <c r="D303" s="426" t="s">
        <v>670</v>
      </c>
      <c r="E303" s="426"/>
      <c r="F303" s="440">
        <v>116.01</v>
      </c>
      <c r="G303" s="441"/>
      <c r="H303" s="428">
        <v>1</v>
      </c>
      <c r="I303" s="530">
        <f t="shared" si="4"/>
        <v>116.01</v>
      </c>
      <c r="J303" s="285"/>
    </row>
    <row r="304" spans="1:10" ht="14.25" customHeight="1" x14ac:dyDescent="0.25">
      <c r="A304" s="284"/>
      <c r="B304" s="529" t="s">
        <v>667</v>
      </c>
      <c r="C304" s="523" t="s">
        <v>665</v>
      </c>
      <c r="D304" s="426" t="s">
        <v>614</v>
      </c>
      <c r="E304" s="426"/>
      <c r="F304" s="440">
        <v>26.18</v>
      </c>
      <c r="G304" s="441" t="s">
        <v>701</v>
      </c>
      <c r="H304" s="428">
        <v>1</v>
      </c>
      <c r="I304" s="530">
        <f t="shared" si="4"/>
        <v>26.18</v>
      </c>
      <c r="J304" s="285"/>
    </row>
    <row r="305" spans="1:10" ht="14.25" customHeight="1" x14ac:dyDescent="0.25">
      <c r="A305" s="284"/>
      <c r="B305" s="529" t="s">
        <v>667</v>
      </c>
      <c r="C305" s="523" t="s">
        <v>665</v>
      </c>
      <c r="D305" s="426" t="s">
        <v>615</v>
      </c>
      <c r="E305" s="426"/>
      <c r="F305" s="440">
        <v>26.8</v>
      </c>
      <c r="G305" s="441" t="s">
        <v>701</v>
      </c>
      <c r="H305" s="428">
        <v>1</v>
      </c>
      <c r="I305" s="530">
        <f t="shared" si="4"/>
        <v>26.8</v>
      </c>
      <c r="J305" s="285"/>
    </row>
    <row r="306" spans="1:10" ht="14.25" customHeight="1" x14ac:dyDescent="0.25">
      <c r="A306" s="284"/>
      <c r="B306" s="529" t="s">
        <v>667</v>
      </c>
      <c r="C306" s="523" t="s">
        <v>665</v>
      </c>
      <c r="D306" s="426" t="s">
        <v>616</v>
      </c>
      <c r="E306" s="426"/>
      <c r="F306" s="440">
        <v>3.31</v>
      </c>
      <c r="G306" s="441" t="s">
        <v>701</v>
      </c>
      <c r="H306" s="428">
        <v>1</v>
      </c>
      <c r="I306" s="530">
        <f t="shared" si="4"/>
        <v>3.31</v>
      </c>
      <c r="J306" s="285"/>
    </row>
    <row r="307" spans="1:10" ht="14.25" customHeight="1" x14ac:dyDescent="0.25">
      <c r="A307" s="284"/>
      <c r="B307" s="529" t="s">
        <v>667</v>
      </c>
      <c r="C307" s="523" t="s">
        <v>665</v>
      </c>
      <c r="D307" s="426" t="s">
        <v>618</v>
      </c>
      <c r="E307" s="426"/>
      <c r="F307" s="440">
        <v>27.46</v>
      </c>
      <c r="G307" s="441"/>
      <c r="H307" s="428">
        <v>1</v>
      </c>
      <c r="I307" s="530">
        <f t="shared" si="4"/>
        <v>27.46</v>
      </c>
      <c r="J307" s="285"/>
    </row>
    <row r="308" spans="1:10" ht="14.25" customHeight="1" x14ac:dyDescent="0.25">
      <c r="A308" s="284"/>
      <c r="B308" s="529" t="s">
        <v>667</v>
      </c>
      <c r="C308" s="523" t="s">
        <v>665</v>
      </c>
      <c r="D308" s="426" t="s">
        <v>689</v>
      </c>
      <c r="E308" s="426"/>
      <c r="F308" s="440">
        <v>22.78</v>
      </c>
      <c r="G308" s="441" t="s">
        <v>701</v>
      </c>
      <c r="H308" s="428">
        <v>1</v>
      </c>
      <c r="I308" s="530">
        <f t="shared" si="4"/>
        <v>22.78</v>
      </c>
      <c r="J308" s="285"/>
    </row>
    <row r="309" spans="1:10" ht="14.25" customHeight="1" x14ac:dyDescent="0.25">
      <c r="A309" s="284"/>
      <c r="B309" s="529" t="s">
        <v>667</v>
      </c>
      <c r="C309" s="523" t="s">
        <v>665</v>
      </c>
      <c r="D309" s="426" t="s">
        <v>619</v>
      </c>
      <c r="E309" s="426"/>
      <c r="F309" s="440">
        <v>13.12</v>
      </c>
      <c r="G309" s="441" t="s">
        <v>701</v>
      </c>
      <c r="H309" s="428">
        <v>1</v>
      </c>
      <c r="I309" s="530">
        <f t="shared" si="4"/>
        <v>13.12</v>
      </c>
      <c r="J309" s="285"/>
    </row>
    <row r="310" spans="1:10" ht="14.25" customHeight="1" x14ac:dyDescent="0.25">
      <c r="A310" s="284"/>
      <c r="B310" s="529" t="s">
        <v>667</v>
      </c>
      <c r="C310" s="523" t="s">
        <v>665</v>
      </c>
      <c r="D310" s="426" t="s">
        <v>620</v>
      </c>
      <c r="E310" s="426"/>
      <c r="F310" s="440">
        <v>6.95</v>
      </c>
      <c r="G310" s="441" t="s">
        <v>701</v>
      </c>
      <c r="H310" s="428">
        <v>1</v>
      </c>
      <c r="I310" s="530">
        <f t="shared" si="4"/>
        <v>6.95</v>
      </c>
      <c r="J310" s="285"/>
    </row>
    <row r="311" spans="1:10" ht="14.25" customHeight="1" x14ac:dyDescent="0.25">
      <c r="A311" s="284"/>
      <c r="B311" s="529" t="s">
        <v>667</v>
      </c>
      <c r="C311" s="523" t="s">
        <v>665</v>
      </c>
      <c r="D311" s="426" t="s">
        <v>621</v>
      </c>
      <c r="E311" s="426"/>
      <c r="F311" s="440">
        <v>4.03</v>
      </c>
      <c r="G311" s="441" t="s">
        <v>701</v>
      </c>
      <c r="H311" s="428">
        <v>1</v>
      </c>
      <c r="I311" s="530">
        <f t="shared" si="4"/>
        <v>4.03</v>
      </c>
      <c r="J311" s="285"/>
    </row>
    <row r="312" spans="1:10" ht="14.25" customHeight="1" x14ac:dyDescent="0.25">
      <c r="A312" s="284"/>
      <c r="B312" s="529" t="s">
        <v>667</v>
      </c>
      <c r="C312" s="523" t="s">
        <v>665</v>
      </c>
      <c r="D312" s="426" t="s">
        <v>617</v>
      </c>
      <c r="E312" s="426"/>
      <c r="F312" s="440">
        <v>7.1</v>
      </c>
      <c r="G312" s="441" t="s">
        <v>701</v>
      </c>
      <c r="H312" s="428">
        <v>1</v>
      </c>
      <c r="I312" s="530">
        <f t="shared" si="4"/>
        <v>7.1</v>
      </c>
      <c r="J312" s="285"/>
    </row>
    <row r="313" spans="1:10" ht="14.25" customHeight="1" x14ac:dyDescent="0.25">
      <c r="A313" s="284"/>
      <c r="B313" s="529" t="s">
        <v>667</v>
      </c>
      <c r="C313" s="523" t="s">
        <v>665</v>
      </c>
      <c r="D313" s="426" t="s">
        <v>622</v>
      </c>
      <c r="E313" s="426"/>
      <c r="F313" s="440">
        <v>31.28</v>
      </c>
      <c r="G313" s="441" t="s">
        <v>701</v>
      </c>
      <c r="H313" s="428">
        <v>1</v>
      </c>
      <c r="I313" s="530">
        <f t="shared" si="4"/>
        <v>31.28</v>
      </c>
      <c r="J313" s="285"/>
    </row>
    <row r="314" spans="1:10" ht="14.25" customHeight="1" x14ac:dyDescent="0.25">
      <c r="A314" s="284"/>
      <c r="B314" s="529" t="s">
        <v>667</v>
      </c>
      <c r="C314" s="523" t="s">
        <v>665</v>
      </c>
      <c r="D314" s="426" t="s">
        <v>623</v>
      </c>
      <c r="E314" s="426"/>
      <c r="F314" s="440">
        <v>7.06</v>
      </c>
      <c r="G314" s="441" t="s">
        <v>701</v>
      </c>
      <c r="H314" s="428">
        <v>1</v>
      </c>
      <c r="I314" s="530">
        <f t="shared" si="4"/>
        <v>7.06</v>
      </c>
      <c r="J314" s="285"/>
    </row>
    <row r="315" spans="1:10" ht="14.25" customHeight="1" x14ac:dyDescent="0.25">
      <c r="A315" s="284"/>
      <c r="B315" s="529" t="s">
        <v>667</v>
      </c>
      <c r="C315" s="523" t="s">
        <v>665</v>
      </c>
      <c r="D315" s="426" t="s">
        <v>624</v>
      </c>
      <c r="E315" s="426"/>
      <c r="F315" s="440">
        <v>17.98</v>
      </c>
      <c r="G315" s="441" t="s">
        <v>701</v>
      </c>
      <c r="H315" s="428">
        <v>1</v>
      </c>
      <c r="I315" s="530">
        <f t="shared" si="4"/>
        <v>17.98</v>
      </c>
      <c r="J315" s="285"/>
    </row>
    <row r="316" spans="1:10" ht="14.25" customHeight="1" x14ac:dyDescent="0.25">
      <c r="A316" s="284"/>
      <c r="B316" s="529" t="s">
        <v>667</v>
      </c>
      <c r="C316" s="523" t="s">
        <v>665</v>
      </c>
      <c r="D316" s="426" t="s">
        <v>625</v>
      </c>
      <c r="E316" s="426"/>
      <c r="F316" s="440">
        <v>4.72</v>
      </c>
      <c r="G316" s="441" t="s">
        <v>701</v>
      </c>
      <c r="H316" s="428">
        <v>1</v>
      </c>
      <c r="I316" s="530">
        <f t="shared" si="4"/>
        <v>4.72</v>
      </c>
      <c r="J316" s="285"/>
    </row>
    <row r="317" spans="1:10" ht="14.25" customHeight="1" x14ac:dyDescent="0.25">
      <c r="A317" s="284"/>
      <c r="B317" s="529" t="s">
        <v>667</v>
      </c>
      <c r="C317" s="523" t="s">
        <v>665</v>
      </c>
      <c r="D317" s="426" t="s">
        <v>626</v>
      </c>
      <c r="E317" s="426"/>
      <c r="F317" s="440">
        <v>18.059999999999999</v>
      </c>
      <c r="G317" s="441" t="s">
        <v>701</v>
      </c>
      <c r="H317" s="428">
        <v>1</v>
      </c>
      <c r="I317" s="530">
        <f t="shared" si="4"/>
        <v>18.059999999999999</v>
      </c>
      <c r="J317" s="285"/>
    </row>
    <row r="318" spans="1:10" ht="14.25" customHeight="1" x14ac:dyDescent="0.25">
      <c r="A318" s="284"/>
      <c r="B318" s="529" t="s">
        <v>667</v>
      </c>
      <c r="C318" s="523" t="s">
        <v>665</v>
      </c>
      <c r="D318" s="426" t="s">
        <v>627</v>
      </c>
      <c r="E318" s="426"/>
      <c r="F318" s="440">
        <v>4.72</v>
      </c>
      <c r="G318" s="441" t="s">
        <v>701</v>
      </c>
      <c r="H318" s="428">
        <v>1</v>
      </c>
      <c r="I318" s="530">
        <f t="shared" si="4"/>
        <v>4.72</v>
      </c>
      <c r="J318" s="285"/>
    </row>
    <row r="319" spans="1:10" ht="14.25" customHeight="1" x14ac:dyDescent="0.25">
      <c r="A319" s="284"/>
      <c r="B319" s="529" t="s">
        <v>667</v>
      </c>
      <c r="C319" s="523" t="s">
        <v>665</v>
      </c>
      <c r="D319" s="426" t="s">
        <v>668</v>
      </c>
      <c r="E319" s="426"/>
      <c r="F319" s="440">
        <v>82.5</v>
      </c>
      <c r="G319" s="441"/>
      <c r="H319" s="428">
        <v>1</v>
      </c>
      <c r="I319" s="530">
        <f t="shared" si="4"/>
        <v>82.5</v>
      </c>
      <c r="J319" s="285"/>
    </row>
    <row r="320" spans="1:10" ht="14.25" customHeight="1" x14ac:dyDescent="0.25">
      <c r="A320" s="284"/>
      <c r="B320" s="529" t="s">
        <v>667</v>
      </c>
      <c r="C320" s="523" t="s">
        <v>665</v>
      </c>
      <c r="D320" s="426" t="s">
        <v>669</v>
      </c>
      <c r="E320" s="426"/>
      <c r="F320" s="440">
        <v>29.88</v>
      </c>
      <c r="G320" s="441"/>
      <c r="H320" s="428">
        <v>1</v>
      </c>
      <c r="I320" s="530">
        <f t="shared" si="4"/>
        <v>29.88</v>
      </c>
      <c r="J320" s="285"/>
    </row>
    <row r="321" spans="1:10" ht="14.25" customHeight="1" x14ac:dyDescent="0.25">
      <c r="A321" s="284"/>
      <c r="B321" s="529" t="s">
        <v>667</v>
      </c>
      <c r="C321" s="523" t="s">
        <v>665</v>
      </c>
      <c r="D321" s="426" t="s">
        <v>670</v>
      </c>
      <c r="E321" s="426"/>
      <c r="F321" s="440">
        <v>189.27</v>
      </c>
      <c r="G321" s="441"/>
      <c r="H321" s="428">
        <v>1</v>
      </c>
      <c r="I321" s="530">
        <f t="shared" si="4"/>
        <v>189.27</v>
      </c>
      <c r="J321" s="285"/>
    </row>
    <row r="322" spans="1:10" ht="14.25" customHeight="1" x14ac:dyDescent="0.25">
      <c r="A322" s="284"/>
      <c r="B322" s="529" t="s">
        <v>667</v>
      </c>
      <c r="C322" s="523" t="s">
        <v>666</v>
      </c>
      <c r="D322" s="426" t="s">
        <v>614</v>
      </c>
      <c r="E322" s="426"/>
      <c r="F322" s="440">
        <v>28.36</v>
      </c>
      <c r="G322" s="441" t="s">
        <v>701</v>
      </c>
      <c r="H322" s="428">
        <v>1</v>
      </c>
      <c r="I322" s="530">
        <f t="shared" si="4"/>
        <v>28.36</v>
      </c>
      <c r="J322" s="285"/>
    </row>
    <row r="323" spans="1:10" ht="14.25" customHeight="1" x14ac:dyDescent="0.25">
      <c r="A323" s="284"/>
      <c r="B323" s="529" t="s">
        <v>667</v>
      </c>
      <c r="C323" s="523" t="s">
        <v>666</v>
      </c>
      <c r="D323" s="426" t="s">
        <v>615</v>
      </c>
      <c r="E323" s="426"/>
      <c r="F323" s="440">
        <v>33.159999999999997</v>
      </c>
      <c r="G323" s="441" t="s">
        <v>701</v>
      </c>
      <c r="H323" s="428">
        <v>1</v>
      </c>
      <c r="I323" s="530">
        <f t="shared" si="4"/>
        <v>33.159999999999997</v>
      </c>
      <c r="J323" s="285"/>
    </row>
    <row r="324" spans="1:10" ht="14.25" customHeight="1" x14ac:dyDescent="0.25">
      <c r="A324" s="284"/>
      <c r="B324" s="529" t="s">
        <v>667</v>
      </c>
      <c r="C324" s="523" t="s">
        <v>666</v>
      </c>
      <c r="D324" s="426" t="s">
        <v>616</v>
      </c>
      <c r="E324" s="426"/>
      <c r="F324" s="440">
        <v>3.14</v>
      </c>
      <c r="G324" s="441" t="s">
        <v>701</v>
      </c>
      <c r="H324" s="428">
        <v>1</v>
      </c>
      <c r="I324" s="530">
        <f t="shared" si="4"/>
        <v>3.14</v>
      </c>
      <c r="J324" s="285"/>
    </row>
    <row r="325" spans="1:10" ht="14.25" customHeight="1" x14ac:dyDescent="0.25">
      <c r="A325" s="284"/>
      <c r="B325" s="529" t="s">
        <v>667</v>
      </c>
      <c r="C325" s="523" t="s">
        <v>666</v>
      </c>
      <c r="D325" s="426" t="s">
        <v>618</v>
      </c>
      <c r="E325" s="426"/>
      <c r="F325" s="440">
        <v>28.87</v>
      </c>
      <c r="G325" s="441"/>
      <c r="H325" s="428">
        <v>1</v>
      </c>
      <c r="I325" s="530">
        <f t="shared" si="4"/>
        <v>28.87</v>
      </c>
      <c r="J325" s="285"/>
    </row>
    <row r="326" spans="1:10" ht="14.25" customHeight="1" x14ac:dyDescent="0.25">
      <c r="A326" s="284"/>
      <c r="B326" s="529" t="s">
        <v>667</v>
      </c>
      <c r="C326" s="523" t="s">
        <v>666</v>
      </c>
      <c r="D326" s="426" t="s">
        <v>689</v>
      </c>
      <c r="E326" s="426"/>
      <c r="F326" s="440">
        <v>21.54</v>
      </c>
      <c r="G326" s="441" t="s">
        <v>701</v>
      </c>
      <c r="H326" s="428">
        <v>1</v>
      </c>
      <c r="I326" s="530">
        <f t="shared" si="4"/>
        <v>21.54</v>
      </c>
      <c r="J326" s="285"/>
    </row>
    <row r="327" spans="1:10" ht="14.25" customHeight="1" x14ac:dyDescent="0.25">
      <c r="A327" s="284"/>
      <c r="B327" s="529" t="s">
        <v>667</v>
      </c>
      <c r="C327" s="523" t="s">
        <v>666</v>
      </c>
      <c r="D327" s="426" t="s">
        <v>619</v>
      </c>
      <c r="E327" s="426"/>
      <c r="F327" s="440">
        <v>15.67</v>
      </c>
      <c r="G327" s="441" t="s">
        <v>701</v>
      </c>
      <c r="H327" s="428">
        <v>1</v>
      </c>
      <c r="I327" s="530">
        <f t="shared" si="4"/>
        <v>15.67</v>
      </c>
      <c r="J327" s="285"/>
    </row>
    <row r="328" spans="1:10" ht="14.25" customHeight="1" x14ac:dyDescent="0.25">
      <c r="A328" s="284"/>
      <c r="B328" s="529" t="s">
        <v>667</v>
      </c>
      <c r="C328" s="523" t="s">
        <v>666</v>
      </c>
      <c r="D328" s="426" t="s">
        <v>620</v>
      </c>
      <c r="E328" s="426"/>
      <c r="F328" s="440">
        <v>9.2100000000000009</v>
      </c>
      <c r="G328" s="441" t="s">
        <v>701</v>
      </c>
      <c r="H328" s="428">
        <v>1</v>
      </c>
      <c r="I328" s="530">
        <f t="shared" si="4"/>
        <v>9.2100000000000009</v>
      </c>
      <c r="J328" s="285"/>
    </row>
    <row r="329" spans="1:10" ht="14.25" customHeight="1" x14ac:dyDescent="0.25">
      <c r="A329" s="284"/>
      <c r="B329" s="529" t="s">
        <v>667</v>
      </c>
      <c r="C329" s="523" t="s">
        <v>666</v>
      </c>
      <c r="D329" s="426" t="s">
        <v>640</v>
      </c>
      <c r="E329" s="426"/>
      <c r="F329" s="440">
        <v>6.6</v>
      </c>
      <c r="G329" s="441" t="s">
        <v>701</v>
      </c>
      <c r="H329" s="428">
        <v>1</v>
      </c>
      <c r="I329" s="530">
        <f t="shared" si="4"/>
        <v>6.6</v>
      </c>
      <c r="J329" s="285"/>
    </row>
    <row r="330" spans="1:10" ht="14.25" customHeight="1" x14ac:dyDescent="0.25">
      <c r="A330" s="284"/>
      <c r="B330" s="529" t="s">
        <v>667</v>
      </c>
      <c r="C330" s="523" t="s">
        <v>666</v>
      </c>
      <c r="D330" s="426" t="s">
        <v>621</v>
      </c>
      <c r="E330" s="426"/>
      <c r="F330" s="440">
        <v>3.79</v>
      </c>
      <c r="G330" s="441" t="s">
        <v>701</v>
      </c>
      <c r="H330" s="428">
        <v>1</v>
      </c>
      <c r="I330" s="530">
        <f t="shared" si="4"/>
        <v>3.79</v>
      </c>
      <c r="J330" s="285"/>
    </row>
    <row r="331" spans="1:10" ht="14.25" customHeight="1" x14ac:dyDescent="0.25">
      <c r="A331" s="284"/>
      <c r="B331" s="529" t="s">
        <v>667</v>
      </c>
      <c r="C331" s="523" t="s">
        <v>666</v>
      </c>
      <c r="D331" s="426" t="s">
        <v>617</v>
      </c>
      <c r="E331" s="426"/>
      <c r="F331" s="440">
        <v>13.87</v>
      </c>
      <c r="G331" s="441" t="s">
        <v>701</v>
      </c>
      <c r="H331" s="428">
        <v>1</v>
      </c>
      <c r="I331" s="530">
        <f t="shared" si="4"/>
        <v>13.87</v>
      </c>
      <c r="J331" s="285"/>
    </row>
    <row r="332" spans="1:10" ht="14.25" customHeight="1" x14ac:dyDescent="0.25">
      <c r="A332" s="284"/>
      <c r="B332" s="529" t="s">
        <v>667</v>
      </c>
      <c r="C332" s="523" t="s">
        <v>666</v>
      </c>
      <c r="D332" s="426" t="s">
        <v>622</v>
      </c>
      <c r="E332" s="426"/>
      <c r="F332" s="440">
        <v>31.22</v>
      </c>
      <c r="G332" s="441" t="s">
        <v>701</v>
      </c>
      <c r="H332" s="428">
        <v>1</v>
      </c>
      <c r="I332" s="530">
        <f t="shared" ref="I332:I395" si="5">F332*H332</f>
        <v>31.22</v>
      </c>
      <c r="J332" s="285"/>
    </row>
    <row r="333" spans="1:10" ht="14.25" customHeight="1" x14ac:dyDescent="0.25">
      <c r="A333" s="284"/>
      <c r="B333" s="529" t="s">
        <v>667</v>
      </c>
      <c r="C333" s="523" t="s">
        <v>666</v>
      </c>
      <c r="D333" s="426" t="s">
        <v>623</v>
      </c>
      <c r="E333" s="426"/>
      <c r="F333" s="440">
        <v>7.49</v>
      </c>
      <c r="G333" s="441" t="s">
        <v>701</v>
      </c>
      <c r="H333" s="428">
        <v>1</v>
      </c>
      <c r="I333" s="530">
        <f t="shared" si="5"/>
        <v>7.49</v>
      </c>
      <c r="J333" s="285"/>
    </row>
    <row r="334" spans="1:10" ht="14.25" customHeight="1" x14ac:dyDescent="0.25">
      <c r="A334" s="284"/>
      <c r="B334" s="529" t="s">
        <v>667</v>
      </c>
      <c r="C334" s="523" t="s">
        <v>666</v>
      </c>
      <c r="D334" s="426" t="s">
        <v>630</v>
      </c>
      <c r="E334" s="426"/>
      <c r="F334" s="440">
        <v>18.100000000000001</v>
      </c>
      <c r="G334" s="441" t="s">
        <v>701</v>
      </c>
      <c r="H334" s="428">
        <v>1</v>
      </c>
      <c r="I334" s="530">
        <f t="shared" si="5"/>
        <v>18.100000000000001</v>
      </c>
      <c r="J334" s="285"/>
    </row>
    <row r="335" spans="1:10" ht="14.25" customHeight="1" x14ac:dyDescent="0.25">
      <c r="A335" s="284"/>
      <c r="B335" s="529" t="s">
        <v>667</v>
      </c>
      <c r="C335" s="523" t="s">
        <v>666</v>
      </c>
      <c r="D335" s="426" t="s">
        <v>631</v>
      </c>
      <c r="E335" s="426"/>
      <c r="F335" s="440">
        <v>4.62</v>
      </c>
      <c r="G335" s="441" t="s">
        <v>701</v>
      </c>
      <c r="H335" s="428">
        <v>1</v>
      </c>
      <c r="I335" s="530">
        <f t="shared" si="5"/>
        <v>4.62</v>
      </c>
      <c r="J335" s="285"/>
    </row>
    <row r="336" spans="1:10" ht="14.25" customHeight="1" x14ac:dyDescent="0.25">
      <c r="A336" s="284"/>
      <c r="B336" s="529" t="s">
        <v>667</v>
      </c>
      <c r="C336" s="523" t="s">
        <v>666</v>
      </c>
      <c r="D336" s="426" t="s">
        <v>624</v>
      </c>
      <c r="E336" s="426"/>
      <c r="F336" s="440">
        <v>18.079999999999998</v>
      </c>
      <c r="G336" s="441" t="s">
        <v>701</v>
      </c>
      <c r="H336" s="428">
        <v>1</v>
      </c>
      <c r="I336" s="530">
        <f t="shared" si="5"/>
        <v>18.079999999999998</v>
      </c>
      <c r="J336" s="285"/>
    </row>
    <row r="337" spans="1:10" ht="14.25" customHeight="1" x14ac:dyDescent="0.25">
      <c r="A337" s="284"/>
      <c r="B337" s="529" t="s">
        <v>667</v>
      </c>
      <c r="C337" s="523" t="s">
        <v>666</v>
      </c>
      <c r="D337" s="426" t="s">
        <v>625</v>
      </c>
      <c r="E337" s="426"/>
      <c r="F337" s="440">
        <v>4.6399999999999997</v>
      </c>
      <c r="G337" s="441" t="s">
        <v>701</v>
      </c>
      <c r="H337" s="428">
        <v>1</v>
      </c>
      <c r="I337" s="530">
        <f t="shared" si="5"/>
        <v>4.6399999999999997</v>
      </c>
      <c r="J337" s="285"/>
    </row>
    <row r="338" spans="1:10" ht="14.25" customHeight="1" x14ac:dyDescent="0.25">
      <c r="A338" s="284"/>
      <c r="B338" s="529" t="s">
        <v>667</v>
      </c>
      <c r="C338" s="523" t="s">
        <v>666</v>
      </c>
      <c r="D338" s="426" t="s">
        <v>626</v>
      </c>
      <c r="E338" s="426"/>
      <c r="F338" s="440">
        <v>18.079999999999998</v>
      </c>
      <c r="G338" s="441" t="s">
        <v>701</v>
      </c>
      <c r="H338" s="428">
        <v>1</v>
      </c>
      <c r="I338" s="530">
        <f t="shared" si="5"/>
        <v>18.079999999999998</v>
      </c>
      <c r="J338" s="285"/>
    </row>
    <row r="339" spans="1:10" ht="14.25" customHeight="1" x14ac:dyDescent="0.25">
      <c r="A339" s="284"/>
      <c r="B339" s="529" t="s">
        <v>667</v>
      </c>
      <c r="C339" s="523" t="s">
        <v>666</v>
      </c>
      <c r="D339" s="426" t="s">
        <v>627</v>
      </c>
      <c r="E339" s="426"/>
      <c r="F339" s="440">
        <v>4.6399999999999997</v>
      </c>
      <c r="G339" s="441" t="s">
        <v>701</v>
      </c>
      <c r="H339" s="428">
        <v>1</v>
      </c>
      <c r="I339" s="530">
        <f t="shared" si="5"/>
        <v>4.6399999999999997</v>
      </c>
      <c r="J339" s="285"/>
    </row>
    <row r="340" spans="1:10" ht="14.25" customHeight="1" x14ac:dyDescent="0.25">
      <c r="A340" s="284"/>
      <c r="B340" s="529" t="s">
        <v>667</v>
      </c>
      <c r="C340" s="523" t="s">
        <v>666</v>
      </c>
      <c r="D340" s="426" t="s">
        <v>668</v>
      </c>
      <c r="E340" s="426"/>
      <c r="F340" s="440">
        <v>82.5</v>
      </c>
      <c r="G340" s="441"/>
      <c r="H340" s="428">
        <v>1</v>
      </c>
      <c r="I340" s="530">
        <f t="shared" si="5"/>
        <v>82.5</v>
      </c>
      <c r="J340" s="285"/>
    </row>
    <row r="341" spans="1:10" ht="14.25" customHeight="1" x14ac:dyDescent="0.25">
      <c r="A341" s="284"/>
      <c r="B341" s="529" t="s">
        <v>667</v>
      </c>
      <c r="C341" s="523" t="s">
        <v>666</v>
      </c>
      <c r="D341" s="426" t="s">
        <v>669</v>
      </c>
      <c r="E341" s="426"/>
      <c r="F341" s="440">
        <v>29.88</v>
      </c>
      <c r="G341" s="441"/>
      <c r="H341" s="428">
        <v>1</v>
      </c>
      <c r="I341" s="530">
        <f t="shared" si="5"/>
        <v>29.88</v>
      </c>
      <c r="J341" s="285"/>
    </row>
    <row r="342" spans="1:10" ht="14.25" customHeight="1" x14ac:dyDescent="0.25">
      <c r="A342" s="284"/>
      <c r="B342" s="529" t="s">
        <v>667</v>
      </c>
      <c r="C342" s="523" t="s">
        <v>666</v>
      </c>
      <c r="D342" s="426" t="s">
        <v>670</v>
      </c>
      <c r="E342" s="426"/>
      <c r="F342" s="440">
        <v>189.27</v>
      </c>
      <c r="G342" s="441"/>
      <c r="H342" s="428">
        <v>1</v>
      </c>
      <c r="I342" s="530">
        <f t="shared" si="5"/>
        <v>189.27</v>
      </c>
      <c r="J342" s="285"/>
    </row>
    <row r="343" spans="1:10" ht="14.25" customHeight="1" x14ac:dyDescent="0.25">
      <c r="A343" s="284"/>
      <c r="B343" s="529" t="s">
        <v>667</v>
      </c>
      <c r="C343" s="523" t="s">
        <v>660</v>
      </c>
      <c r="D343" s="426" t="s">
        <v>614</v>
      </c>
      <c r="E343" s="426"/>
      <c r="F343" s="440">
        <v>25.22</v>
      </c>
      <c r="G343" s="441" t="s">
        <v>701</v>
      </c>
      <c r="H343" s="428">
        <v>1</v>
      </c>
      <c r="I343" s="530">
        <f t="shared" si="5"/>
        <v>25.22</v>
      </c>
      <c r="J343" s="285"/>
    </row>
    <row r="344" spans="1:10" ht="14.25" customHeight="1" x14ac:dyDescent="0.25">
      <c r="A344" s="284"/>
      <c r="B344" s="529" t="s">
        <v>667</v>
      </c>
      <c r="C344" s="523" t="s">
        <v>660</v>
      </c>
      <c r="D344" s="426" t="s">
        <v>615</v>
      </c>
      <c r="E344" s="426"/>
      <c r="F344" s="440">
        <v>26.33</v>
      </c>
      <c r="G344" s="441" t="s">
        <v>701</v>
      </c>
      <c r="H344" s="428">
        <v>1</v>
      </c>
      <c r="I344" s="530">
        <f t="shared" si="5"/>
        <v>26.33</v>
      </c>
      <c r="J344" s="285"/>
    </row>
    <row r="345" spans="1:10" ht="14.25" customHeight="1" x14ac:dyDescent="0.25">
      <c r="A345" s="284"/>
      <c r="B345" s="529" t="s">
        <v>667</v>
      </c>
      <c r="C345" s="523" t="s">
        <v>660</v>
      </c>
      <c r="D345" s="426" t="s">
        <v>616</v>
      </c>
      <c r="E345" s="426"/>
      <c r="F345" s="440">
        <v>2.78</v>
      </c>
      <c r="G345" s="441" t="s">
        <v>701</v>
      </c>
      <c r="H345" s="428">
        <v>1</v>
      </c>
      <c r="I345" s="530">
        <f t="shared" si="5"/>
        <v>2.78</v>
      </c>
      <c r="J345" s="285"/>
    </row>
    <row r="346" spans="1:10" ht="14.25" customHeight="1" x14ac:dyDescent="0.25">
      <c r="A346" s="284"/>
      <c r="B346" s="529" t="s">
        <v>667</v>
      </c>
      <c r="C346" s="523" t="s">
        <v>660</v>
      </c>
      <c r="D346" s="426" t="s">
        <v>618</v>
      </c>
      <c r="E346" s="426"/>
      <c r="F346" s="440">
        <v>24.32</v>
      </c>
      <c r="G346" s="441"/>
      <c r="H346" s="428">
        <v>1</v>
      </c>
      <c r="I346" s="530">
        <f t="shared" si="5"/>
        <v>24.32</v>
      </c>
      <c r="J346" s="285"/>
    </row>
    <row r="347" spans="1:10" ht="14.25" customHeight="1" x14ac:dyDescent="0.25">
      <c r="A347" s="284"/>
      <c r="B347" s="529" t="s">
        <v>667</v>
      </c>
      <c r="C347" s="523" t="s">
        <v>660</v>
      </c>
      <c r="D347" s="426" t="s">
        <v>689</v>
      </c>
      <c r="E347" s="426"/>
      <c r="F347" s="440">
        <v>22.77</v>
      </c>
      <c r="G347" s="441" t="s">
        <v>701</v>
      </c>
      <c r="H347" s="428">
        <v>1</v>
      </c>
      <c r="I347" s="530">
        <f t="shared" si="5"/>
        <v>22.77</v>
      </c>
      <c r="J347" s="285"/>
    </row>
    <row r="348" spans="1:10" ht="14.25" customHeight="1" x14ac:dyDescent="0.25">
      <c r="A348" s="284"/>
      <c r="B348" s="529" t="s">
        <v>667</v>
      </c>
      <c r="C348" s="523" t="s">
        <v>660</v>
      </c>
      <c r="D348" s="426" t="s">
        <v>619</v>
      </c>
      <c r="E348" s="426"/>
      <c r="F348" s="440">
        <v>9.34</v>
      </c>
      <c r="G348" s="441" t="s">
        <v>701</v>
      </c>
      <c r="H348" s="428">
        <v>1</v>
      </c>
      <c r="I348" s="530">
        <f t="shared" si="5"/>
        <v>9.34</v>
      </c>
      <c r="J348" s="285"/>
    </row>
    <row r="349" spans="1:10" ht="14.25" customHeight="1" x14ac:dyDescent="0.25">
      <c r="A349" s="284"/>
      <c r="B349" s="529" t="s">
        <v>667</v>
      </c>
      <c r="C349" s="523" t="s">
        <v>660</v>
      </c>
      <c r="D349" s="426" t="s">
        <v>620</v>
      </c>
      <c r="E349" s="426"/>
      <c r="F349" s="440">
        <v>4.87</v>
      </c>
      <c r="G349" s="441" t="s">
        <v>701</v>
      </c>
      <c r="H349" s="428">
        <v>1</v>
      </c>
      <c r="I349" s="530">
        <f t="shared" si="5"/>
        <v>4.87</v>
      </c>
      <c r="J349" s="285"/>
    </row>
    <row r="350" spans="1:10" ht="14.25" customHeight="1" x14ac:dyDescent="0.25">
      <c r="A350" s="284"/>
      <c r="B350" s="529" t="s">
        <v>667</v>
      </c>
      <c r="C350" s="523" t="s">
        <v>660</v>
      </c>
      <c r="D350" s="426" t="s">
        <v>621</v>
      </c>
      <c r="E350" s="426"/>
      <c r="F350" s="440">
        <v>3.54</v>
      </c>
      <c r="G350" s="441" t="s">
        <v>701</v>
      </c>
      <c r="H350" s="428">
        <v>1</v>
      </c>
      <c r="I350" s="530">
        <f t="shared" si="5"/>
        <v>3.54</v>
      </c>
      <c r="J350" s="285"/>
    </row>
    <row r="351" spans="1:10" ht="14.25" customHeight="1" x14ac:dyDescent="0.25">
      <c r="A351" s="284"/>
      <c r="B351" s="529" t="s">
        <v>667</v>
      </c>
      <c r="C351" s="523" t="s">
        <v>660</v>
      </c>
      <c r="D351" s="426" t="s">
        <v>617</v>
      </c>
      <c r="E351" s="426"/>
      <c r="F351" s="440">
        <v>7.6</v>
      </c>
      <c r="G351" s="441" t="s">
        <v>701</v>
      </c>
      <c r="H351" s="428">
        <v>1</v>
      </c>
      <c r="I351" s="530">
        <f t="shared" si="5"/>
        <v>7.6</v>
      </c>
      <c r="J351" s="285"/>
    </row>
    <row r="352" spans="1:10" ht="14.25" customHeight="1" x14ac:dyDescent="0.25">
      <c r="A352" s="284"/>
      <c r="B352" s="529" t="s">
        <v>667</v>
      </c>
      <c r="C352" s="523" t="s">
        <v>660</v>
      </c>
      <c r="D352" s="426" t="s">
        <v>622</v>
      </c>
      <c r="E352" s="426"/>
      <c r="F352" s="440">
        <v>32.78</v>
      </c>
      <c r="G352" s="441" t="s">
        <v>701</v>
      </c>
      <c r="H352" s="428">
        <v>1</v>
      </c>
      <c r="I352" s="530">
        <f t="shared" si="5"/>
        <v>32.78</v>
      </c>
      <c r="J352" s="285"/>
    </row>
    <row r="353" spans="1:10" ht="14.25" customHeight="1" x14ac:dyDescent="0.25">
      <c r="A353" s="284"/>
      <c r="B353" s="529" t="s">
        <v>667</v>
      </c>
      <c r="C353" s="523" t="s">
        <v>660</v>
      </c>
      <c r="D353" s="426" t="s">
        <v>623</v>
      </c>
      <c r="E353" s="426"/>
      <c r="F353" s="440">
        <v>7.64</v>
      </c>
      <c r="G353" s="441" t="s">
        <v>701</v>
      </c>
      <c r="H353" s="428">
        <v>1</v>
      </c>
      <c r="I353" s="530">
        <f t="shared" si="5"/>
        <v>7.64</v>
      </c>
      <c r="J353" s="285"/>
    </row>
    <row r="354" spans="1:10" ht="14.25" customHeight="1" x14ac:dyDescent="0.25">
      <c r="A354" s="284"/>
      <c r="B354" s="529" t="s">
        <v>667</v>
      </c>
      <c r="C354" s="523" t="s">
        <v>660</v>
      </c>
      <c r="D354" s="426" t="s">
        <v>624</v>
      </c>
      <c r="E354" s="426"/>
      <c r="F354" s="440">
        <v>18.329999999999998</v>
      </c>
      <c r="G354" s="441" t="s">
        <v>701</v>
      </c>
      <c r="H354" s="428">
        <v>1</v>
      </c>
      <c r="I354" s="530">
        <f t="shared" si="5"/>
        <v>18.329999999999998</v>
      </c>
      <c r="J354" s="285"/>
    </row>
    <row r="355" spans="1:10" ht="14.25" customHeight="1" x14ac:dyDescent="0.25">
      <c r="A355" s="284"/>
      <c r="B355" s="529" t="s">
        <v>667</v>
      </c>
      <c r="C355" s="523" t="s">
        <v>660</v>
      </c>
      <c r="D355" s="426" t="s">
        <v>625</v>
      </c>
      <c r="E355" s="426"/>
      <c r="F355" s="440">
        <v>4.72</v>
      </c>
      <c r="G355" s="441" t="s">
        <v>701</v>
      </c>
      <c r="H355" s="428">
        <v>1</v>
      </c>
      <c r="I355" s="530">
        <f t="shared" si="5"/>
        <v>4.72</v>
      </c>
      <c r="J355" s="285"/>
    </row>
    <row r="356" spans="1:10" ht="14.25" customHeight="1" x14ac:dyDescent="0.25">
      <c r="A356" s="284"/>
      <c r="B356" s="529" t="s">
        <v>667</v>
      </c>
      <c r="C356" s="523" t="s">
        <v>660</v>
      </c>
      <c r="D356" s="426" t="s">
        <v>626</v>
      </c>
      <c r="E356" s="426"/>
      <c r="F356" s="440">
        <v>18.329999999999998</v>
      </c>
      <c r="G356" s="441" t="s">
        <v>701</v>
      </c>
      <c r="H356" s="428">
        <v>1</v>
      </c>
      <c r="I356" s="530">
        <f t="shared" si="5"/>
        <v>18.329999999999998</v>
      </c>
      <c r="J356" s="285"/>
    </row>
    <row r="357" spans="1:10" ht="14.25" customHeight="1" x14ac:dyDescent="0.25">
      <c r="A357" s="284"/>
      <c r="B357" s="529" t="s">
        <v>667</v>
      </c>
      <c r="C357" s="523" t="s">
        <v>660</v>
      </c>
      <c r="D357" s="426" t="s">
        <v>627</v>
      </c>
      <c r="E357" s="426"/>
      <c r="F357" s="440">
        <v>4.71</v>
      </c>
      <c r="G357" s="441" t="s">
        <v>701</v>
      </c>
      <c r="H357" s="428">
        <v>1</v>
      </c>
      <c r="I357" s="530">
        <f t="shared" si="5"/>
        <v>4.71</v>
      </c>
      <c r="J357" s="285"/>
    </row>
    <row r="358" spans="1:10" ht="14.25" customHeight="1" x14ac:dyDescent="0.25">
      <c r="A358" s="284"/>
      <c r="B358" s="529" t="s">
        <v>667</v>
      </c>
      <c r="C358" s="523" t="s">
        <v>660</v>
      </c>
      <c r="D358" s="426" t="s">
        <v>668</v>
      </c>
      <c r="E358" s="426"/>
      <c r="F358" s="440">
        <v>71.5</v>
      </c>
      <c r="G358" s="441"/>
      <c r="H358" s="428">
        <v>1</v>
      </c>
      <c r="I358" s="530">
        <f t="shared" si="5"/>
        <v>71.5</v>
      </c>
      <c r="J358" s="285"/>
    </row>
    <row r="359" spans="1:10" ht="14.25" customHeight="1" x14ac:dyDescent="0.25">
      <c r="A359" s="284"/>
      <c r="B359" s="529" t="s">
        <v>667</v>
      </c>
      <c r="C359" s="523" t="s">
        <v>660</v>
      </c>
      <c r="D359" s="426" t="s">
        <v>669</v>
      </c>
      <c r="E359" s="426"/>
      <c r="F359" s="440">
        <v>29.88</v>
      </c>
      <c r="G359" s="441"/>
      <c r="H359" s="428">
        <v>1</v>
      </c>
      <c r="I359" s="530">
        <f t="shared" si="5"/>
        <v>29.88</v>
      </c>
      <c r="J359" s="285"/>
    </row>
    <row r="360" spans="1:10" ht="14.25" customHeight="1" x14ac:dyDescent="0.25">
      <c r="A360" s="284"/>
      <c r="B360" s="529" t="s">
        <v>667</v>
      </c>
      <c r="C360" s="523" t="s">
        <v>660</v>
      </c>
      <c r="D360" s="426" t="s">
        <v>670</v>
      </c>
      <c r="E360" s="426"/>
      <c r="F360" s="440">
        <v>70.05</v>
      </c>
      <c r="G360" s="441"/>
      <c r="H360" s="428">
        <v>1</v>
      </c>
      <c r="I360" s="530">
        <f t="shared" si="5"/>
        <v>70.05</v>
      </c>
      <c r="J360" s="285"/>
    </row>
    <row r="361" spans="1:10" ht="14.25" customHeight="1" x14ac:dyDescent="0.25">
      <c r="A361" s="284"/>
      <c r="B361" s="529" t="s">
        <v>653</v>
      </c>
      <c r="C361" s="523" t="s">
        <v>635</v>
      </c>
      <c r="D361" s="426" t="s">
        <v>637</v>
      </c>
      <c r="E361" s="426"/>
      <c r="F361" s="440">
        <v>15.93</v>
      </c>
      <c r="G361" s="441"/>
      <c r="H361" s="428">
        <v>1</v>
      </c>
      <c r="I361" s="530">
        <f t="shared" si="5"/>
        <v>15.93</v>
      </c>
      <c r="J361" s="285"/>
    </row>
    <row r="362" spans="1:10" ht="14.25" customHeight="1" x14ac:dyDescent="0.25">
      <c r="A362" s="284"/>
      <c r="B362" s="529" t="s">
        <v>653</v>
      </c>
      <c r="C362" s="523" t="s">
        <v>635</v>
      </c>
      <c r="D362" s="426" t="s">
        <v>654</v>
      </c>
      <c r="E362" s="426"/>
      <c r="F362" s="440">
        <v>48.92</v>
      </c>
      <c r="G362" s="441" t="s">
        <v>701</v>
      </c>
      <c r="H362" s="428">
        <v>1</v>
      </c>
      <c r="I362" s="530">
        <f t="shared" si="5"/>
        <v>48.92</v>
      </c>
      <c r="J362" s="285"/>
    </row>
    <row r="363" spans="1:10" ht="14.25" customHeight="1" x14ac:dyDescent="0.25">
      <c r="A363" s="284"/>
      <c r="B363" s="529" t="s">
        <v>653</v>
      </c>
      <c r="C363" s="523" t="s">
        <v>635</v>
      </c>
      <c r="D363" s="426" t="s">
        <v>650</v>
      </c>
      <c r="E363" s="426"/>
      <c r="F363" s="440">
        <v>9.42</v>
      </c>
      <c r="G363" s="441" t="s">
        <v>701</v>
      </c>
      <c r="H363" s="428">
        <v>1</v>
      </c>
      <c r="I363" s="530">
        <f t="shared" si="5"/>
        <v>9.42</v>
      </c>
      <c r="J363" s="285"/>
    </row>
    <row r="364" spans="1:10" ht="14.25" customHeight="1" x14ac:dyDescent="0.25">
      <c r="A364" s="284"/>
      <c r="B364" s="529" t="s">
        <v>653</v>
      </c>
      <c r="C364" s="523" t="s">
        <v>635</v>
      </c>
      <c r="D364" s="426" t="s">
        <v>642</v>
      </c>
      <c r="E364" s="426"/>
      <c r="F364" s="440">
        <v>120.72</v>
      </c>
      <c r="G364" s="441" t="s">
        <v>701</v>
      </c>
      <c r="H364" s="428">
        <v>1</v>
      </c>
      <c r="I364" s="530">
        <f t="shared" si="5"/>
        <v>120.72</v>
      </c>
      <c r="J364" s="285"/>
    </row>
    <row r="365" spans="1:10" ht="14.25" customHeight="1" x14ac:dyDescent="0.25">
      <c r="A365" s="284"/>
      <c r="B365" s="529" t="s">
        <v>653</v>
      </c>
      <c r="C365" s="523" t="s">
        <v>661</v>
      </c>
      <c r="D365" s="426" t="s">
        <v>614</v>
      </c>
      <c r="E365" s="426"/>
      <c r="F365" s="440">
        <v>26.48</v>
      </c>
      <c r="G365" s="441" t="s">
        <v>701</v>
      </c>
      <c r="H365" s="428">
        <v>1</v>
      </c>
      <c r="I365" s="530">
        <f t="shared" si="5"/>
        <v>26.48</v>
      </c>
      <c r="J365" s="285"/>
    </row>
    <row r="366" spans="1:10" ht="14.25" customHeight="1" x14ac:dyDescent="0.25">
      <c r="A366" s="284"/>
      <c r="B366" s="529" t="s">
        <v>653</v>
      </c>
      <c r="C366" s="523" t="s">
        <v>661</v>
      </c>
      <c r="D366" s="426" t="s">
        <v>615</v>
      </c>
      <c r="E366" s="426"/>
      <c r="F366" s="440">
        <v>42.01</v>
      </c>
      <c r="G366" s="441" t="s">
        <v>701</v>
      </c>
      <c r="H366" s="428">
        <v>1</v>
      </c>
      <c r="I366" s="530">
        <f t="shared" si="5"/>
        <v>42.01</v>
      </c>
      <c r="J366" s="285"/>
    </row>
    <row r="367" spans="1:10" ht="14.25" customHeight="1" x14ac:dyDescent="0.25">
      <c r="A367" s="284"/>
      <c r="B367" s="529" t="s">
        <v>653</v>
      </c>
      <c r="C367" s="523" t="s">
        <v>661</v>
      </c>
      <c r="D367" s="426" t="s">
        <v>616</v>
      </c>
      <c r="E367" s="426"/>
      <c r="F367" s="440">
        <v>3.69</v>
      </c>
      <c r="G367" s="441" t="s">
        <v>701</v>
      </c>
      <c r="H367" s="428">
        <v>1</v>
      </c>
      <c r="I367" s="530">
        <f t="shared" si="5"/>
        <v>3.69</v>
      </c>
      <c r="J367" s="285"/>
    </row>
    <row r="368" spans="1:10" ht="14.25" customHeight="1" x14ac:dyDescent="0.25">
      <c r="A368" s="284"/>
      <c r="B368" s="529" t="s">
        <v>653</v>
      </c>
      <c r="C368" s="523" t="s">
        <v>661</v>
      </c>
      <c r="D368" s="426" t="s">
        <v>618</v>
      </c>
      <c r="E368" s="426"/>
      <c r="F368" s="440">
        <v>29.59</v>
      </c>
      <c r="G368" s="441"/>
      <c r="H368" s="428">
        <v>1</v>
      </c>
      <c r="I368" s="530">
        <f t="shared" si="5"/>
        <v>29.59</v>
      </c>
      <c r="J368" s="285"/>
    </row>
    <row r="369" spans="1:10" ht="14.25" customHeight="1" x14ac:dyDescent="0.25">
      <c r="A369" s="284"/>
      <c r="B369" s="529" t="s">
        <v>653</v>
      </c>
      <c r="C369" s="523" t="s">
        <v>661</v>
      </c>
      <c r="D369" s="426" t="s">
        <v>689</v>
      </c>
      <c r="E369" s="426"/>
      <c r="F369" s="440">
        <v>21.51</v>
      </c>
      <c r="G369" s="441" t="s">
        <v>701</v>
      </c>
      <c r="H369" s="428">
        <v>1</v>
      </c>
      <c r="I369" s="530">
        <f t="shared" si="5"/>
        <v>21.51</v>
      </c>
      <c r="J369" s="285"/>
    </row>
    <row r="370" spans="1:10" ht="14.25" customHeight="1" x14ac:dyDescent="0.25">
      <c r="A370" s="284"/>
      <c r="B370" s="529" t="s">
        <v>653</v>
      </c>
      <c r="C370" s="523" t="s">
        <v>661</v>
      </c>
      <c r="D370" s="426" t="s">
        <v>619</v>
      </c>
      <c r="E370" s="426"/>
      <c r="F370" s="440">
        <v>15.97</v>
      </c>
      <c r="G370" s="441" t="s">
        <v>701</v>
      </c>
      <c r="H370" s="428">
        <v>1</v>
      </c>
      <c r="I370" s="530">
        <f t="shared" si="5"/>
        <v>15.97</v>
      </c>
      <c r="J370" s="285"/>
    </row>
    <row r="371" spans="1:10" ht="14.25" customHeight="1" x14ac:dyDescent="0.25">
      <c r="A371" s="284"/>
      <c r="B371" s="529" t="s">
        <v>653</v>
      </c>
      <c r="C371" s="523" t="s">
        <v>661</v>
      </c>
      <c r="D371" s="426" t="s">
        <v>620</v>
      </c>
      <c r="E371" s="426"/>
      <c r="F371" s="440">
        <v>9.49</v>
      </c>
      <c r="G371" s="441" t="s">
        <v>701</v>
      </c>
      <c r="H371" s="428">
        <v>1</v>
      </c>
      <c r="I371" s="530">
        <f t="shared" si="5"/>
        <v>9.49</v>
      </c>
      <c r="J371" s="285"/>
    </row>
    <row r="372" spans="1:10" ht="14.25" customHeight="1" x14ac:dyDescent="0.25">
      <c r="A372" s="284"/>
      <c r="B372" s="529" t="s">
        <v>653</v>
      </c>
      <c r="C372" s="523" t="s">
        <v>661</v>
      </c>
      <c r="D372" s="426" t="s">
        <v>640</v>
      </c>
      <c r="E372" s="426"/>
      <c r="F372" s="440">
        <v>6.96</v>
      </c>
      <c r="G372" s="441" t="s">
        <v>701</v>
      </c>
      <c r="H372" s="428">
        <v>1</v>
      </c>
      <c r="I372" s="530">
        <f t="shared" si="5"/>
        <v>6.96</v>
      </c>
      <c r="J372" s="285"/>
    </row>
    <row r="373" spans="1:10" ht="14.25" customHeight="1" x14ac:dyDescent="0.25">
      <c r="A373" s="284"/>
      <c r="B373" s="529" t="s">
        <v>653</v>
      </c>
      <c r="C373" s="523" t="s">
        <v>661</v>
      </c>
      <c r="D373" s="426" t="s">
        <v>621</v>
      </c>
      <c r="E373" s="426"/>
      <c r="F373" s="440">
        <v>4.09</v>
      </c>
      <c r="G373" s="441" t="s">
        <v>701</v>
      </c>
      <c r="H373" s="428">
        <v>1</v>
      </c>
      <c r="I373" s="530">
        <f t="shared" si="5"/>
        <v>4.09</v>
      </c>
      <c r="J373" s="285"/>
    </row>
    <row r="374" spans="1:10" ht="14.25" customHeight="1" x14ac:dyDescent="0.25">
      <c r="A374" s="284"/>
      <c r="B374" s="529" t="s">
        <v>653</v>
      </c>
      <c r="C374" s="523" t="s">
        <v>661</v>
      </c>
      <c r="D374" s="426" t="s">
        <v>617</v>
      </c>
      <c r="E374" s="426"/>
      <c r="F374" s="440">
        <v>14.71</v>
      </c>
      <c r="G374" s="441" t="s">
        <v>701</v>
      </c>
      <c r="H374" s="428">
        <v>1</v>
      </c>
      <c r="I374" s="530">
        <f t="shared" si="5"/>
        <v>14.71</v>
      </c>
      <c r="J374" s="285"/>
    </row>
    <row r="375" spans="1:10" ht="14.25" customHeight="1" x14ac:dyDescent="0.25">
      <c r="A375" s="284"/>
      <c r="B375" s="529" t="s">
        <v>653</v>
      </c>
      <c r="C375" s="523" t="s">
        <v>661</v>
      </c>
      <c r="D375" s="426" t="s">
        <v>622</v>
      </c>
      <c r="E375" s="426"/>
      <c r="F375" s="440">
        <v>28.46</v>
      </c>
      <c r="G375" s="441" t="s">
        <v>701</v>
      </c>
      <c r="H375" s="428">
        <v>1</v>
      </c>
      <c r="I375" s="530">
        <f t="shared" si="5"/>
        <v>28.46</v>
      </c>
      <c r="J375" s="285"/>
    </row>
    <row r="376" spans="1:10" ht="14.25" customHeight="1" x14ac:dyDescent="0.25">
      <c r="A376" s="284"/>
      <c r="B376" s="529" t="s">
        <v>653</v>
      </c>
      <c r="C376" s="523" t="s">
        <v>661</v>
      </c>
      <c r="D376" s="426" t="s">
        <v>623</v>
      </c>
      <c r="E376" s="426"/>
      <c r="F376" s="440">
        <v>6.9</v>
      </c>
      <c r="G376" s="441" t="s">
        <v>701</v>
      </c>
      <c r="H376" s="428">
        <v>1</v>
      </c>
      <c r="I376" s="530">
        <f t="shared" si="5"/>
        <v>6.9</v>
      </c>
      <c r="J376" s="285"/>
    </row>
    <row r="377" spans="1:10" ht="14.25" customHeight="1" x14ac:dyDescent="0.25">
      <c r="A377" s="284"/>
      <c r="B377" s="529" t="s">
        <v>653</v>
      </c>
      <c r="C377" s="523" t="s">
        <v>661</v>
      </c>
      <c r="D377" s="426" t="s">
        <v>630</v>
      </c>
      <c r="E377" s="426"/>
      <c r="F377" s="440">
        <v>18.87</v>
      </c>
      <c r="G377" s="441" t="s">
        <v>701</v>
      </c>
      <c r="H377" s="428">
        <v>1</v>
      </c>
      <c r="I377" s="530">
        <f t="shared" si="5"/>
        <v>18.87</v>
      </c>
      <c r="J377" s="285"/>
    </row>
    <row r="378" spans="1:10" ht="14.25" customHeight="1" x14ac:dyDescent="0.25">
      <c r="A378" s="284"/>
      <c r="B378" s="529" t="s">
        <v>653</v>
      </c>
      <c r="C378" s="523" t="s">
        <v>661</v>
      </c>
      <c r="D378" s="426" t="s">
        <v>631</v>
      </c>
      <c r="E378" s="426"/>
      <c r="F378" s="440">
        <v>4.8499999999999996</v>
      </c>
      <c r="G378" s="441" t="s">
        <v>701</v>
      </c>
      <c r="H378" s="428">
        <v>1</v>
      </c>
      <c r="I378" s="530">
        <f t="shared" si="5"/>
        <v>4.8499999999999996</v>
      </c>
      <c r="J378" s="285"/>
    </row>
    <row r="379" spans="1:10" ht="14.25" customHeight="1" x14ac:dyDescent="0.25">
      <c r="A379" s="284"/>
      <c r="B379" s="529" t="s">
        <v>653</v>
      </c>
      <c r="C379" s="523" t="s">
        <v>661</v>
      </c>
      <c r="D379" s="426" t="s">
        <v>624</v>
      </c>
      <c r="E379" s="426"/>
      <c r="F379" s="440">
        <v>18.850000000000001</v>
      </c>
      <c r="G379" s="441" t="s">
        <v>701</v>
      </c>
      <c r="H379" s="428">
        <v>1</v>
      </c>
      <c r="I379" s="530">
        <f t="shared" si="5"/>
        <v>18.850000000000001</v>
      </c>
      <c r="J379" s="285"/>
    </row>
    <row r="380" spans="1:10" ht="14.25" customHeight="1" x14ac:dyDescent="0.25">
      <c r="A380" s="284"/>
      <c r="B380" s="529" t="s">
        <v>653</v>
      </c>
      <c r="C380" s="523" t="s">
        <v>661</v>
      </c>
      <c r="D380" s="426" t="s">
        <v>625</v>
      </c>
      <c r="E380" s="426"/>
      <c r="F380" s="440">
        <v>4.8499999999999996</v>
      </c>
      <c r="G380" s="441" t="s">
        <v>701</v>
      </c>
      <c r="H380" s="428">
        <v>1</v>
      </c>
      <c r="I380" s="530">
        <f t="shared" si="5"/>
        <v>4.8499999999999996</v>
      </c>
      <c r="J380" s="285"/>
    </row>
    <row r="381" spans="1:10" ht="14.25" customHeight="1" x14ac:dyDescent="0.25">
      <c r="A381" s="284"/>
      <c r="B381" s="529" t="s">
        <v>653</v>
      </c>
      <c r="C381" s="523" t="s">
        <v>661</v>
      </c>
      <c r="D381" s="426" t="s">
        <v>626</v>
      </c>
      <c r="E381" s="426"/>
      <c r="F381" s="440">
        <v>18.850000000000001</v>
      </c>
      <c r="G381" s="441" t="s">
        <v>701</v>
      </c>
      <c r="H381" s="428">
        <v>1</v>
      </c>
      <c r="I381" s="530">
        <f t="shared" si="5"/>
        <v>18.850000000000001</v>
      </c>
      <c r="J381" s="285"/>
    </row>
    <row r="382" spans="1:10" ht="14.25" customHeight="1" x14ac:dyDescent="0.25">
      <c r="A382" s="284"/>
      <c r="B382" s="529" t="s">
        <v>653</v>
      </c>
      <c r="C382" s="523" t="s">
        <v>661</v>
      </c>
      <c r="D382" s="426" t="s">
        <v>627</v>
      </c>
      <c r="E382" s="426"/>
      <c r="F382" s="440">
        <v>4.8499999999999996</v>
      </c>
      <c r="G382" s="441" t="s">
        <v>701</v>
      </c>
      <c r="H382" s="428">
        <v>1</v>
      </c>
      <c r="I382" s="530">
        <f t="shared" si="5"/>
        <v>4.8499999999999996</v>
      </c>
      <c r="J382" s="285"/>
    </row>
    <row r="383" spans="1:10" ht="14.25" customHeight="1" x14ac:dyDescent="0.25">
      <c r="A383" s="284"/>
      <c r="B383" s="529" t="s">
        <v>653</v>
      </c>
      <c r="C383" s="523" t="s">
        <v>662</v>
      </c>
      <c r="D383" s="426" t="s">
        <v>614</v>
      </c>
      <c r="E383" s="426"/>
      <c r="F383" s="440">
        <v>24.98</v>
      </c>
      <c r="G383" s="441" t="s">
        <v>701</v>
      </c>
      <c r="H383" s="428">
        <v>1</v>
      </c>
      <c r="I383" s="530">
        <f t="shared" si="5"/>
        <v>24.98</v>
      </c>
      <c r="J383" s="285"/>
    </row>
    <row r="384" spans="1:10" ht="14.25" customHeight="1" x14ac:dyDescent="0.25">
      <c r="A384" s="284"/>
      <c r="B384" s="529" t="s">
        <v>653</v>
      </c>
      <c r="C384" s="523" t="s">
        <v>662</v>
      </c>
      <c r="D384" s="426" t="s">
        <v>615</v>
      </c>
      <c r="E384" s="426"/>
      <c r="F384" s="440">
        <v>29.61</v>
      </c>
      <c r="G384" s="441" t="s">
        <v>701</v>
      </c>
      <c r="H384" s="428">
        <v>1</v>
      </c>
      <c r="I384" s="530">
        <f t="shared" si="5"/>
        <v>29.61</v>
      </c>
      <c r="J384" s="285"/>
    </row>
    <row r="385" spans="1:10" ht="14.25" customHeight="1" x14ac:dyDescent="0.25">
      <c r="A385" s="284"/>
      <c r="B385" s="529" t="s">
        <v>653</v>
      </c>
      <c r="C385" s="523" t="s">
        <v>662</v>
      </c>
      <c r="D385" s="426" t="s">
        <v>616</v>
      </c>
      <c r="E385" s="426"/>
      <c r="F385" s="440">
        <v>3.6</v>
      </c>
      <c r="G385" s="441" t="s">
        <v>701</v>
      </c>
      <c r="H385" s="428">
        <v>1</v>
      </c>
      <c r="I385" s="530">
        <f t="shared" si="5"/>
        <v>3.6</v>
      </c>
      <c r="J385" s="285"/>
    </row>
    <row r="386" spans="1:10" ht="14.25" customHeight="1" x14ac:dyDescent="0.25">
      <c r="A386" s="284"/>
      <c r="B386" s="529" t="s">
        <v>653</v>
      </c>
      <c r="C386" s="523" t="s">
        <v>662</v>
      </c>
      <c r="D386" s="426" t="s">
        <v>618</v>
      </c>
      <c r="E386" s="426"/>
      <c r="F386" s="440">
        <v>30.57</v>
      </c>
      <c r="G386" s="441"/>
      <c r="H386" s="428">
        <v>1</v>
      </c>
      <c r="I386" s="530">
        <f t="shared" si="5"/>
        <v>30.57</v>
      </c>
      <c r="J386" s="285"/>
    </row>
    <row r="387" spans="1:10" ht="14.25" customHeight="1" x14ac:dyDescent="0.25">
      <c r="A387" s="284"/>
      <c r="B387" s="529" t="s">
        <v>653</v>
      </c>
      <c r="C387" s="523" t="s">
        <v>662</v>
      </c>
      <c r="D387" s="426" t="s">
        <v>689</v>
      </c>
      <c r="E387" s="426"/>
      <c r="F387" s="440">
        <v>22.85</v>
      </c>
      <c r="G387" s="441" t="s">
        <v>701</v>
      </c>
      <c r="H387" s="428">
        <v>1</v>
      </c>
      <c r="I387" s="530">
        <f t="shared" si="5"/>
        <v>22.85</v>
      </c>
      <c r="J387" s="285"/>
    </row>
    <row r="388" spans="1:10" ht="14.25" customHeight="1" x14ac:dyDescent="0.25">
      <c r="A388" s="284"/>
      <c r="B388" s="529" t="s">
        <v>653</v>
      </c>
      <c r="C388" s="523" t="s">
        <v>662</v>
      </c>
      <c r="D388" s="426" t="s">
        <v>619</v>
      </c>
      <c r="E388" s="426"/>
      <c r="F388" s="440">
        <v>13.32</v>
      </c>
      <c r="G388" s="441" t="s">
        <v>701</v>
      </c>
      <c r="H388" s="428">
        <v>1</v>
      </c>
      <c r="I388" s="530">
        <f t="shared" si="5"/>
        <v>13.32</v>
      </c>
      <c r="J388" s="285"/>
    </row>
    <row r="389" spans="1:10" ht="14.25" customHeight="1" x14ac:dyDescent="0.25">
      <c r="A389" s="284"/>
      <c r="B389" s="529" t="s">
        <v>653</v>
      </c>
      <c r="C389" s="523" t="s">
        <v>662</v>
      </c>
      <c r="D389" s="426" t="s">
        <v>620</v>
      </c>
      <c r="E389" s="426"/>
      <c r="F389" s="440">
        <v>6.91</v>
      </c>
      <c r="G389" s="441" t="s">
        <v>701</v>
      </c>
      <c r="H389" s="428">
        <v>1</v>
      </c>
      <c r="I389" s="530">
        <f t="shared" si="5"/>
        <v>6.91</v>
      </c>
      <c r="J389" s="285"/>
    </row>
    <row r="390" spans="1:10" ht="14.25" customHeight="1" x14ac:dyDescent="0.25">
      <c r="A390" s="284"/>
      <c r="B390" s="529" t="s">
        <v>653</v>
      </c>
      <c r="C390" s="523" t="s">
        <v>662</v>
      </c>
      <c r="D390" s="426" t="s">
        <v>621</v>
      </c>
      <c r="E390" s="426"/>
      <c r="F390" s="440">
        <v>3.88</v>
      </c>
      <c r="G390" s="441" t="s">
        <v>701</v>
      </c>
      <c r="H390" s="428">
        <v>1</v>
      </c>
      <c r="I390" s="530">
        <f t="shared" si="5"/>
        <v>3.88</v>
      </c>
      <c r="J390" s="285"/>
    </row>
    <row r="391" spans="1:10" ht="14.25" customHeight="1" x14ac:dyDescent="0.25">
      <c r="A391" s="284"/>
      <c r="B391" s="529" t="s">
        <v>653</v>
      </c>
      <c r="C391" s="523" t="s">
        <v>662</v>
      </c>
      <c r="D391" s="426" t="s">
        <v>617</v>
      </c>
      <c r="E391" s="426"/>
      <c r="F391" s="440">
        <v>10.32</v>
      </c>
      <c r="G391" s="441" t="s">
        <v>701</v>
      </c>
      <c r="H391" s="428">
        <v>1</v>
      </c>
      <c r="I391" s="530">
        <f t="shared" si="5"/>
        <v>10.32</v>
      </c>
      <c r="J391" s="285"/>
    </row>
    <row r="392" spans="1:10" ht="14.25" customHeight="1" x14ac:dyDescent="0.25">
      <c r="A392" s="284"/>
      <c r="B392" s="529" t="s">
        <v>653</v>
      </c>
      <c r="C392" s="523" t="s">
        <v>662</v>
      </c>
      <c r="D392" s="426" t="s">
        <v>622</v>
      </c>
      <c r="E392" s="426"/>
      <c r="F392" s="440">
        <v>27.52</v>
      </c>
      <c r="G392" s="441" t="s">
        <v>701</v>
      </c>
      <c r="H392" s="428">
        <v>1</v>
      </c>
      <c r="I392" s="530">
        <f t="shared" si="5"/>
        <v>27.52</v>
      </c>
      <c r="J392" s="285"/>
    </row>
    <row r="393" spans="1:10" ht="14.25" customHeight="1" x14ac:dyDescent="0.25">
      <c r="A393" s="284"/>
      <c r="B393" s="529" t="s">
        <v>653</v>
      </c>
      <c r="C393" s="523" t="s">
        <v>662</v>
      </c>
      <c r="D393" s="426" t="s">
        <v>623</v>
      </c>
      <c r="E393" s="426"/>
      <c r="F393" s="440">
        <v>7.74</v>
      </c>
      <c r="G393" s="441" t="s">
        <v>701</v>
      </c>
      <c r="H393" s="428">
        <v>1</v>
      </c>
      <c r="I393" s="530">
        <f t="shared" si="5"/>
        <v>7.74</v>
      </c>
      <c r="J393" s="285"/>
    </row>
    <row r="394" spans="1:10" ht="14.25" customHeight="1" x14ac:dyDescent="0.25">
      <c r="A394" s="284"/>
      <c r="B394" s="529" t="s">
        <v>653</v>
      </c>
      <c r="C394" s="523" t="s">
        <v>662</v>
      </c>
      <c r="D394" s="426" t="s">
        <v>624</v>
      </c>
      <c r="E394" s="426"/>
      <c r="F394" s="440">
        <v>18.84</v>
      </c>
      <c r="G394" s="441" t="s">
        <v>701</v>
      </c>
      <c r="H394" s="428">
        <v>1</v>
      </c>
      <c r="I394" s="530">
        <f t="shared" si="5"/>
        <v>18.84</v>
      </c>
      <c r="J394" s="285"/>
    </row>
    <row r="395" spans="1:10" ht="14.25" customHeight="1" x14ac:dyDescent="0.25">
      <c r="A395" s="284"/>
      <c r="B395" s="529" t="s">
        <v>653</v>
      </c>
      <c r="C395" s="523" t="s">
        <v>662</v>
      </c>
      <c r="D395" s="426" t="s">
        <v>625</v>
      </c>
      <c r="E395" s="426"/>
      <c r="F395" s="440">
        <v>4.8499999999999996</v>
      </c>
      <c r="G395" s="441" t="s">
        <v>701</v>
      </c>
      <c r="H395" s="428">
        <v>1</v>
      </c>
      <c r="I395" s="530">
        <f t="shared" si="5"/>
        <v>4.8499999999999996</v>
      </c>
      <c r="J395" s="285"/>
    </row>
    <row r="396" spans="1:10" ht="14.25" customHeight="1" x14ac:dyDescent="0.25">
      <c r="A396" s="284"/>
      <c r="B396" s="529" t="s">
        <v>653</v>
      </c>
      <c r="C396" s="523" t="s">
        <v>662</v>
      </c>
      <c r="D396" s="426" t="s">
        <v>626</v>
      </c>
      <c r="E396" s="426"/>
      <c r="F396" s="440">
        <v>18.84</v>
      </c>
      <c r="G396" s="441" t="s">
        <v>701</v>
      </c>
      <c r="H396" s="428">
        <v>1</v>
      </c>
      <c r="I396" s="530">
        <f t="shared" ref="I396:I459" si="6">F396*H396</f>
        <v>18.84</v>
      </c>
      <c r="J396" s="285"/>
    </row>
    <row r="397" spans="1:10" ht="14.25" customHeight="1" x14ac:dyDescent="0.25">
      <c r="A397" s="284"/>
      <c r="B397" s="529" t="s">
        <v>653</v>
      </c>
      <c r="C397" s="523" t="s">
        <v>662</v>
      </c>
      <c r="D397" s="426" t="s">
        <v>627</v>
      </c>
      <c r="E397" s="426"/>
      <c r="F397" s="440">
        <v>4.8499999999999996</v>
      </c>
      <c r="G397" s="441" t="s">
        <v>701</v>
      </c>
      <c r="H397" s="428">
        <v>1</v>
      </c>
      <c r="I397" s="530">
        <f t="shared" si="6"/>
        <v>4.8499999999999996</v>
      </c>
      <c r="J397" s="285"/>
    </row>
    <row r="398" spans="1:10" ht="14.25" customHeight="1" x14ac:dyDescent="0.25">
      <c r="A398" s="284"/>
      <c r="B398" s="529" t="s">
        <v>667</v>
      </c>
      <c r="C398" s="523" t="s">
        <v>666</v>
      </c>
      <c r="D398" s="426" t="s">
        <v>614</v>
      </c>
      <c r="E398" s="426"/>
      <c r="F398" s="440">
        <v>21.42</v>
      </c>
      <c r="G398" s="441" t="s">
        <v>701</v>
      </c>
      <c r="H398" s="428">
        <v>1</v>
      </c>
      <c r="I398" s="530">
        <f t="shared" si="6"/>
        <v>21.42</v>
      </c>
      <c r="J398" s="285"/>
    </row>
    <row r="399" spans="1:10" ht="14.25" customHeight="1" x14ac:dyDescent="0.25">
      <c r="A399" s="284"/>
      <c r="B399" s="529" t="s">
        <v>667</v>
      </c>
      <c r="C399" s="523" t="s">
        <v>666</v>
      </c>
      <c r="D399" s="426" t="s">
        <v>615</v>
      </c>
      <c r="E399" s="426"/>
      <c r="F399" s="440">
        <v>34.979999999999997</v>
      </c>
      <c r="G399" s="441" t="s">
        <v>701</v>
      </c>
      <c r="H399" s="428">
        <v>1</v>
      </c>
      <c r="I399" s="530">
        <f t="shared" si="6"/>
        <v>34.979999999999997</v>
      </c>
      <c r="J399" s="285"/>
    </row>
    <row r="400" spans="1:10" ht="14.25" customHeight="1" x14ac:dyDescent="0.25">
      <c r="A400" s="284"/>
      <c r="B400" s="529" t="s">
        <v>667</v>
      </c>
      <c r="C400" s="523" t="s">
        <v>666</v>
      </c>
      <c r="D400" s="426" t="s">
        <v>616</v>
      </c>
      <c r="E400" s="426"/>
      <c r="F400" s="440">
        <v>2.71</v>
      </c>
      <c r="G400" s="441" t="s">
        <v>701</v>
      </c>
      <c r="H400" s="428">
        <v>1</v>
      </c>
      <c r="I400" s="530">
        <f t="shared" si="6"/>
        <v>2.71</v>
      </c>
      <c r="J400" s="285"/>
    </row>
    <row r="401" spans="1:10" ht="14.25" customHeight="1" x14ac:dyDescent="0.25">
      <c r="A401" s="284"/>
      <c r="B401" s="529" t="s">
        <v>667</v>
      </c>
      <c r="C401" s="523" t="s">
        <v>666</v>
      </c>
      <c r="D401" s="426" t="s">
        <v>618</v>
      </c>
      <c r="E401" s="426"/>
      <c r="F401" s="440">
        <v>21.56</v>
      </c>
      <c r="G401" s="441"/>
      <c r="H401" s="428">
        <v>1</v>
      </c>
      <c r="I401" s="530">
        <f t="shared" si="6"/>
        <v>21.56</v>
      </c>
      <c r="J401" s="285"/>
    </row>
    <row r="402" spans="1:10" ht="14.25" customHeight="1" x14ac:dyDescent="0.25">
      <c r="A402" s="284"/>
      <c r="B402" s="529" t="s">
        <v>667</v>
      </c>
      <c r="C402" s="523" t="s">
        <v>666</v>
      </c>
      <c r="D402" s="426" t="s">
        <v>689</v>
      </c>
      <c r="E402" s="426"/>
      <c r="F402" s="440">
        <v>19.23</v>
      </c>
      <c r="G402" s="441" t="s">
        <v>701</v>
      </c>
      <c r="H402" s="428">
        <v>1</v>
      </c>
      <c r="I402" s="530">
        <f t="shared" si="6"/>
        <v>19.23</v>
      </c>
      <c r="J402" s="285"/>
    </row>
    <row r="403" spans="1:10" ht="14.25" customHeight="1" x14ac:dyDescent="0.25">
      <c r="A403" s="284"/>
      <c r="B403" s="529" t="s">
        <v>667</v>
      </c>
      <c r="C403" s="523" t="s">
        <v>666</v>
      </c>
      <c r="D403" s="426" t="s">
        <v>619</v>
      </c>
      <c r="E403" s="426"/>
      <c r="F403" s="440">
        <v>12.29</v>
      </c>
      <c r="G403" s="441" t="s">
        <v>701</v>
      </c>
      <c r="H403" s="428">
        <v>1</v>
      </c>
      <c r="I403" s="530">
        <f t="shared" si="6"/>
        <v>12.29</v>
      </c>
      <c r="J403" s="285"/>
    </row>
    <row r="404" spans="1:10" ht="14.25" customHeight="1" x14ac:dyDescent="0.25">
      <c r="A404" s="284"/>
      <c r="B404" s="529" t="s">
        <v>667</v>
      </c>
      <c r="C404" s="523" t="s">
        <v>666</v>
      </c>
      <c r="D404" s="426" t="s">
        <v>620</v>
      </c>
      <c r="E404" s="426"/>
      <c r="F404" s="440">
        <v>11.77</v>
      </c>
      <c r="G404" s="441" t="s">
        <v>701</v>
      </c>
      <c r="H404" s="428">
        <v>1</v>
      </c>
      <c r="I404" s="530">
        <f t="shared" si="6"/>
        <v>11.77</v>
      </c>
      <c r="J404" s="285"/>
    </row>
    <row r="405" spans="1:10" ht="14.25" customHeight="1" x14ac:dyDescent="0.25">
      <c r="A405" s="284"/>
      <c r="B405" s="529" t="s">
        <v>667</v>
      </c>
      <c r="C405" s="523" t="s">
        <v>666</v>
      </c>
      <c r="D405" s="426" t="s">
        <v>639</v>
      </c>
      <c r="E405" s="426"/>
      <c r="F405" s="440">
        <v>2.5499999999999998</v>
      </c>
      <c r="G405" s="441" t="s">
        <v>701</v>
      </c>
      <c r="H405" s="428">
        <v>1</v>
      </c>
      <c r="I405" s="530">
        <f t="shared" si="6"/>
        <v>2.5499999999999998</v>
      </c>
      <c r="J405" s="285"/>
    </row>
    <row r="406" spans="1:10" ht="14.25" customHeight="1" x14ac:dyDescent="0.25">
      <c r="A406" s="284"/>
      <c r="B406" s="529" t="s">
        <v>667</v>
      </c>
      <c r="C406" s="523" t="s">
        <v>666</v>
      </c>
      <c r="D406" s="426" t="s">
        <v>651</v>
      </c>
      <c r="E406" s="426"/>
      <c r="F406" s="440">
        <v>9.9499999999999993</v>
      </c>
      <c r="G406" s="441" t="s">
        <v>701</v>
      </c>
      <c r="H406" s="428">
        <v>1</v>
      </c>
      <c r="I406" s="530">
        <f t="shared" si="6"/>
        <v>9.9499999999999993</v>
      </c>
      <c r="J406" s="285"/>
    </row>
    <row r="407" spans="1:10" ht="14.25" customHeight="1" x14ac:dyDescent="0.25">
      <c r="A407" s="284"/>
      <c r="B407" s="529" t="s">
        <v>667</v>
      </c>
      <c r="C407" s="523" t="s">
        <v>666</v>
      </c>
      <c r="D407" s="426" t="s">
        <v>621</v>
      </c>
      <c r="E407" s="426"/>
      <c r="F407" s="440">
        <v>4.12</v>
      </c>
      <c r="G407" s="441" t="s">
        <v>701</v>
      </c>
      <c r="H407" s="428">
        <v>1</v>
      </c>
      <c r="I407" s="530">
        <f t="shared" si="6"/>
        <v>4.12</v>
      </c>
      <c r="J407" s="285"/>
    </row>
    <row r="408" spans="1:10" ht="14.25" customHeight="1" x14ac:dyDescent="0.25">
      <c r="A408" s="284"/>
      <c r="B408" s="529" t="s">
        <v>667</v>
      </c>
      <c r="C408" s="523" t="s">
        <v>666</v>
      </c>
      <c r="D408" s="426" t="s">
        <v>617</v>
      </c>
      <c r="E408" s="426"/>
      <c r="F408" s="440">
        <v>14.97</v>
      </c>
      <c r="G408" s="441" t="s">
        <v>701</v>
      </c>
      <c r="H408" s="428">
        <v>1</v>
      </c>
      <c r="I408" s="530">
        <f t="shared" si="6"/>
        <v>14.97</v>
      </c>
      <c r="J408" s="285"/>
    </row>
    <row r="409" spans="1:10" ht="14.25" customHeight="1" x14ac:dyDescent="0.25">
      <c r="A409" s="284"/>
      <c r="B409" s="529" t="s">
        <v>667</v>
      </c>
      <c r="C409" s="523" t="s">
        <v>666</v>
      </c>
      <c r="D409" s="426" t="s">
        <v>622</v>
      </c>
      <c r="E409" s="426"/>
      <c r="F409" s="440">
        <v>32.69</v>
      </c>
      <c r="G409" s="441" t="s">
        <v>701</v>
      </c>
      <c r="H409" s="428">
        <v>1</v>
      </c>
      <c r="I409" s="530">
        <f t="shared" si="6"/>
        <v>32.69</v>
      </c>
      <c r="J409" s="285"/>
    </row>
    <row r="410" spans="1:10" ht="14.25" customHeight="1" x14ac:dyDescent="0.25">
      <c r="A410" s="284"/>
      <c r="B410" s="529" t="s">
        <v>667</v>
      </c>
      <c r="C410" s="523" t="s">
        <v>666</v>
      </c>
      <c r="D410" s="426" t="s">
        <v>623</v>
      </c>
      <c r="E410" s="426"/>
      <c r="F410" s="440">
        <v>12.76</v>
      </c>
      <c r="G410" s="441" t="s">
        <v>701</v>
      </c>
      <c r="H410" s="428">
        <v>1</v>
      </c>
      <c r="I410" s="530">
        <f t="shared" si="6"/>
        <v>12.76</v>
      </c>
      <c r="J410" s="285"/>
    </row>
    <row r="411" spans="1:10" ht="14.25" customHeight="1" x14ac:dyDescent="0.25">
      <c r="A411" s="284"/>
      <c r="B411" s="529" t="s">
        <v>667</v>
      </c>
      <c r="C411" s="523" t="s">
        <v>666</v>
      </c>
      <c r="D411" s="426" t="s">
        <v>630</v>
      </c>
      <c r="E411" s="426"/>
      <c r="F411" s="440">
        <v>16.98</v>
      </c>
      <c r="G411" s="441" t="s">
        <v>701</v>
      </c>
      <c r="H411" s="428">
        <v>1</v>
      </c>
      <c r="I411" s="530">
        <f t="shared" si="6"/>
        <v>16.98</v>
      </c>
      <c r="J411" s="285"/>
    </row>
    <row r="412" spans="1:10" ht="14.25" customHeight="1" x14ac:dyDescent="0.25">
      <c r="A412" s="284"/>
      <c r="B412" s="529" t="s">
        <v>667</v>
      </c>
      <c r="C412" s="523" t="s">
        <v>666</v>
      </c>
      <c r="D412" s="426" t="s">
        <v>631</v>
      </c>
      <c r="E412" s="426"/>
      <c r="F412" s="440">
        <v>4.6500000000000004</v>
      </c>
      <c r="G412" s="441" t="s">
        <v>701</v>
      </c>
      <c r="H412" s="428">
        <v>1</v>
      </c>
      <c r="I412" s="530">
        <f t="shared" si="6"/>
        <v>4.6500000000000004</v>
      </c>
      <c r="J412" s="285"/>
    </row>
    <row r="413" spans="1:10" ht="14.25" customHeight="1" x14ac:dyDescent="0.25">
      <c r="A413" s="284"/>
      <c r="B413" s="529" t="s">
        <v>667</v>
      </c>
      <c r="C413" s="523" t="s">
        <v>666</v>
      </c>
      <c r="D413" s="426" t="s">
        <v>624</v>
      </c>
      <c r="E413" s="426"/>
      <c r="F413" s="440">
        <v>16.829999999999998</v>
      </c>
      <c r="G413" s="441" t="s">
        <v>701</v>
      </c>
      <c r="H413" s="428">
        <v>1</v>
      </c>
      <c r="I413" s="530">
        <f t="shared" si="6"/>
        <v>16.829999999999998</v>
      </c>
      <c r="J413" s="285"/>
    </row>
    <row r="414" spans="1:10" ht="14.25" customHeight="1" x14ac:dyDescent="0.25">
      <c r="A414" s="284"/>
      <c r="B414" s="529" t="s">
        <v>667</v>
      </c>
      <c r="C414" s="523" t="s">
        <v>666</v>
      </c>
      <c r="D414" s="426" t="s">
        <v>625</v>
      </c>
      <c r="E414" s="426"/>
      <c r="F414" s="440">
        <v>4.6500000000000004</v>
      </c>
      <c r="G414" s="441" t="s">
        <v>701</v>
      </c>
      <c r="H414" s="428">
        <v>1</v>
      </c>
      <c r="I414" s="530">
        <f t="shared" si="6"/>
        <v>4.6500000000000004</v>
      </c>
      <c r="J414" s="285"/>
    </row>
    <row r="415" spans="1:10" ht="14.25" customHeight="1" x14ac:dyDescent="0.25">
      <c r="A415" s="284"/>
      <c r="B415" s="529" t="s">
        <v>667</v>
      </c>
      <c r="C415" s="523" t="s">
        <v>666</v>
      </c>
      <c r="D415" s="426" t="s">
        <v>626</v>
      </c>
      <c r="E415" s="426"/>
      <c r="F415" s="440">
        <v>14.07</v>
      </c>
      <c r="G415" s="441" t="s">
        <v>701</v>
      </c>
      <c r="H415" s="428">
        <v>1</v>
      </c>
      <c r="I415" s="530">
        <f t="shared" si="6"/>
        <v>14.07</v>
      </c>
      <c r="J415" s="285"/>
    </row>
    <row r="416" spans="1:10" ht="14.25" customHeight="1" x14ac:dyDescent="0.25">
      <c r="A416" s="284"/>
      <c r="B416" s="529" t="s">
        <v>667</v>
      </c>
      <c r="C416" s="523" t="s">
        <v>666</v>
      </c>
      <c r="D416" s="426" t="s">
        <v>627</v>
      </c>
      <c r="E416" s="426"/>
      <c r="F416" s="440">
        <v>3.68</v>
      </c>
      <c r="G416" s="441" t="s">
        <v>701</v>
      </c>
      <c r="H416" s="428">
        <v>1</v>
      </c>
      <c r="I416" s="530">
        <f t="shared" si="6"/>
        <v>3.68</v>
      </c>
      <c r="J416" s="285"/>
    </row>
    <row r="417" spans="1:10" ht="14.25" customHeight="1" x14ac:dyDescent="0.25">
      <c r="A417" s="284"/>
      <c r="B417" s="529" t="s">
        <v>667</v>
      </c>
      <c r="C417" s="523" t="s">
        <v>666</v>
      </c>
      <c r="D417" s="426" t="s">
        <v>675</v>
      </c>
      <c r="E417" s="426"/>
      <c r="F417" s="440">
        <v>32.06</v>
      </c>
      <c r="G417" s="441" t="s">
        <v>701</v>
      </c>
      <c r="H417" s="428">
        <v>1</v>
      </c>
      <c r="I417" s="530">
        <f t="shared" si="6"/>
        <v>32.06</v>
      </c>
      <c r="J417" s="285"/>
    </row>
    <row r="418" spans="1:10" ht="14.25" customHeight="1" x14ac:dyDescent="0.25">
      <c r="A418" s="284"/>
      <c r="B418" s="529" t="s">
        <v>667</v>
      </c>
      <c r="C418" s="523" t="s">
        <v>666</v>
      </c>
      <c r="D418" s="426" t="s">
        <v>676</v>
      </c>
      <c r="E418" s="426"/>
      <c r="F418" s="440">
        <v>12.38</v>
      </c>
      <c r="G418" s="441" t="s">
        <v>701</v>
      </c>
      <c r="H418" s="428">
        <v>1</v>
      </c>
      <c r="I418" s="530">
        <f t="shared" si="6"/>
        <v>12.38</v>
      </c>
      <c r="J418" s="285"/>
    </row>
    <row r="419" spans="1:10" ht="14.25" customHeight="1" x14ac:dyDescent="0.25">
      <c r="A419" s="284"/>
      <c r="B419" s="529" t="s">
        <v>667</v>
      </c>
      <c r="C419" s="523" t="s">
        <v>666</v>
      </c>
      <c r="D419" s="426" t="s">
        <v>677</v>
      </c>
      <c r="E419" s="426"/>
      <c r="F419" s="440">
        <v>16.850000000000001</v>
      </c>
      <c r="G419" s="441" t="s">
        <v>701</v>
      </c>
      <c r="H419" s="428">
        <v>1</v>
      </c>
      <c r="I419" s="530">
        <f t="shared" si="6"/>
        <v>16.850000000000001</v>
      </c>
      <c r="J419" s="285"/>
    </row>
    <row r="420" spans="1:10" ht="14.25" customHeight="1" x14ac:dyDescent="0.25">
      <c r="A420" s="284"/>
      <c r="B420" s="529" t="s">
        <v>667</v>
      </c>
      <c r="C420" s="523" t="s">
        <v>666</v>
      </c>
      <c r="D420" s="426" t="s">
        <v>678</v>
      </c>
      <c r="E420" s="426"/>
      <c r="F420" s="440">
        <v>4.67</v>
      </c>
      <c r="G420" s="441" t="s">
        <v>701</v>
      </c>
      <c r="H420" s="428">
        <v>1</v>
      </c>
      <c r="I420" s="530">
        <f t="shared" si="6"/>
        <v>4.67</v>
      </c>
      <c r="J420" s="285"/>
    </row>
    <row r="421" spans="1:10" ht="14.25" customHeight="1" x14ac:dyDescent="0.25">
      <c r="A421" s="284"/>
      <c r="B421" s="529" t="s">
        <v>667</v>
      </c>
      <c r="C421" s="523" t="s">
        <v>666</v>
      </c>
      <c r="D421" s="426" t="s">
        <v>679</v>
      </c>
      <c r="E421" s="426"/>
      <c r="F421" s="440">
        <v>16.850000000000001</v>
      </c>
      <c r="G421" s="441" t="s">
        <v>701</v>
      </c>
      <c r="H421" s="428">
        <v>1</v>
      </c>
      <c r="I421" s="530">
        <f t="shared" si="6"/>
        <v>16.850000000000001</v>
      </c>
      <c r="J421" s="285"/>
    </row>
    <row r="422" spans="1:10" ht="14.25" customHeight="1" x14ac:dyDescent="0.25">
      <c r="A422" s="284"/>
      <c r="B422" s="529" t="s">
        <v>667</v>
      </c>
      <c r="C422" s="523" t="s">
        <v>666</v>
      </c>
      <c r="D422" s="426" t="s">
        <v>680</v>
      </c>
      <c r="E422" s="426"/>
      <c r="F422" s="440">
        <v>4.67</v>
      </c>
      <c r="G422" s="441" t="s">
        <v>701</v>
      </c>
      <c r="H422" s="428">
        <v>1</v>
      </c>
      <c r="I422" s="530">
        <f t="shared" si="6"/>
        <v>4.67</v>
      </c>
      <c r="J422" s="285"/>
    </row>
    <row r="423" spans="1:10" ht="14.25" customHeight="1" x14ac:dyDescent="0.25">
      <c r="A423" s="284"/>
      <c r="B423" s="529" t="s">
        <v>667</v>
      </c>
      <c r="C423" s="523" t="s">
        <v>666</v>
      </c>
      <c r="D423" s="426" t="s">
        <v>681</v>
      </c>
      <c r="E423" s="426"/>
      <c r="F423" s="440">
        <v>14.16</v>
      </c>
      <c r="G423" s="441" t="s">
        <v>701</v>
      </c>
      <c r="H423" s="428">
        <v>1</v>
      </c>
      <c r="I423" s="530">
        <f t="shared" si="6"/>
        <v>14.16</v>
      </c>
      <c r="J423" s="285"/>
    </row>
    <row r="424" spans="1:10" ht="14.25" customHeight="1" x14ac:dyDescent="0.25">
      <c r="A424" s="284"/>
      <c r="B424" s="529" t="s">
        <v>667</v>
      </c>
      <c r="C424" s="523" t="s">
        <v>666</v>
      </c>
      <c r="D424" s="426" t="s">
        <v>682</v>
      </c>
      <c r="E424" s="426"/>
      <c r="F424" s="440">
        <v>4.3</v>
      </c>
      <c r="G424" s="441" t="s">
        <v>701</v>
      </c>
      <c r="H424" s="428">
        <v>1</v>
      </c>
      <c r="I424" s="530">
        <f t="shared" si="6"/>
        <v>4.3</v>
      </c>
      <c r="J424" s="285"/>
    </row>
    <row r="425" spans="1:10" ht="14.25" customHeight="1" x14ac:dyDescent="0.25">
      <c r="A425" s="284"/>
      <c r="B425" s="529" t="s">
        <v>667</v>
      </c>
      <c r="C425" s="523" t="s">
        <v>666</v>
      </c>
      <c r="D425" s="426" t="s">
        <v>683</v>
      </c>
      <c r="E425" s="426"/>
      <c r="F425" s="440">
        <v>62.92</v>
      </c>
      <c r="G425" s="441"/>
      <c r="H425" s="428">
        <v>1</v>
      </c>
      <c r="I425" s="530">
        <f t="shared" si="6"/>
        <v>62.92</v>
      </c>
      <c r="J425" s="285"/>
    </row>
    <row r="426" spans="1:10" ht="14.25" customHeight="1" x14ac:dyDescent="0.25">
      <c r="A426" s="284"/>
      <c r="B426" s="529" t="s">
        <v>667</v>
      </c>
      <c r="C426" s="523" t="s">
        <v>666</v>
      </c>
      <c r="D426" s="426" t="s">
        <v>684</v>
      </c>
      <c r="E426" s="426"/>
      <c r="F426" s="440">
        <v>29.8</v>
      </c>
      <c r="G426" s="441"/>
      <c r="H426" s="428">
        <v>1</v>
      </c>
      <c r="I426" s="530">
        <f t="shared" si="6"/>
        <v>29.8</v>
      </c>
      <c r="J426" s="285"/>
    </row>
    <row r="427" spans="1:10" ht="14.25" customHeight="1" x14ac:dyDescent="0.25">
      <c r="A427" s="284"/>
      <c r="B427" s="529" t="s">
        <v>667</v>
      </c>
      <c r="C427" s="523" t="s">
        <v>666</v>
      </c>
      <c r="D427" s="426" t="s">
        <v>685</v>
      </c>
      <c r="E427" s="426"/>
      <c r="F427" s="440">
        <v>15.35</v>
      </c>
      <c r="G427" s="441"/>
      <c r="H427" s="428">
        <v>1</v>
      </c>
      <c r="I427" s="530">
        <f t="shared" si="6"/>
        <v>15.35</v>
      </c>
      <c r="J427" s="285"/>
    </row>
    <row r="428" spans="1:10" ht="14.25" customHeight="1" x14ac:dyDescent="0.25">
      <c r="A428" s="284"/>
      <c r="B428" s="529" t="s">
        <v>671</v>
      </c>
      <c r="C428" s="523" t="s">
        <v>635</v>
      </c>
      <c r="D428" s="426" t="s">
        <v>628</v>
      </c>
      <c r="E428" s="426"/>
      <c r="F428" s="440">
        <v>18.79</v>
      </c>
      <c r="G428" s="441"/>
      <c r="H428" s="428">
        <v>1</v>
      </c>
      <c r="I428" s="530">
        <f t="shared" si="6"/>
        <v>18.79</v>
      </c>
      <c r="J428" s="285"/>
    </row>
    <row r="429" spans="1:10" ht="14.25" customHeight="1" x14ac:dyDescent="0.25">
      <c r="A429" s="284"/>
      <c r="B429" s="529" t="s">
        <v>672</v>
      </c>
      <c r="C429" s="523" t="s">
        <v>674</v>
      </c>
      <c r="D429" s="426" t="s">
        <v>614</v>
      </c>
      <c r="E429" s="426"/>
      <c r="F429" s="440">
        <v>28.7</v>
      </c>
      <c r="G429" s="441" t="s">
        <v>701</v>
      </c>
      <c r="H429" s="428">
        <v>1</v>
      </c>
      <c r="I429" s="530">
        <f t="shared" si="6"/>
        <v>28.7</v>
      </c>
      <c r="J429" s="285"/>
    </row>
    <row r="430" spans="1:10" ht="14.25" customHeight="1" x14ac:dyDescent="0.25">
      <c r="A430" s="284"/>
      <c r="B430" s="529" t="s">
        <v>672</v>
      </c>
      <c r="C430" s="523" t="s">
        <v>674</v>
      </c>
      <c r="D430" s="426" t="s">
        <v>615</v>
      </c>
      <c r="E430" s="426"/>
      <c r="F430" s="440">
        <v>38.950000000000003</v>
      </c>
      <c r="G430" s="441" t="s">
        <v>701</v>
      </c>
      <c r="H430" s="428">
        <v>1</v>
      </c>
      <c r="I430" s="530">
        <f t="shared" si="6"/>
        <v>38.950000000000003</v>
      </c>
      <c r="J430" s="285"/>
    </row>
    <row r="431" spans="1:10" ht="14.25" customHeight="1" x14ac:dyDescent="0.25">
      <c r="A431" s="284"/>
      <c r="B431" s="529" t="s">
        <v>672</v>
      </c>
      <c r="C431" s="523" t="s">
        <v>674</v>
      </c>
      <c r="D431" s="426" t="s">
        <v>616</v>
      </c>
      <c r="E431" s="426"/>
      <c r="F431" s="440">
        <v>3.39</v>
      </c>
      <c r="G431" s="441" t="s">
        <v>701</v>
      </c>
      <c r="H431" s="428">
        <v>1</v>
      </c>
      <c r="I431" s="530">
        <f t="shared" si="6"/>
        <v>3.39</v>
      </c>
      <c r="J431" s="285"/>
    </row>
    <row r="432" spans="1:10" ht="14.25" customHeight="1" x14ac:dyDescent="0.25">
      <c r="A432" s="284"/>
      <c r="B432" s="529" t="s">
        <v>672</v>
      </c>
      <c r="C432" s="523" t="s">
        <v>674</v>
      </c>
      <c r="D432" s="426" t="s">
        <v>618</v>
      </c>
      <c r="E432" s="426"/>
      <c r="F432" s="440">
        <v>29.37</v>
      </c>
      <c r="G432" s="441"/>
      <c r="H432" s="428">
        <v>1</v>
      </c>
      <c r="I432" s="530">
        <f t="shared" si="6"/>
        <v>29.37</v>
      </c>
      <c r="J432" s="285"/>
    </row>
    <row r="433" spans="1:10" ht="14.25" customHeight="1" x14ac:dyDescent="0.25">
      <c r="A433" s="284"/>
      <c r="B433" s="529" t="s">
        <v>672</v>
      </c>
      <c r="C433" s="523" t="s">
        <v>674</v>
      </c>
      <c r="D433" s="426" t="s">
        <v>689</v>
      </c>
      <c r="E433" s="426"/>
      <c r="F433" s="440">
        <v>21.51</v>
      </c>
      <c r="G433" s="441" t="s">
        <v>701</v>
      </c>
      <c r="H433" s="428">
        <v>1</v>
      </c>
      <c r="I433" s="530">
        <f t="shared" si="6"/>
        <v>21.51</v>
      </c>
      <c r="J433" s="285"/>
    </row>
    <row r="434" spans="1:10" ht="14.25" customHeight="1" x14ac:dyDescent="0.25">
      <c r="A434" s="284"/>
      <c r="B434" s="529" t="s">
        <v>672</v>
      </c>
      <c r="C434" s="523" t="s">
        <v>674</v>
      </c>
      <c r="D434" s="426" t="s">
        <v>619</v>
      </c>
      <c r="E434" s="426"/>
      <c r="F434" s="440">
        <v>16.829999999999998</v>
      </c>
      <c r="G434" s="441" t="s">
        <v>701</v>
      </c>
      <c r="H434" s="428">
        <v>1</v>
      </c>
      <c r="I434" s="530">
        <f t="shared" si="6"/>
        <v>16.829999999999998</v>
      </c>
      <c r="J434" s="285"/>
    </row>
    <row r="435" spans="1:10" ht="14.25" customHeight="1" x14ac:dyDescent="0.25">
      <c r="A435" s="284"/>
      <c r="B435" s="529" t="s">
        <v>672</v>
      </c>
      <c r="C435" s="523" t="s">
        <v>674</v>
      </c>
      <c r="D435" s="426" t="s">
        <v>620</v>
      </c>
      <c r="E435" s="426"/>
      <c r="F435" s="440">
        <v>9.11</v>
      </c>
      <c r="G435" s="441" t="s">
        <v>701</v>
      </c>
      <c r="H435" s="428">
        <v>1</v>
      </c>
      <c r="I435" s="530">
        <f t="shared" si="6"/>
        <v>9.11</v>
      </c>
      <c r="J435" s="285"/>
    </row>
    <row r="436" spans="1:10" ht="14.25" customHeight="1" x14ac:dyDescent="0.25">
      <c r="A436" s="284"/>
      <c r="B436" s="529" t="s">
        <v>672</v>
      </c>
      <c r="C436" s="523" t="s">
        <v>674</v>
      </c>
      <c r="D436" s="426" t="s">
        <v>640</v>
      </c>
      <c r="E436" s="426"/>
      <c r="F436" s="440">
        <v>6.42</v>
      </c>
      <c r="G436" s="441" t="s">
        <v>701</v>
      </c>
      <c r="H436" s="428">
        <v>1</v>
      </c>
      <c r="I436" s="530">
        <f t="shared" si="6"/>
        <v>6.42</v>
      </c>
      <c r="J436" s="285"/>
    </row>
    <row r="437" spans="1:10" ht="14.25" customHeight="1" x14ac:dyDescent="0.25">
      <c r="A437" s="284"/>
      <c r="B437" s="529" t="s">
        <v>672</v>
      </c>
      <c r="C437" s="523" t="s">
        <v>674</v>
      </c>
      <c r="D437" s="426" t="s">
        <v>621</v>
      </c>
      <c r="E437" s="426"/>
      <c r="F437" s="440">
        <v>3.82</v>
      </c>
      <c r="G437" s="441" t="s">
        <v>701</v>
      </c>
      <c r="H437" s="428">
        <v>1</v>
      </c>
      <c r="I437" s="530">
        <f t="shared" si="6"/>
        <v>3.82</v>
      </c>
      <c r="J437" s="285"/>
    </row>
    <row r="438" spans="1:10" ht="14.25" customHeight="1" x14ac:dyDescent="0.25">
      <c r="A438" s="284"/>
      <c r="B438" s="529" t="s">
        <v>672</v>
      </c>
      <c r="C438" s="523" t="s">
        <v>674</v>
      </c>
      <c r="D438" s="426" t="s">
        <v>617</v>
      </c>
      <c r="E438" s="426"/>
      <c r="F438" s="440">
        <v>14.38</v>
      </c>
      <c r="G438" s="441" t="s">
        <v>701</v>
      </c>
      <c r="H438" s="428">
        <v>1</v>
      </c>
      <c r="I438" s="530">
        <f t="shared" si="6"/>
        <v>14.38</v>
      </c>
      <c r="J438" s="285"/>
    </row>
    <row r="439" spans="1:10" ht="14.25" customHeight="1" x14ac:dyDescent="0.25">
      <c r="A439" s="284"/>
      <c r="B439" s="529" t="s">
        <v>672</v>
      </c>
      <c r="C439" s="523" t="s">
        <v>674</v>
      </c>
      <c r="D439" s="426" t="s">
        <v>622</v>
      </c>
      <c r="E439" s="426"/>
      <c r="F439" s="440">
        <v>31.25</v>
      </c>
      <c r="G439" s="441" t="s">
        <v>701</v>
      </c>
      <c r="H439" s="428">
        <v>1</v>
      </c>
      <c r="I439" s="530">
        <f t="shared" si="6"/>
        <v>31.25</v>
      </c>
      <c r="J439" s="285"/>
    </row>
    <row r="440" spans="1:10" ht="14.25" customHeight="1" x14ac:dyDescent="0.25">
      <c r="A440" s="284"/>
      <c r="B440" s="529" t="s">
        <v>672</v>
      </c>
      <c r="C440" s="523" t="s">
        <v>674</v>
      </c>
      <c r="D440" s="426" t="s">
        <v>623</v>
      </c>
      <c r="E440" s="426"/>
      <c r="F440" s="440">
        <v>7.38</v>
      </c>
      <c r="G440" s="441" t="s">
        <v>701</v>
      </c>
      <c r="H440" s="428">
        <v>1</v>
      </c>
      <c r="I440" s="530">
        <f t="shared" si="6"/>
        <v>7.38</v>
      </c>
      <c r="J440" s="285"/>
    </row>
    <row r="441" spans="1:10" ht="14.25" customHeight="1" x14ac:dyDescent="0.25">
      <c r="A441" s="284"/>
      <c r="B441" s="529" t="s">
        <v>672</v>
      </c>
      <c r="C441" s="523" t="s">
        <v>674</v>
      </c>
      <c r="D441" s="426" t="s">
        <v>630</v>
      </c>
      <c r="E441" s="426"/>
      <c r="F441" s="440">
        <v>18.100000000000001</v>
      </c>
      <c r="G441" s="441" t="s">
        <v>701</v>
      </c>
      <c r="H441" s="428">
        <v>1</v>
      </c>
      <c r="I441" s="530">
        <f t="shared" si="6"/>
        <v>18.100000000000001</v>
      </c>
      <c r="J441" s="285"/>
    </row>
    <row r="442" spans="1:10" ht="14.25" customHeight="1" x14ac:dyDescent="0.25">
      <c r="A442" s="284"/>
      <c r="B442" s="529" t="s">
        <v>672</v>
      </c>
      <c r="C442" s="523" t="s">
        <v>674</v>
      </c>
      <c r="D442" s="426" t="s">
        <v>631</v>
      </c>
      <c r="E442" s="426"/>
      <c r="F442" s="440">
        <v>4.62</v>
      </c>
      <c r="G442" s="441" t="s">
        <v>701</v>
      </c>
      <c r="H442" s="428">
        <v>1</v>
      </c>
      <c r="I442" s="530">
        <f t="shared" si="6"/>
        <v>4.62</v>
      </c>
      <c r="J442" s="285"/>
    </row>
    <row r="443" spans="1:10" ht="14.25" customHeight="1" x14ac:dyDescent="0.25">
      <c r="A443" s="284"/>
      <c r="B443" s="529" t="s">
        <v>672</v>
      </c>
      <c r="C443" s="523" t="s">
        <v>674</v>
      </c>
      <c r="D443" s="426" t="s">
        <v>624</v>
      </c>
      <c r="E443" s="426"/>
      <c r="F443" s="440">
        <v>18.079999999999998</v>
      </c>
      <c r="G443" s="441" t="s">
        <v>701</v>
      </c>
      <c r="H443" s="428">
        <v>1</v>
      </c>
      <c r="I443" s="530">
        <f t="shared" si="6"/>
        <v>18.079999999999998</v>
      </c>
      <c r="J443" s="285"/>
    </row>
    <row r="444" spans="1:10" ht="14.25" customHeight="1" x14ac:dyDescent="0.25">
      <c r="A444" s="284"/>
      <c r="B444" s="529" t="s">
        <v>672</v>
      </c>
      <c r="C444" s="523" t="s">
        <v>674</v>
      </c>
      <c r="D444" s="426" t="s">
        <v>625</v>
      </c>
      <c r="E444" s="426"/>
      <c r="F444" s="440">
        <v>4.6399999999999997</v>
      </c>
      <c r="G444" s="441" t="s">
        <v>701</v>
      </c>
      <c r="H444" s="428">
        <v>1</v>
      </c>
      <c r="I444" s="530">
        <f t="shared" si="6"/>
        <v>4.6399999999999997</v>
      </c>
      <c r="J444" s="285"/>
    </row>
    <row r="445" spans="1:10" ht="14.25" customHeight="1" x14ac:dyDescent="0.25">
      <c r="A445" s="284"/>
      <c r="B445" s="529" t="s">
        <v>672</v>
      </c>
      <c r="C445" s="523" t="s">
        <v>674</v>
      </c>
      <c r="D445" s="426" t="s">
        <v>626</v>
      </c>
      <c r="E445" s="426"/>
      <c r="F445" s="440">
        <v>18.079999999999998</v>
      </c>
      <c r="G445" s="441" t="s">
        <v>701</v>
      </c>
      <c r="H445" s="428">
        <v>1</v>
      </c>
      <c r="I445" s="530">
        <f t="shared" si="6"/>
        <v>18.079999999999998</v>
      </c>
      <c r="J445" s="285"/>
    </row>
    <row r="446" spans="1:10" ht="14.25" customHeight="1" x14ac:dyDescent="0.25">
      <c r="A446" s="284"/>
      <c r="B446" s="529" t="s">
        <v>672</v>
      </c>
      <c r="C446" s="523" t="s">
        <v>674</v>
      </c>
      <c r="D446" s="426" t="s">
        <v>627</v>
      </c>
      <c r="E446" s="426"/>
      <c r="F446" s="440">
        <v>4.6399999999999997</v>
      </c>
      <c r="G446" s="441" t="s">
        <v>701</v>
      </c>
      <c r="H446" s="428">
        <v>1</v>
      </c>
      <c r="I446" s="530">
        <f t="shared" si="6"/>
        <v>4.6399999999999997</v>
      </c>
      <c r="J446" s="285"/>
    </row>
    <row r="447" spans="1:10" ht="14.25" customHeight="1" x14ac:dyDescent="0.25">
      <c r="A447" s="284"/>
      <c r="B447" s="529" t="s">
        <v>672</v>
      </c>
      <c r="C447" s="523" t="s">
        <v>674</v>
      </c>
      <c r="D447" s="426" t="s">
        <v>683</v>
      </c>
      <c r="E447" s="426"/>
      <c r="F447" s="440">
        <v>89.77</v>
      </c>
      <c r="G447" s="441"/>
      <c r="H447" s="428">
        <v>1</v>
      </c>
      <c r="I447" s="530">
        <f t="shared" si="6"/>
        <v>89.77</v>
      </c>
      <c r="J447" s="285"/>
    </row>
    <row r="448" spans="1:10" ht="14.25" customHeight="1" x14ac:dyDescent="0.25">
      <c r="A448" s="284"/>
      <c r="B448" s="529" t="s">
        <v>672</v>
      </c>
      <c r="C448" s="523" t="s">
        <v>674</v>
      </c>
      <c r="D448" s="426" t="s">
        <v>684</v>
      </c>
      <c r="E448" s="426"/>
      <c r="F448" s="440">
        <v>29.88</v>
      </c>
      <c r="G448" s="441"/>
      <c r="H448" s="428">
        <v>1</v>
      </c>
      <c r="I448" s="530">
        <f t="shared" si="6"/>
        <v>29.88</v>
      </c>
      <c r="J448" s="285"/>
    </row>
    <row r="449" spans="1:10" ht="14.25" customHeight="1" x14ac:dyDescent="0.25">
      <c r="A449" s="284"/>
      <c r="B449" s="529" t="s">
        <v>672</v>
      </c>
      <c r="C449" s="523" t="s">
        <v>674</v>
      </c>
      <c r="D449" s="426" t="s">
        <v>685</v>
      </c>
      <c r="E449" s="426"/>
      <c r="F449" s="440">
        <v>106.44</v>
      </c>
      <c r="G449" s="441"/>
      <c r="H449" s="428">
        <v>1</v>
      </c>
      <c r="I449" s="530">
        <f t="shared" si="6"/>
        <v>106.44</v>
      </c>
      <c r="J449" s="285"/>
    </row>
    <row r="450" spans="1:10" ht="14.25" customHeight="1" x14ac:dyDescent="0.25">
      <c r="A450" s="284"/>
      <c r="B450" s="529" t="s">
        <v>672</v>
      </c>
      <c r="C450" s="523" t="s">
        <v>673</v>
      </c>
      <c r="D450" s="426" t="s">
        <v>614</v>
      </c>
      <c r="E450" s="426"/>
      <c r="F450" s="440">
        <v>26.63</v>
      </c>
      <c r="G450" s="441" t="s">
        <v>701</v>
      </c>
      <c r="H450" s="428">
        <v>1</v>
      </c>
      <c r="I450" s="530">
        <f t="shared" si="6"/>
        <v>26.63</v>
      </c>
      <c r="J450" s="285"/>
    </row>
    <row r="451" spans="1:10" ht="14.25" customHeight="1" x14ac:dyDescent="0.25">
      <c r="A451" s="284"/>
      <c r="B451" s="529" t="s">
        <v>672</v>
      </c>
      <c r="C451" s="523" t="s">
        <v>673</v>
      </c>
      <c r="D451" s="426" t="s">
        <v>615</v>
      </c>
      <c r="E451" s="426"/>
      <c r="F451" s="440">
        <v>26.8</v>
      </c>
      <c r="G451" s="441" t="s">
        <v>701</v>
      </c>
      <c r="H451" s="428">
        <v>1</v>
      </c>
      <c r="I451" s="530">
        <f t="shared" si="6"/>
        <v>26.8</v>
      </c>
      <c r="J451" s="285"/>
    </row>
    <row r="452" spans="1:10" ht="14.25" customHeight="1" x14ac:dyDescent="0.25">
      <c r="A452" s="284"/>
      <c r="B452" s="529" t="s">
        <v>672</v>
      </c>
      <c r="C452" s="523" t="s">
        <v>673</v>
      </c>
      <c r="D452" s="426" t="s">
        <v>616</v>
      </c>
      <c r="E452" s="426"/>
      <c r="F452" s="440">
        <v>3.18</v>
      </c>
      <c r="G452" s="441" t="s">
        <v>701</v>
      </c>
      <c r="H452" s="428">
        <v>1</v>
      </c>
      <c r="I452" s="530">
        <f t="shared" si="6"/>
        <v>3.18</v>
      </c>
      <c r="J452" s="285"/>
    </row>
    <row r="453" spans="1:10" ht="14.25" customHeight="1" x14ac:dyDescent="0.25">
      <c r="A453" s="284"/>
      <c r="B453" s="529" t="s">
        <v>672</v>
      </c>
      <c r="C453" s="523" t="s">
        <v>673</v>
      </c>
      <c r="D453" s="426" t="s">
        <v>618</v>
      </c>
      <c r="E453" s="426"/>
      <c r="F453" s="440">
        <v>28.12</v>
      </c>
      <c r="G453" s="441"/>
      <c r="H453" s="428">
        <v>1</v>
      </c>
      <c r="I453" s="530">
        <f t="shared" si="6"/>
        <v>28.12</v>
      </c>
      <c r="J453" s="285"/>
    </row>
    <row r="454" spans="1:10" ht="14.25" customHeight="1" x14ac:dyDescent="0.25">
      <c r="A454" s="284"/>
      <c r="B454" s="529" t="s">
        <v>672</v>
      </c>
      <c r="C454" s="523" t="s">
        <v>673</v>
      </c>
      <c r="D454" s="426" t="s">
        <v>689</v>
      </c>
      <c r="E454" s="426"/>
      <c r="F454" s="440">
        <v>22.77</v>
      </c>
      <c r="G454" s="441" t="s">
        <v>701</v>
      </c>
      <c r="H454" s="428">
        <v>1</v>
      </c>
      <c r="I454" s="530">
        <f t="shared" si="6"/>
        <v>22.77</v>
      </c>
      <c r="J454" s="285"/>
    </row>
    <row r="455" spans="1:10" ht="14.25" customHeight="1" x14ac:dyDescent="0.25">
      <c r="A455" s="284"/>
      <c r="B455" s="529" t="s">
        <v>672</v>
      </c>
      <c r="C455" s="523" t="s">
        <v>673</v>
      </c>
      <c r="D455" s="426" t="s">
        <v>619</v>
      </c>
      <c r="E455" s="426"/>
      <c r="F455" s="440">
        <v>13.42</v>
      </c>
      <c r="G455" s="441" t="s">
        <v>701</v>
      </c>
      <c r="H455" s="428">
        <v>1</v>
      </c>
      <c r="I455" s="530">
        <f t="shared" si="6"/>
        <v>13.42</v>
      </c>
      <c r="J455" s="285"/>
    </row>
    <row r="456" spans="1:10" ht="14.25" customHeight="1" x14ac:dyDescent="0.25">
      <c r="A456" s="284"/>
      <c r="B456" s="529" t="s">
        <v>672</v>
      </c>
      <c r="C456" s="523" t="s">
        <v>673</v>
      </c>
      <c r="D456" s="426" t="s">
        <v>620</v>
      </c>
      <c r="E456" s="426"/>
      <c r="F456" s="440">
        <v>7.18</v>
      </c>
      <c r="G456" s="441" t="s">
        <v>701</v>
      </c>
      <c r="H456" s="428">
        <v>1</v>
      </c>
      <c r="I456" s="530">
        <f t="shared" si="6"/>
        <v>7.18</v>
      </c>
      <c r="J456" s="285"/>
    </row>
    <row r="457" spans="1:10" ht="14.25" customHeight="1" x14ac:dyDescent="0.25">
      <c r="A457" s="284"/>
      <c r="B457" s="529" t="s">
        <v>672</v>
      </c>
      <c r="C457" s="523" t="s">
        <v>673</v>
      </c>
      <c r="D457" s="426" t="s">
        <v>621</v>
      </c>
      <c r="E457" s="426"/>
      <c r="F457" s="440">
        <v>4.1399999999999997</v>
      </c>
      <c r="G457" s="441" t="s">
        <v>701</v>
      </c>
      <c r="H457" s="428">
        <v>1</v>
      </c>
      <c r="I457" s="530">
        <f t="shared" si="6"/>
        <v>4.1399999999999997</v>
      </c>
      <c r="J457" s="285"/>
    </row>
    <row r="458" spans="1:10" ht="14.25" customHeight="1" x14ac:dyDescent="0.25">
      <c r="A458" s="284"/>
      <c r="B458" s="529" t="s">
        <v>672</v>
      </c>
      <c r="C458" s="523" t="s">
        <v>673</v>
      </c>
      <c r="D458" s="426" t="s">
        <v>617</v>
      </c>
      <c r="E458" s="426"/>
      <c r="F458" s="440">
        <v>7.17</v>
      </c>
      <c r="G458" s="441" t="s">
        <v>701</v>
      </c>
      <c r="H458" s="428">
        <v>1</v>
      </c>
      <c r="I458" s="530">
        <f t="shared" si="6"/>
        <v>7.17</v>
      </c>
      <c r="J458" s="285"/>
    </row>
    <row r="459" spans="1:10" ht="14.25" customHeight="1" x14ac:dyDescent="0.25">
      <c r="A459" s="284"/>
      <c r="B459" s="529" t="s">
        <v>672</v>
      </c>
      <c r="C459" s="523" t="s">
        <v>673</v>
      </c>
      <c r="D459" s="426" t="s">
        <v>622</v>
      </c>
      <c r="E459" s="426"/>
      <c r="F459" s="440">
        <v>30.82</v>
      </c>
      <c r="G459" s="441" t="s">
        <v>701</v>
      </c>
      <c r="H459" s="428">
        <v>1</v>
      </c>
      <c r="I459" s="530">
        <f t="shared" si="6"/>
        <v>30.82</v>
      </c>
      <c r="J459" s="285"/>
    </row>
    <row r="460" spans="1:10" ht="14.25" customHeight="1" x14ac:dyDescent="0.25">
      <c r="A460" s="284"/>
      <c r="B460" s="529" t="s">
        <v>672</v>
      </c>
      <c r="C460" s="523" t="s">
        <v>673</v>
      </c>
      <c r="D460" s="426" t="s">
        <v>623</v>
      </c>
      <c r="E460" s="426"/>
      <c r="F460" s="440">
        <v>7.35</v>
      </c>
      <c r="G460" s="441" t="s">
        <v>701</v>
      </c>
      <c r="H460" s="428">
        <v>1</v>
      </c>
      <c r="I460" s="530">
        <f t="shared" ref="I460:I473" si="7">F460*H460</f>
        <v>7.35</v>
      </c>
      <c r="J460" s="285"/>
    </row>
    <row r="461" spans="1:10" ht="14.25" customHeight="1" x14ac:dyDescent="0.25">
      <c r="A461" s="284"/>
      <c r="B461" s="529" t="s">
        <v>672</v>
      </c>
      <c r="C461" s="523" t="s">
        <v>673</v>
      </c>
      <c r="D461" s="426" t="s">
        <v>624</v>
      </c>
      <c r="E461" s="426"/>
      <c r="F461" s="440">
        <v>18.059999999999999</v>
      </c>
      <c r="G461" s="441" t="s">
        <v>701</v>
      </c>
      <c r="H461" s="428">
        <v>1</v>
      </c>
      <c r="I461" s="530">
        <f t="shared" si="7"/>
        <v>18.059999999999999</v>
      </c>
      <c r="J461" s="285"/>
    </row>
    <row r="462" spans="1:10" ht="14.25" customHeight="1" x14ac:dyDescent="0.25">
      <c r="A462" s="284"/>
      <c r="B462" s="529" t="s">
        <v>672</v>
      </c>
      <c r="C462" s="523" t="s">
        <v>673</v>
      </c>
      <c r="D462" s="426" t="s">
        <v>625</v>
      </c>
      <c r="E462" s="426"/>
      <c r="F462" s="440">
        <v>4.72</v>
      </c>
      <c r="G462" s="441" t="s">
        <v>701</v>
      </c>
      <c r="H462" s="428">
        <v>1</v>
      </c>
      <c r="I462" s="530">
        <f t="shared" si="7"/>
        <v>4.72</v>
      </c>
      <c r="J462" s="285"/>
    </row>
    <row r="463" spans="1:10" ht="14.25" customHeight="1" x14ac:dyDescent="0.25">
      <c r="A463" s="284"/>
      <c r="B463" s="529" t="s">
        <v>672</v>
      </c>
      <c r="C463" s="523" t="s">
        <v>673</v>
      </c>
      <c r="D463" s="426" t="s">
        <v>626</v>
      </c>
      <c r="E463" s="426"/>
      <c r="F463" s="440">
        <v>18.059999999999999</v>
      </c>
      <c r="G463" s="441" t="s">
        <v>701</v>
      </c>
      <c r="H463" s="428">
        <v>1</v>
      </c>
      <c r="I463" s="530">
        <f t="shared" si="7"/>
        <v>18.059999999999999</v>
      </c>
      <c r="J463" s="285"/>
    </row>
    <row r="464" spans="1:10" ht="14.25" customHeight="1" x14ac:dyDescent="0.25">
      <c r="A464" s="284"/>
      <c r="B464" s="529" t="s">
        <v>672</v>
      </c>
      <c r="C464" s="523" t="s">
        <v>673</v>
      </c>
      <c r="D464" s="426" t="s">
        <v>627</v>
      </c>
      <c r="E464" s="426"/>
      <c r="F464" s="440">
        <v>4.72</v>
      </c>
      <c r="G464" s="441" t="s">
        <v>701</v>
      </c>
      <c r="H464" s="428">
        <v>1</v>
      </c>
      <c r="I464" s="530">
        <f t="shared" si="7"/>
        <v>4.72</v>
      </c>
      <c r="J464" s="285"/>
    </row>
    <row r="465" spans="1:10" ht="14.25" customHeight="1" x14ac:dyDescent="0.25">
      <c r="A465" s="284"/>
      <c r="B465" s="529" t="s">
        <v>672</v>
      </c>
      <c r="C465" s="523" t="s">
        <v>673</v>
      </c>
      <c r="D465" s="426" t="s">
        <v>683</v>
      </c>
      <c r="E465" s="426"/>
      <c r="F465" s="440">
        <v>99.27</v>
      </c>
      <c r="G465" s="441"/>
      <c r="H465" s="428">
        <v>1</v>
      </c>
      <c r="I465" s="530">
        <f t="shared" si="7"/>
        <v>99.27</v>
      </c>
      <c r="J465" s="285"/>
    </row>
    <row r="466" spans="1:10" ht="14.25" customHeight="1" x14ac:dyDescent="0.25">
      <c r="A466" s="284"/>
      <c r="B466" s="529" t="s">
        <v>672</v>
      </c>
      <c r="C466" s="523" t="s">
        <v>673</v>
      </c>
      <c r="D466" s="426" t="s">
        <v>684</v>
      </c>
      <c r="E466" s="426"/>
      <c r="F466" s="440">
        <v>29.88</v>
      </c>
      <c r="G466" s="441"/>
      <c r="H466" s="428">
        <v>1</v>
      </c>
      <c r="I466" s="530">
        <f t="shared" si="7"/>
        <v>29.88</v>
      </c>
      <c r="J466" s="285"/>
    </row>
    <row r="467" spans="1:10" ht="14.25" customHeight="1" x14ac:dyDescent="0.25">
      <c r="A467" s="284"/>
      <c r="B467" s="529" t="s">
        <v>672</v>
      </c>
      <c r="C467" s="523" t="s">
        <v>673</v>
      </c>
      <c r="D467" s="426" t="s">
        <v>685</v>
      </c>
      <c r="E467" s="426"/>
      <c r="F467" s="440">
        <v>173.94</v>
      </c>
      <c r="G467" s="441"/>
      <c r="H467" s="428">
        <v>1</v>
      </c>
      <c r="I467" s="530">
        <f t="shared" si="7"/>
        <v>173.94</v>
      </c>
      <c r="J467" s="285"/>
    </row>
    <row r="468" spans="1:10" ht="14.25" customHeight="1" x14ac:dyDescent="0.25">
      <c r="A468" s="284"/>
      <c r="B468" s="529" t="s">
        <v>671</v>
      </c>
      <c r="C468" s="523" t="s">
        <v>635</v>
      </c>
      <c r="D468" s="426" t="s">
        <v>642</v>
      </c>
      <c r="E468" s="426"/>
      <c r="F468" s="440">
        <v>75.88</v>
      </c>
      <c r="G468" s="441" t="s">
        <v>701</v>
      </c>
      <c r="H468" s="580">
        <v>1</v>
      </c>
      <c r="I468" s="581">
        <f t="shared" si="7"/>
        <v>75.88</v>
      </c>
      <c r="J468" s="285"/>
    </row>
    <row r="469" spans="1:10" ht="14.25" customHeight="1" x14ac:dyDescent="0.25">
      <c r="A469" s="284"/>
      <c r="B469" s="529" t="s">
        <v>612</v>
      </c>
      <c r="C469" s="523" t="s">
        <v>635</v>
      </c>
      <c r="D469" s="426" t="s">
        <v>688</v>
      </c>
      <c r="E469" s="426"/>
      <c r="F469" s="583">
        <v>152.33000000000001</v>
      </c>
      <c r="G469" s="441"/>
      <c r="H469" s="428">
        <v>1</v>
      </c>
      <c r="I469" s="530">
        <f>F469*H469</f>
        <v>152.33000000000001</v>
      </c>
      <c r="J469" s="285"/>
    </row>
    <row r="470" spans="1:10" ht="14.25" customHeight="1" x14ac:dyDescent="0.25">
      <c r="A470" s="284"/>
      <c r="B470" s="529"/>
      <c r="C470" s="523" t="s">
        <v>635</v>
      </c>
      <c r="D470" s="426" t="s">
        <v>688</v>
      </c>
      <c r="E470" s="426"/>
      <c r="F470" s="440">
        <f>555.05-173.8+431.78</f>
        <v>813.03</v>
      </c>
      <c r="G470" s="441"/>
      <c r="H470" s="580">
        <v>1</v>
      </c>
      <c r="I470" s="581">
        <f t="shared" si="7"/>
        <v>813.03</v>
      </c>
      <c r="J470" s="285"/>
    </row>
    <row r="471" spans="1:10" ht="14.25" customHeight="1" x14ac:dyDescent="0.25">
      <c r="A471" s="284"/>
      <c r="B471" s="529"/>
      <c r="C471" s="523" t="s">
        <v>635</v>
      </c>
      <c r="D471" s="426" t="s">
        <v>688</v>
      </c>
      <c r="E471" s="426"/>
      <c r="F471" s="440">
        <v>171.49</v>
      </c>
      <c r="G471" s="441"/>
      <c r="H471" s="580">
        <v>1</v>
      </c>
      <c r="I471" s="581">
        <f t="shared" si="7"/>
        <v>171.49</v>
      </c>
      <c r="J471" s="285"/>
    </row>
    <row r="472" spans="1:10" ht="14.25" customHeight="1" x14ac:dyDescent="0.25">
      <c r="A472" s="284"/>
      <c r="B472" s="529"/>
      <c r="C472" s="523" t="s">
        <v>635</v>
      </c>
      <c r="D472" s="426" t="s">
        <v>721</v>
      </c>
      <c r="E472" s="426"/>
      <c r="F472" s="440">
        <v>22.79</v>
      </c>
      <c r="G472" s="441"/>
      <c r="H472" s="580">
        <v>1</v>
      </c>
      <c r="I472" s="581">
        <f t="shared" si="7"/>
        <v>22.79</v>
      </c>
      <c r="J472" s="285"/>
    </row>
    <row r="473" spans="1:10" ht="14.25" customHeight="1" x14ac:dyDescent="0.25">
      <c r="A473" s="284"/>
      <c r="B473" s="529"/>
      <c r="C473" s="523" t="s">
        <v>635</v>
      </c>
      <c r="D473" s="426" t="s">
        <v>722</v>
      </c>
      <c r="E473" s="426"/>
      <c r="F473" s="440">
        <v>12.38</v>
      </c>
      <c r="G473" s="441"/>
      <c r="H473" s="580">
        <v>1</v>
      </c>
      <c r="I473" s="581">
        <f t="shared" si="7"/>
        <v>12.38</v>
      </c>
      <c r="J473" s="285"/>
    </row>
    <row r="474" spans="1:10" ht="14.25" customHeight="1" x14ac:dyDescent="0.25">
      <c r="A474" s="284"/>
      <c r="B474" s="529"/>
      <c r="C474" s="523"/>
      <c r="D474" s="426"/>
      <c r="E474" s="426"/>
      <c r="F474" s="440"/>
      <c r="G474" s="441"/>
      <c r="H474" s="580"/>
      <c r="I474" s="581"/>
      <c r="J474" s="285"/>
    </row>
    <row r="475" spans="1:10" ht="14.25" customHeight="1" x14ac:dyDescent="0.25">
      <c r="A475" s="284"/>
      <c r="B475" s="529"/>
      <c r="C475" s="523"/>
      <c r="D475" s="426"/>
      <c r="E475" s="426"/>
      <c r="F475" s="440"/>
      <c r="G475" s="441"/>
      <c r="H475" s="580"/>
      <c r="I475" s="581"/>
      <c r="J475" s="285"/>
    </row>
    <row r="476" spans="1:10" ht="14.25" customHeight="1" x14ac:dyDescent="0.25">
      <c r="A476" s="284"/>
      <c r="B476" s="529"/>
      <c r="C476" s="523"/>
      <c r="D476" s="426"/>
      <c r="E476" s="426"/>
      <c r="F476" s="440"/>
      <c r="G476" s="441"/>
      <c r="H476" s="580"/>
      <c r="I476" s="581"/>
      <c r="J476" s="285"/>
    </row>
    <row r="477" spans="1:10" ht="14.25" customHeight="1" x14ac:dyDescent="0.25">
      <c r="A477" s="284"/>
      <c r="B477" s="529"/>
      <c r="C477" s="523"/>
      <c r="D477" s="426"/>
      <c r="E477" s="426"/>
      <c r="F477" s="440"/>
      <c r="G477" s="441"/>
      <c r="H477" s="580"/>
      <c r="I477" s="581"/>
      <c r="J477" s="285"/>
    </row>
    <row r="478" spans="1:10" ht="14.25" customHeight="1" x14ac:dyDescent="0.25">
      <c r="A478" s="284"/>
      <c r="B478" s="529"/>
      <c r="C478" s="523"/>
      <c r="D478" s="426"/>
      <c r="E478" s="426"/>
      <c r="F478" s="440"/>
      <c r="G478" s="441"/>
      <c r="H478" s="580"/>
      <c r="I478" s="581"/>
      <c r="J478" s="285"/>
    </row>
    <row r="479" spans="1:10" ht="14.25" customHeight="1" x14ac:dyDescent="0.25">
      <c r="A479" s="284"/>
      <c r="B479" s="529"/>
      <c r="C479" s="523"/>
      <c r="D479" s="426"/>
      <c r="E479" s="426"/>
      <c r="F479" s="440"/>
      <c r="G479" s="441"/>
      <c r="H479" s="580"/>
      <c r="I479" s="581"/>
      <c r="J479" s="285"/>
    </row>
    <row r="480" spans="1:10" ht="14.25" customHeight="1" thickBot="1" x14ac:dyDescent="0.3">
      <c r="A480" s="284"/>
      <c r="B480" s="532"/>
      <c r="C480" s="533"/>
      <c r="D480" s="534"/>
      <c r="E480" s="534"/>
      <c r="F480" s="535"/>
      <c r="G480" s="536"/>
      <c r="H480" s="537"/>
      <c r="I480" s="538"/>
      <c r="J480" s="285"/>
    </row>
    <row r="481" spans="1:10" ht="14.25" customHeight="1" x14ac:dyDescent="0.25">
      <c r="A481" s="289"/>
      <c r="F481" s="251"/>
      <c r="H481" s="251"/>
      <c r="I481" s="251"/>
      <c r="J481" s="289"/>
    </row>
    <row r="482" spans="1:10" ht="14.25" customHeight="1" x14ac:dyDescent="0.25">
      <c r="A482" s="289"/>
      <c r="F482" s="251"/>
      <c r="H482" s="251"/>
      <c r="I482" s="251"/>
      <c r="J482" s="289"/>
    </row>
    <row r="483" spans="1:10" ht="14.25" customHeight="1" x14ac:dyDescent="0.25">
      <c r="A483" s="289"/>
      <c r="F483" s="251"/>
      <c r="H483" s="251"/>
      <c r="I483" s="251"/>
      <c r="J483" s="289"/>
    </row>
    <row r="484" spans="1:10" ht="14.25" customHeight="1" x14ac:dyDescent="0.25">
      <c r="A484" s="289"/>
      <c r="F484" s="251"/>
      <c r="H484" s="251"/>
      <c r="I484" s="251"/>
      <c r="J484" s="289"/>
    </row>
    <row r="485" spans="1:10" ht="14.25" customHeight="1" x14ac:dyDescent="0.25">
      <c r="A485" s="289"/>
      <c r="F485" s="251"/>
      <c r="H485" s="251"/>
      <c r="I485" s="251"/>
      <c r="J485" s="289"/>
    </row>
    <row r="486" spans="1:10" ht="14.25" customHeight="1" x14ac:dyDescent="0.25">
      <c r="A486" s="289"/>
      <c r="F486" s="251"/>
      <c r="H486" s="251"/>
      <c r="I486" s="251"/>
      <c r="J486" s="289"/>
    </row>
    <row r="487" spans="1:10" ht="14.25" customHeight="1" x14ac:dyDescent="0.25">
      <c r="A487" s="289"/>
      <c r="F487" s="251"/>
      <c r="H487" s="251"/>
      <c r="I487" s="251"/>
      <c r="J487" s="289"/>
    </row>
    <row r="488" spans="1:10" ht="14.25" customHeight="1" x14ac:dyDescent="0.25">
      <c r="A488" s="289"/>
      <c r="F488" s="251"/>
      <c r="H488" s="251"/>
      <c r="I488" s="251"/>
      <c r="J488" s="289"/>
    </row>
    <row r="489" spans="1:10" ht="14.25" customHeight="1" x14ac:dyDescent="0.25">
      <c r="A489" s="289"/>
      <c r="F489" s="251"/>
      <c r="H489" s="251"/>
      <c r="I489" s="251"/>
      <c r="J489" s="289"/>
    </row>
    <row r="490" spans="1:10" ht="14.25" customHeight="1" x14ac:dyDescent="0.25">
      <c r="A490" s="289"/>
      <c r="F490" s="251"/>
      <c r="H490" s="251"/>
      <c r="I490" s="251"/>
      <c r="J490" s="289"/>
    </row>
    <row r="491" spans="1:10" ht="14.25" customHeight="1" x14ac:dyDescent="0.25">
      <c r="A491" s="289"/>
      <c r="F491" s="251"/>
      <c r="H491" s="251"/>
      <c r="I491" s="251"/>
      <c r="J491" s="289"/>
    </row>
    <row r="492" spans="1:10" ht="14.25" customHeight="1" x14ac:dyDescent="0.25">
      <c r="A492" s="289"/>
      <c r="F492" s="251"/>
      <c r="H492" s="251"/>
      <c r="I492" s="251"/>
      <c r="J492" s="289"/>
    </row>
    <row r="493" spans="1:10" ht="14.25" customHeight="1" x14ac:dyDescent="0.25">
      <c r="A493" s="289"/>
      <c r="F493" s="251"/>
      <c r="H493" s="251"/>
      <c r="I493" s="251"/>
      <c r="J493" s="289"/>
    </row>
    <row r="494" spans="1:10" ht="14.25" customHeight="1" x14ac:dyDescent="0.25">
      <c r="A494" s="289"/>
      <c r="F494" s="251"/>
      <c r="H494" s="251"/>
      <c r="I494" s="251"/>
      <c r="J494" s="289"/>
    </row>
    <row r="495" spans="1:10" ht="14.25" customHeight="1" x14ac:dyDescent="0.25">
      <c r="A495" s="289"/>
      <c r="F495" s="251"/>
      <c r="H495" s="251"/>
      <c r="I495" s="251"/>
      <c r="J495" s="289"/>
    </row>
    <row r="496" spans="1:10" ht="14.25" customHeight="1" x14ac:dyDescent="0.25">
      <c r="A496" s="289"/>
      <c r="F496" s="251"/>
      <c r="H496" s="251"/>
      <c r="I496" s="251"/>
      <c r="J496" s="289"/>
    </row>
    <row r="497" spans="1:10" ht="14.25" customHeight="1" x14ac:dyDescent="0.25">
      <c r="A497" s="289"/>
      <c r="F497" s="251"/>
      <c r="H497" s="251"/>
      <c r="I497" s="251"/>
      <c r="J497" s="289"/>
    </row>
    <row r="498" spans="1:10" ht="14.25" customHeight="1" x14ac:dyDescent="0.25">
      <c r="A498" s="289"/>
      <c r="F498" s="251"/>
      <c r="H498" s="251"/>
      <c r="I498" s="251"/>
      <c r="J498" s="289"/>
    </row>
    <row r="499" spans="1:10" ht="14.25" customHeight="1" x14ac:dyDescent="0.25">
      <c r="A499" s="289"/>
      <c r="F499" s="251"/>
      <c r="H499" s="251"/>
      <c r="I499" s="251"/>
      <c r="J499" s="289"/>
    </row>
    <row r="500" spans="1:10" ht="14.25" customHeight="1" x14ac:dyDescent="0.25">
      <c r="A500" s="289"/>
      <c r="F500" s="251"/>
      <c r="H500" s="251"/>
      <c r="I500" s="251"/>
      <c r="J500" s="289"/>
    </row>
    <row r="501" spans="1:10" ht="14.25" customHeight="1" x14ac:dyDescent="0.25">
      <c r="A501" s="289"/>
      <c r="F501" s="251"/>
      <c r="H501" s="251"/>
      <c r="I501" s="251"/>
      <c r="J501" s="289"/>
    </row>
    <row r="502" spans="1:10" ht="14.25" customHeight="1" x14ac:dyDescent="0.25">
      <c r="A502" s="289"/>
      <c r="F502" s="251"/>
      <c r="H502" s="251"/>
      <c r="I502" s="251"/>
      <c r="J502" s="289"/>
    </row>
    <row r="503" spans="1:10" ht="14.25" customHeight="1" x14ac:dyDescent="0.25">
      <c r="A503" s="289"/>
      <c r="F503" s="251"/>
      <c r="H503" s="251"/>
      <c r="I503" s="251"/>
      <c r="J503" s="289"/>
    </row>
    <row r="504" spans="1:10" ht="14.25" customHeight="1" x14ac:dyDescent="0.25">
      <c r="A504" s="289"/>
      <c r="F504" s="251"/>
      <c r="H504" s="251"/>
      <c r="I504" s="251"/>
      <c r="J504" s="289"/>
    </row>
    <row r="505" spans="1:10" ht="14.25" customHeight="1" x14ac:dyDescent="0.25">
      <c r="A505" s="289"/>
      <c r="F505" s="251"/>
      <c r="H505" s="251"/>
      <c r="I505" s="251"/>
      <c r="J505" s="289"/>
    </row>
    <row r="506" spans="1:10" ht="14.25" customHeight="1" x14ac:dyDescent="0.25">
      <c r="A506" s="289"/>
      <c r="F506" s="251"/>
      <c r="H506" s="251"/>
      <c r="I506" s="251"/>
      <c r="J506" s="289"/>
    </row>
    <row r="507" spans="1:10" ht="14.25" customHeight="1" x14ac:dyDescent="0.25">
      <c r="A507" s="289"/>
      <c r="F507" s="251"/>
      <c r="H507" s="251"/>
      <c r="I507" s="251"/>
      <c r="J507" s="289"/>
    </row>
    <row r="508" spans="1:10" ht="14.25" customHeight="1" x14ac:dyDescent="0.25">
      <c r="A508" s="289"/>
      <c r="F508" s="251"/>
      <c r="H508" s="251"/>
      <c r="I508" s="251"/>
      <c r="J508" s="289"/>
    </row>
    <row r="509" spans="1:10" ht="14.25" customHeight="1" x14ac:dyDescent="0.25">
      <c r="A509" s="289"/>
      <c r="F509" s="251"/>
      <c r="H509" s="251"/>
      <c r="I509" s="251"/>
      <c r="J509" s="289"/>
    </row>
    <row r="510" spans="1:10" ht="14.25" customHeight="1" x14ac:dyDescent="0.25">
      <c r="A510" s="289"/>
      <c r="F510" s="251"/>
      <c r="H510" s="251"/>
      <c r="I510" s="251"/>
      <c r="J510" s="289"/>
    </row>
    <row r="511" spans="1:10" ht="14.25" customHeight="1" x14ac:dyDescent="0.25">
      <c r="A511" s="289"/>
      <c r="F511" s="251"/>
      <c r="H511" s="251"/>
      <c r="I511" s="251"/>
      <c r="J511" s="289"/>
    </row>
    <row r="512" spans="1:10" ht="14.25" customHeight="1" x14ac:dyDescent="0.25">
      <c r="A512" s="289"/>
      <c r="F512" s="251"/>
      <c r="H512" s="251"/>
      <c r="I512" s="251"/>
      <c r="J512" s="289"/>
    </row>
    <row r="513" spans="1:10" ht="14.25" customHeight="1" x14ac:dyDescent="0.25">
      <c r="A513" s="289"/>
      <c r="F513" s="251"/>
      <c r="H513" s="251"/>
      <c r="I513" s="251"/>
      <c r="J513" s="289"/>
    </row>
    <row r="514" spans="1:10" ht="14.25" customHeight="1" x14ac:dyDescent="0.25">
      <c r="A514" s="289"/>
      <c r="F514" s="251"/>
      <c r="H514" s="251"/>
      <c r="I514" s="251"/>
      <c r="J514" s="289"/>
    </row>
    <row r="515" spans="1:10" ht="14.25" customHeight="1" x14ac:dyDescent="0.25">
      <c r="A515" s="289"/>
      <c r="F515" s="251"/>
      <c r="H515" s="251"/>
      <c r="I515" s="251"/>
      <c r="J515" s="289"/>
    </row>
    <row r="516" spans="1:10" ht="14.25" customHeight="1" x14ac:dyDescent="0.25">
      <c r="A516" s="289"/>
      <c r="F516" s="251"/>
      <c r="H516" s="251"/>
      <c r="I516" s="251"/>
      <c r="J516" s="289"/>
    </row>
    <row r="517" spans="1:10" ht="14.25" customHeight="1" x14ac:dyDescent="0.25">
      <c r="A517" s="289"/>
      <c r="F517" s="251"/>
      <c r="H517" s="251"/>
      <c r="I517" s="251"/>
      <c r="J517" s="289"/>
    </row>
    <row r="518" spans="1:10" ht="14.25" customHeight="1" x14ac:dyDescent="0.25">
      <c r="A518" s="289"/>
      <c r="F518" s="251"/>
      <c r="H518" s="251"/>
      <c r="I518" s="251"/>
      <c r="J518" s="289"/>
    </row>
    <row r="519" spans="1:10" ht="14.25" customHeight="1" x14ac:dyDescent="0.25">
      <c r="A519" s="289"/>
      <c r="F519" s="251"/>
      <c r="H519" s="251"/>
      <c r="I519" s="251"/>
      <c r="J519" s="289"/>
    </row>
    <row r="520" spans="1:10" ht="14.25" customHeight="1" x14ac:dyDescent="0.25">
      <c r="A520" s="289"/>
      <c r="F520" s="251"/>
      <c r="H520" s="251"/>
      <c r="I520" s="251"/>
      <c r="J520" s="289"/>
    </row>
    <row r="521" spans="1:10" ht="14.25" customHeight="1" x14ac:dyDescent="0.25">
      <c r="A521" s="289"/>
      <c r="F521" s="251"/>
      <c r="H521" s="251"/>
      <c r="I521" s="251"/>
      <c r="J521" s="289"/>
    </row>
    <row r="522" spans="1:10" ht="14.25" customHeight="1" x14ac:dyDescent="0.25">
      <c r="A522" s="289"/>
      <c r="F522" s="251"/>
      <c r="H522" s="251"/>
      <c r="I522" s="251"/>
      <c r="J522" s="289"/>
    </row>
    <row r="523" spans="1:10" ht="14.25" customHeight="1" x14ac:dyDescent="0.25">
      <c r="A523" s="289"/>
      <c r="F523" s="251"/>
      <c r="H523" s="251"/>
      <c r="I523" s="251"/>
      <c r="J523" s="289"/>
    </row>
    <row r="524" spans="1:10" ht="14.25" customHeight="1" x14ac:dyDescent="0.25">
      <c r="A524" s="289"/>
      <c r="F524" s="251"/>
      <c r="H524" s="251"/>
      <c r="I524" s="251"/>
      <c r="J524" s="289"/>
    </row>
    <row r="525" spans="1:10" ht="14.25" customHeight="1" x14ac:dyDescent="0.25">
      <c r="A525" s="289"/>
      <c r="F525" s="251"/>
      <c r="H525" s="251"/>
      <c r="I525" s="251"/>
      <c r="J525" s="289"/>
    </row>
    <row r="526" spans="1:10" ht="14.25" customHeight="1" x14ac:dyDescent="0.25">
      <c r="A526" s="289"/>
      <c r="F526" s="251"/>
      <c r="H526" s="251"/>
      <c r="I526" s="251"/>
      <c r="J526" s="289"/>
    </row>
    <row r="527" spans="1:10" ht="14.25" customHeight="1" x14ac:dyDescent="0.25">
      <c r="A527" s="289"/>
      <c r="F527" s="251"/>
      <c r="H527" s="251"/>
      <c r="I527" s="251"/>
      <c r="J527" s="289"/>
    </row>
    <row r="528" spans="1:10" ht="14.25" customHeight="1" x14ac:dyDescent="0.25">
      <c r="A528" s="289"/>
      <c r="F528" s="251"/>
      <c r="H528" s="251"/>
      <c r="I528" s="251"/>
      <c r="J528" s="289"/>
    </row>
    <row r="529" spans="1:10" ht="14.25" customHeight="1" x14ac:dyDescent="0.25">
      <c r="A529" s="289"/>
      <c r="F529" s="251"/>
      <c r="H529" s="251"/>
      <c r="I529" s="251"/>
      <c r="J529" s="289"/>
    </row>
    <row r="530" spans="1:10" ht="14.25" customHeight="1" x14ac:dyDescent="0.25">
      <c r="A530" s="289"/>
      <c r="F530" s="251"/>
      <c r="H530" s="251"/>
      <c r="I530" s="251"/>
      <c r="J530" s="289"/>
    </row>
    <row r="531" spans="1:10" ht="14.25" customHeight="1" x14ac:dyDescent="0.25">
      <c r="A531" s="289"/>
      <c r="F531" s="251"/>
      <c r="H531" s="251"/>
      <c r="I531" s="251"/>
      <c r="J531" s="289"/>
    </row>
    <row r="532" spans="1:10" ht="14.25" customHeight="1" x14ac:dyDescent="0.25">
      <c r="A532" s="289"/>
      <c r="F532" s="251"/>
      <c r="H532" s="251"/>
      <c r="I532" s="251"/>
      <c r="J532" s="289"/>
    </row>
    <row r="533" spans="1:10" ht="14.25" customHeight="1" x14ac:dyDescent="0.25">
      <c r="A533" s="289"/>
      <c r="F533" s="251"/>
      <c r="H533" s="251"/>
      <c r="I533" s="251"/>
      <c r="J533" s="289"/>
    </row>
    <row r="534" spans="1:10" ht="14.25" customHeight="1" x14ac:dyDescent="0.25">
      <c r="A534" s="289"/>
      <c r="F534" s="251"/>
      <c r="H534" s="251"/>
      <c r="I534" s="251"/>
      <c r="J534" s="289"/>
    </row>
    <row r="535" spans="1:10" ht="14.25" customHeight="1" x14ac:dyDescent="0.25">
      <c r="A535" s="289"/>
      <c r="F535" s="251"/>
      <c r="H535" s="251"/>
      <c r="I535" s="251"/>
      <c r="J535" s="289"/>
    </row>
    <row r="536" spans="1:10" ht="14.25" customHeight="1" x14ac:dyDescent="0.25">
      <c r="A536" s="289"/>
      <c r="F536" s="251"/>
      <c r="H536" s="251"/>
      <c r="I536" s="251"/>
      <c r="J536" s="289"/>
    </row>
    <row r="537" spans="1:10" ht="14.25" customHeight="1" x14ac:dyDescent="0.25">
      <c r="A537" s="289"/>
      <c r="F537" s="251"/>
      <c r="H537" s="251"/>
      <c r="I537" s="251"/>
      <c r="J537" s="289"/>
    </row>
    <row r="538" spans="1:10" ht="14.25" customHeight="1" x14ac:dyDescent="0.25">
      <c r="A538" s="289"/>
      <c r="F538" s="251"/>
      <c r="H538" s="251"/>
      <c r="I538" s="251"/>
      <c r="J538" s="289"/>
    </row>
    <row r="539" spans="1:10" ht="14.25" customHeight="1" x14ac:dyDescent="0.25">
      <c r="A539" s="289"/>
      <c r="F539" s="251"/>
      <c r="H539" s="251"/>
      <c r="I539" s="251"/>
      <c r="J539" s="289"/>
    </row>
    <row r="540" spans="1:10" ht="14.25" customHeight="1" x14ac:dyDescent="0.25">
      <c r="A540" s="289"/>
      <c r="F540" s="251"/>
      <c r="H540" s="251"/>
      <c r="I540" s="251"/>
      <c r="J540" s="289"/>
    </row>
    <row r="541" spans="1:10" ht="14.25" customHeight="1" x14ac:dyDescent="0.25">
      <c r="A541" s="289"/>
      <c r="F541" s="251"/>
      <c r="H541" s="251"/>
      <c r="I541" s="251"/>
      <c r="J541" s="289"/>
    </row>
    <row r="542" spans="1:10" ht="14.25" customHeight="1" x14ac:dyDescent="0.25">
      <c r="A542" s="289"/>
      <c r="F542" s="251"/>
      <c r="H542" s="251"/>
      <c r="I542" s="251"/>
      <c r="J542" s="289"/>
    </row>
    <row r="543" spans="1:10" ht="14.25" customHeight="1" x14ac:dyDescent="0.25">
      <c r="A543" s="289"/>
      <c r="F543" s="251"/>
      <c r="H543" s="251"/>
      <c r="I543" s="251"/>
      <c r="J543" s="289"/>
    </row>
    <row r="544" spans="1:10" ht="14.25" customHeight="1" x14ac:dyDescent="0.25">
      <c r="A544" s="289"/>
      <c r="F544" s="251"/>
      <c r="H544" s="251"/>
      <c r="I544" s="251"/>
      <c r="J544" s="289"/>
    </row>
    <row r="545" spans="1:10" ht="14.25" customHeight="1" x14ac:dyDescent="0.25">
      <c r="A545" s="289"/>
      <c r="F545" s="251"/>
      <c r="H545" s="251"/>
      <c r="I545" s="251"/>
      <c r="J545" s="289"/>
    </row>
    <row r="546" spans="1:10" ht="14.25" customHeight="1" x14ac:dyDescent="0.25">
      <c r="A546" s="289"/>
      <c r="F546" s="251"/>
      <c r="H546" s="251"/>
      <c r="I546" s="251"/>
      <c r="J546" s="289"/>
    </row>
    <row r="547" spans="1:10" ht="14.25" customHeight="1" x14ac:dyDescent="0.25">
      <c r="A547" s="289"/>
      <c r="F547" s="251"/>
      <c r="H547" s="251"/>
      <c r="I547" s="251"/>
      <c r="J547" s="289"/>
    </row>
    <row r="548" spans="1:10" ht="14.25" customHeight="1" x14ac:dyDescent="0.25">
      <c r="A548" s="289"/>
      <c r="F548" s="251"/>
      <c r="H548" s="251"/>
      <c r="I548" s="251"/>
      <c r="J548" s="289"/>
    </row>
    <row r="549" spans="1:10" ht="14.25" customHeight="1" x14ac:dyDescent="0.25">
      <c r="A549" s="289"/>
      <c r="F549" s="251"/>
      <c r="H549" s="251"/>
      <c r="I549" s="251"/>
      <c r="J549" s="289"/>
    </row>
    <row r="550" spans="1:10" ht="14.25" customHeight="1" x14ac:dyDescent="0.25">
      <c r="A550" s="289"/>
      <c r="F550" s="251"/>
      <c r="H550" s="251"/>
      <c r="I550" s="251"/>
      <c r="J550" s="289"/>
    </row>
    <row r="551" spans="1:10" ht="14.25" customHeight="1" x14ac:dyDescent="0.25">
      <c r="A551" s="289"/>
      <c r="F551" s="251"/>
      <c r="H551" s="251"/>
      <c r="I551" s="251"/>
      <c r="J551" s="289"/>
    </row>
    <row r="552" spans="1:10" ht="14.25" customHeight="1" x14ac:dyDescent="0.25">
      <c r="A552" s="289"/>
      <c r="F552" s="251"/>
      <c r="H552" s="251"/>
      <c r="I552" s="251"/>
      <c r="J552" s="289"/>
    </row>
    <row r="553" spans="1:10" ht="14.25" customHeight="1" x14ac:dyDescent="0.25">
      <c r="A553" s="289"/>
      <c r="F553" s="251"/>
      <c r="H553" s="251"/>
      <c r="I553" s="251"/>
      <c r="J553" s="289"/>
    </row>
    <row r="554" spans="1:10" ht="14.25" customHeight="1" x14ac:dyDescent="0.25">
      <c r="A554" s="289"/>
      <c r="F554" s="251"/>
      <c r="H554" s="251"/>
      <c r="I554" s="251"/>
      <c r="J554" s="289"/>
    </row>
    <row r="555" spans="1:10" ht="14.25" customHeight="1" x14ac:dyDescent="0.25">
      <c r="A555" s="289"/>
      <c r="F555" s="251"/>
      <c r="H555" s="251"/>
      <c r="I555" s="251"/>
      <c r="J555" s="289"/>
    </row>
    <row r="556" spans="1:10" ht="14.25" customHeight="1" x14ac:dyDescent="0.25">
      <c r="A556" s="289"/>
      <c r="F556" s="251"/>
      <c r="H556" s="251"/>
      <c r="I556" s="251"/>
      <c r="J556" s="289"/>
    </row>
    <row r="557" spans="1:10" ht="14.25" customHeight="1" x14ac:dyDescent="0.25">
      <c r="A557" s="289"/>
      <c r="F557" s="251"/>
      <c r="H557" s="251"/>
      <c r="I557" s="251"/>
      <c r="J557" s="289"/>
    </row>
    <row r="558" spans="1:10" ht="14.25" customHeight="1" x14ac:dyDescent="0.25">
      <c r="A558" s="289"/>
      <c r="F558" s="251"/>
      <c r="H558" s="251"/>
      <c r="I558" s="251"/>
      <c r="J558" s="289"/>
    </row>
    <row r="559" spans="1:10" ht="14.25" customHeight="1" x14ac:dyDescent="0.25">
      <c r="A559" s="289"/>
      <c r="F559" s="251"/>
      <c r="H559" s="251"/>
      <c r="I559" s="251"/>
      <c r="J559" s="289"/>
    </row>
    <row r="560" spans="1:10" ht="14.25" customHeight="1" x14ac:dyDescent="0.25">
      <c r="A560" s="289"/>
      <c r="F560" s="251"/>
      <c r="H560" s="251"/>
      <c r="I560" s="251"/>
      <c r="J560" s="289"/>
    </row>
    <row r="561" spans="1:10" ht="14.25" customHeight="1" x14ac:dyDescent="0.25">
      <c r="A561" s="289"/>
      <c r="F561" s="251"/>
      <c r="H561" s="251"/>
      <c r="I561" s="251"/>
      <c r="J561" s="289"/>
    </row>
    <row r="562" spans="1:10" ht="14.25" customHeight="1" x14ac:dyDescent="0.25">
      <c r="A562" s="289"/>
      <c r="F562" s="251"/>
      <c r="H562" s="251"/>
      <c r="I562" s="251"/>
      <c r="J562" s="289"/>
    </row>
    <row r="563" spans="1:10" ht="14.25" customHeight="1" x14ac:dyDescent="0.25">
      <c r="A563" s="289"/>
      <c r="F563" s="251"/>
      <c r="H563" s="251"/>
      <c r="I563" s="251"/>
      <c r="J563" s="289"/>
    </row>
    <row r="564" spans="1:10" ht="14.25" customHeight="1" x14ac:dyDescent="0.25">
      <c r="A564" s="289"/>
      <c r="F564" s="251"/>
      <c r="H564" s="251"/>
      <c r="I564" s="251"/>
      <c r="J564" s="289"/>
    </row>
    <row r="565" spans="1:10" ht="14.25" customHeight="1" x14ac:dyDescent="0.25">
      <c r="A565" s="289"/>
      <c r="F565" s="251"/>
      <c r="H565" s="251"/>
      <c r="I565" s="251"/>
      <c r="J565" s="289"/>
    </row>
    <row r="566" spans="1:10" ht="14.25" customHeight="1" x14ac:dyDescent="0.25">
      <c r="A566" s="289"/>
      <c r="F566" s="251"/>
      <c r="H566" s="251"/>
      <c r="I566" s="251"/>
      <c r="J566" s="289"/>
    </row>
    <row r="567" spans="1:10" ht="14.25" customHeight="1" x14ac:dyDescent="0.25">
      <c r="A567" s="289"/>
      <c r="F567" s="251"/>
      <c r="H567" s="251"/>
      <c r="I567" s="251"/>
      <c r="J567" s="289"/>
    </row>
    <row r="568" spans="1:10" ht="14.25" customHeight="1" x14ac:dyDescent="0.25">
      <c r="A568" s="289"/>
      <c r="F568" s="251"/>
      <c r="H568" s="251"/>
      <c r="I568" s="251"/>
      <c r="J568" s="289"/>
    </row>
    <row r="569" spans="1:10" ht="14.25" customHeight="1" x14ac:dyDescent="0.25">
      <c r="A569" s="289"/>
      <c r="F569" s="251"/>
      <c r="H569" s="251"/>
      <c r="I569" s="251"/>
      <c r="J569" s="289"/>
    </row>
    <row r="570" spans="1:10" ht="14.25" customHeight="1" x14ac:dyDescent="0.25">
      <c r="A570" s="289"/>
      <c r="F570" s="251"/>
      <c r="H570" s="251"/>
      <c r="I570" s="251"/>
      <c r="J570" s="289"/>
    </row>
    <row r="571" spans="1:10" ht="14.25" customHeight="1" x14ac:dyDescent="0.25">
      <c r="A571" s="289"/>
      <c r="F571" s="251"/>
      <c r="H571" s="251"/>
      <c r="I571" s="251"/>
      <c r="J571" s="289"/>
    </row>
    <row r="572" spans="1:10" ht="14.25" customHeight="1" x14ac:dyDescent="0.25">
      <c r="A572" s="289"/>
      <c r="F572" s="251"/>
      <c r="H572" s="251"/>
      <c r="I572" s="251"/>
      <c r="J572" s="289"/>
    </row>
    <row r="573" spans="1:10" ht="14.25" customHeight="1" x14ac:dyDescent="0.25">
      <c r="A573" s="289"/>
      <c r="F573" s="251"/>
      <c r="H573" s="251"/>
      <c r="I573" s="251"/>
      <c r="J573" s="289"/>
    </row>
    <row r="574" spans="1:10" ht="14.25" customHeight="1" x14ac:dyDescent="0.25">
      <c r="A574" s="289"/>
      <c r="F574" s="251"/>
      <c r="H574" s="251"/>
      <c r="I574" s="251"/>
      <c r="J574" s="289"/>
    </row>
    <row r="575" spans="1:10" ht="14.25" customHeight="1" x14ac:dyDescent="0.25">
      <c r="A575" s="289"/>
      <c r="F575" s="251"/>
      <c r="H575" s="251"/>
      <c r="I575" s="251"/>
      <c r="J575" s="289"/>
    </row>
    <row r="576" spans="1:10" ht="14.25" customHeight="1" x14ac:dyDescent="0.25">
      <c r="A576" s="289"/>
      <c r="F576" s="251"/>
      <c r="H576" s="251"/>
      <c r="I576" s="251"/>
      <c r="J576" s="289"/>
    </row>
    <row r="577" spans="1:10" ht="14.25" customHeight="1" x14ac:dyDescent="0.25">
      <c r="A577" s="289"/>
      <c r="F577" s="251"/>
      <c r="H577" s="251"/>
      <c r="I577" s="251"/>
      <c r="J577" s="289"/>
    </row>
    <row r="578" spans="1:10" ht="14.25" customHeight="1" x14ac:dyDescent="0.25">
      <c r="A578" s="289"/>
      <c r="F578" s="251"/>
      <c r="H578" s="251"/>
      <c r="I578" s="251"/>
      <c r="J578" s="289"/>
    </row>
    <row r="579" spans="1:10" ht="14.25" customHeight="1" x14ac:dyDescent="0.25">
      <c r="A579" s="289"/>
      <c r="F579" s="251"/>
      <c r="H579" s="251"/>
      <c r="I579" s="251"/>
      <c r="J579" s="289"/>
    </row>
    <row r="580" spans="1:10" ht="14.25" customHeight="1" x14ac:dyDescent="0.25">
      <c r="A580" s="289"/>
      <c r="F580" s="251"/>
      <c r="H580" s="251"/>
      <c r="I580" s="251"/>
      <c r="J580" s="289"/>
    </row>
    <row r="581" spans="1:10" ht="14.25" customHeight="1" x14ac:dyDescent="0.25">
      <c r="A581" s="289"/>
      <c r="F581" s="251"/>
      <c r="H581" s="251"/>
      <c r="I581" s="251"/>
      <c r="J581" s="289"/>
    </row>
    <row r="582" spans="1:10" ht="14.25" customHeight="1" x14ac:dyDescent="0.25">
      <c r="A582" s="289"/>
      <c r="F582" s="251"/>
      <c r="H582" s="251"/>
      <c r="I582" s="251"/>
      <c r="J582" s="289"/>
    </row>
    <row r="583" spans="1:10" ht="14.25" customHeight="1" x14ac:dyDescent="0.25">
      <c r="A583" s="289"/>
      <c r="F583" s="251"/>
      <c r="H583" s="251"/>
      <c r="I583" s="251"/>
      <c r="J583" s="289"/>
    </row>
    <row r="584" spans="1:10" ht="14.25" customHeight="1" x14ac:dyDescent="0.25">
      <c r="A584" s="289"/>
      <c r="F584" s="251"/>
      <c r="H584" s="251"/>
      <c r="I584" s="251"/>
      <c r="J584" s="289"/>
    </row>
    <row r="585" spans="1:10" ht="14.25" customHeight="1" x14ac:dyDescent="0.25">
      <c r="A585" s="289"/>
      <c r="F585" s="251"/>
      <c r="H585" s="251"/>
      <c r="I585" s="251"/>
      <c r="J585" s="289"/>
    </row>
    <row r="586" spans="1:10" ht="14.25" customHeight="1" x14ac:dyDescent="0.25">
      <c r="A586" s="289"/>
      <c r="F586" s="251"/>
      <c r="H586" s="251"/>
      <c r="I586" s="251"/>
      <c r="J586" s="289"/>
    </row>
    <row r="587" spans="1:10" ht="14.25" customHeight="1" x14ac:dyDescent="0.25">
      <c r="A587" s="289"/>
      <c r="F587" s="251"/>
      <c r="H587" s="251"/>
      <c r="I587" s="251"/>
      <c r="J587" s="289"/>
    </row>
    <row r="588" spans="1:10" ht="14.25" customHeight="1" x14ac:dyDescent="0.25">
      <c r="A588" s="289"/>
      <c r="F588" s="251"/>
      <c r="H588" s="251"/>
      <c r="I588" s="251"/>
      <c r="J588" s="289"/>
    </row>
    <row r="589" spans="1:10" ht="14.25" customHeight="1" x14ac:dyDescent="0.25">
      <c r="A589" s="289"/>
      <c r="F589" s="251"/>
      <c r="H589" s="251"/>
      <c r="I589" s="251"/>
      <c r="J589" s="289"/>
    </row>
    <row r="590" spans="1:10" ht="14.25" customHeight="1" x14ac:dyDescent="0.25">
      <c r="A590" s="289"/>
      <c r="F590" s="251"/>
      <c r="H590" s="251"/>
      <c r="I590" s="251"/>
      <c r="J590" s="289"/>
    </row>
    <row r="591" spans="1:10" ht="14.25" customHeight="1" x14ac:dyDescent="0.25">
      <c r="A591" s="289"/>
      <c r="F591" s="251"/>
      <c r="H591" s="251"/>
      <c r="I591" s="251"/>
      <c r="J591" s="289"/>
    </row>
    <row r="592" spans="1:10" ht="14.25" customHeight="1" x14ac:dyDescent="0.25">
      <c r="A592" s="289"/>
      <c r="F592" s="251"/>
      <c r="H592" s="251"/>
      <c r="I592" s="251"/>
      <c r="J592" s="289"/>
    </row>
    <row r="593" spans="1:10" ht="14.25" customHeight="1" x14ac:dyDescent="0.25">
      <c r="A593" s="289"/>
      <c r="F593" s="251"/>
      <c r="H593" s="251"/>
      <c r="I593" s="251"/>
      <c r="J593" s="289"/>
    </row>
    <row r="594" spans="1:10" ht="14.25" customHeight="1" x14ac:dyDescent="0.25">
      <c r="A594" s="289"/>
      <c r="F594" s="251"/>
      <c r="H594" s="251"/>
      <c r="I594" s="251"/>
      <c r="J594" s="289"/>
    </row>
    <row r="595" spans="1:10" ht="14.25" customHeight="1" x14ac:dyDescent="0.25">
      <c r="A595" s="289"/>
      <c r="F595" s="251"/>
      <c r="H595" s="251"/>
      <c r="I595" s="251"/>
      <c r="J595" s="289"/>
    </row>
    <row r="596" spans="1:10" ht="14.25" customHeight="1" x14ac:dyDescent="0.25">
      <c r="A596" s="289"/>
      <c r="F596" s="251"/>
      <c r="H596" s="251"/>
      <c r="I596" s="251"/>
      <c r="J596" s="289"/>
    </row>
    <row r="597" spans="1:10" ht="14.25" customHeight="1" x14ac:dyDescent="0.25">
      <c r="A597" s="289"/>
      <c r="F597" s="251"/>
      <c r="H597" s="251"/>
      <c r="I597" s="251"/>
      <c r="J597" s="289"/>
    </row>
    <row r="598" spans="1:10" ht="14.25" customHeight="1" x14ac:dyDescent="0.25">
      <c r="A598" s="289"/>
      <c r="F598" s="251"/>
      <c r="H598" s="251"/>
      <c r="I598" s="251"/>
      <c r="J598" s="289"/>
    </row>
    <row r="599" spans="1:10" ht="14.25" customHeight="1" x14ac:dyDescent="0.25">
      <c r="A599" s="289"/>
      <c r="F599" s="251"/>
      <c r="H599" s="251"/>
      <c r="I599" s="251"/>
      <c r="J599" s="289"/>
    </row>
    <row r="600" spans="1:10" ht="14.25" customHeight="1" x14ac:dyDescent="0.25">
      <c r="A600" s="289"/>
      <c r="F600" s="251"/>
      <c r="H600" s="251"/>
      <c r="I600" s="251"/>
      <c r="J600" s="289"/>
    </row>
    <row r="601" spans="1:10" ht="14.25" customHeight="1" x14ac:dyDescent="0.25">
      <c r="A601" s="289"/>
      <c r="F601" s="251"/>
      <c r="H601" s="251"/>
      <c r="I601" s="251"/>
      <c r="J601" s="289"/>
    </row>
    <row r="602" spans="1:10" ht="14.25" customHeight="1" x14ac:dyDescent="0.25">
      <c r="A602" s="289"/>
      <c r="F602" s="251"/>
      <c r="H602" s="251"/>
      <c r="I602" s="251"/>
      <c r="J602" s="289"/>
    </row>
    <row r="603" spans="1:10" ht="14.25" customHeight="1" x14ac:dyDescent="0.25">
      <c r="A603" s="289"/>
      <c r="F603" s="251"/>
      <c r="H603" s="251"/>
      <c r="I603" s="251"/>
      <c r="J603" s="289"/>
    </row>
    <row r="604" spans="1:10" ht="14.25" customHeight="1" x14ac:dyDescent="0.25">
      <c r="A604" s="289"/>
      <c r="F604" s="251"/>
      <c r="H604" s="251"/>
      <c r="I604" s="251"/>
      <c r="J604" s="289"/>
    </row>
    <row r="605" spans="1:10" ht="14.25" customHeight="1" x14ac:dyDescent="0.25">
      <c r="A605" s="289"/>
      <c r="F605" s="251"/>
      <c r="H605" s="251"/>
      <c r="I605" s="251"/>
      <c r="J605" s="289"/>
    </row>
    <row r="606" spans="1:10" ht="14.25" customHeight="1" x14ac:dyDescent="0.25">
      <c r="A606" s="289"/>
      <c r="F606" s="251"/>
      <c r="H606" s="251"/>
      <c r="I606" s="251"/>
      <c r="J606" s="289"/>
    </row>
    <row r="607" spans="1:10" ht="14.25" customHeight="1" x14ac:dyDescent="0.25">
      <c r="A607" s="289"/>
      <c r="F607" s="251"/>
      <c r="H607" s="251"/>
      <c r="I607" s="251"/>
      <c r="J607" s="289"/>
    </row>
    <row r="608" spans="1:10" ht="14.25" customHeight="1" x14ac:dyDescent="0.25">
      <c r="A608" s="289"/>
      <c r="F608" s="251"/>
      <c r="H608" s="251"/>
      <c r="I608" s="251"/>
      <c r="J608" s="289"/>
    </row>
    <row r="609" spans="1:10" ht="14.25" customHeight="1" x14ac:dyDescent="0.25">
      <c r="A609" s="289"/>
      <c r="F609" s="251"/>
      <c r="H609" s="251"/>
      <c r="I609" s="251"/>
      <c r="J609" s="289"/>
    </row>
    <row r="610" spans="1:10" ht="14.25" customHeight="1" x14ac:dyDescent="0.25">
      <c r="A610" s="289"/>
      <c r="F610" s="251"/>
      <c r="H610" s="251"/>
      <c r="I610" s="251"/>
      <c r="J610" s="289"/>
    </row>
    <row r="611" spans="1:10" ht="14.25" customHeight="1" x14ac:dyDescent="0.25">
      <c r="A611" s="289"/>
      <c r="F611" s="251"/>
      <c r="H611" s="251"/>
      <c r="I611" s="251"/>
      <c r="J611" s="289"/>
    </row>
    <row r="612" spans="1:10" ht="14.25" customHeight="1" x14ac:dyDescent="0.25">
      <c r="A612" s="289"/>
      <c r="F612" s="251"/>
      <c r="H612" s="251"/>
      <c r="I612" s="251"/>
      <c r="J612" s="289"/>
    </row>
    <row r="613" spans="1:10" ht="14.25" customHeight="1" x14ac:dyDescent="0.25">
      <c r="A613" s="289"/>
      <c r="F613" s="251"/>
      <c r="H613" s="251"/>
      <c r="I613" s="251"/>
      <c r="J613" s="289"/>
    </row>
    <row r="614" spans="1:10" ht="14.25" customHeight="1" x14ac:dyDescent="0.25">
      <c r="A614" s="289"/>
      <c r="F614" s="251"/>
      <c r="H614" s="251"/>
      <c r="I614" s="251"/>
      <c r="J614" s="289"/>
    </row>
    <row r="615" spans="1:10" ht="14.25" customHeight="1" x14ac:dyDescent="0.25">
      <c r="A615" s="289"/>
      <c r="F615" s="251"/>
      <c r="H615" s="251"/>
      <c r="I615" s="251"/>
      <c r="J615" s="289"/>
    </row>
    <row r="616" spans="1:10" ht="14.25" customHeight="1" x14ac:dyDescent="0.25">
      <c r="A616" s="289"/>
      <c r="F616" s="251"/>
      <c r="H616" s="251"/>
      <c r="I616" s="251"/>
      <c r="J616" s="289"/>
    </row>
    <row r="617" spans="1:10" ht="14.25" customHeight="1" x14ac:dyDescent="0.25">
      <c r="A617" s="289"/>
      <c r="F617" s="251"/>
      <c r="H617" s="251"/>
      <c r="I617" s="251"/>
      <c r="J617" s="289"/>
    </row>
    <row r="618" spans="1:10" ht="14.25" customHeight="1" x14ac:dyDescent="0.25">
      <c r="A618" s="289"/>
      <c r="F618" s="251"/>
      <c r="H618" s="251"/>
      <c r="I618" s="251"/>
      <c r="J618" s="289"/>
    </row>
    <row r="619" spans="1:10" ht="14.25" customHeight="1" x14ac:dyDescent="0.25">
      <c r="A619" s="289"/>
      <c r="F619" s="251"/>
      <c r="H619" s="251"/>
      <c r="I619" s="251"/>
      <c r="J619" s="289"/>
    </row>
    <row r="620" spans="1:10" ht="14.25" customHeight="1" x14ac:dyDescent="0.25">
      <c r="A620" s="289"/>
      <c r="F620" s="251"/>
      <c r="H620" s="251"/>
      <c r="I620" s="251"/>
      <c r="J620" s="289"/>
    </row>
    <row r="621" spans="1:10" ht="14.25" customHeight="1" x14ac:dyDescent="0.25">
      <c r="A621" s="289"/>
      <c r="F621" s="251"/>
      <c r="H621" s="251"/>
      <c r="I621" s="251"/>
      <c r="J621" s="289"/>
    </row>
    <row r="622" spans="1:10" ht="14.25" customHeight="1" x14ac:dyDescent="0.25">
      <c r="A622" s="289"/>
      <c r="F622" s="251"/>
      <c r="H622" s="251"/>
      <c r="I622" s="251"/>
      <c r="J622" s="289"/>
    </row>
    <row r="623" spans="1:10" ht="14.25" customHeight="1" x14ac:dyDescent="0.25">
      <c r="A623" s="289"/>
      <c r="F623" s="251"/>
      <c r="H623" s="251"/>
      <c r="I623" s="251"/>
      <c r="J623" s="289"/>
    </row>
    <row r="624" spans="1:10" ht="14.25" customHeight="1" x14ac:dyDescent="0.25">
      <c r="A624" s="289"/>
      <c r="F624" s="251"/>
      <c r="H624" s="251"/>
      <c r="I624" s="251"/>
      <c r="J624" s="289"/>
    </row>
    <row r="625" spans="1:10" ht="14.25" customHeight="1" x14ac:dyDescent="0.25">
      <c r="A625" s="289"/>
      <c r="F625" s="251"/>
      <c r="H625" s="251"/>
      <c r="I625" s="251"/>
      <c r="J625" s="289"/>
    </row>
    <row r="626" spans="1:10" ht="14.25" customHeight="1" x14ac:dyDescent="0.25">
      <c r="A626" s="289"/>
      <c r="F626" s="251"/>
      <c r="H626" s="251"/>
      <c r="I626" s="251"/>
      <c r="J626" s="289"/>
    </row>
    <row r="627" spans="1:10" ht="14.25" customHeight="1" x14ac:dyDescent="0.25">
      <c r="A627" s="289"/>
      <c r="F627" s="251"/>
      <c r="H627" s="251"/>
      <c r="I627" s="251"/>
      <c r="J627" s="289"/>
    </row>
    <row r="628" spans="1:10" ht="14.25" customHeight="1" x14ac:dyDescent="0.25">
      <c r="A628" s="289"/>
      <c r="F628" s="251"/>
      <c r="H628" s="251"/>
      <c r="I628" s="251"/>
      <c r="J628" s="289"/>
    </row>
    <row r="629" spans="1:10" ht="14.25" customHeight="1" x14ac:dyDescent="0.25">
      <c r="A629" s="289"/>
      <c r="F629" s="251"/>
      <c r="H629" s="251"/>
      <c r="I629" s="251"/>
      <c r="J629" s="289"/>
    </row>
    <row r="630" spans="1:10" ht="14.25" customHeight="1" x14ac:dyDescent="0.25">
      <c r="A630" s="289"/>
      <c r="F630" s="251"/>
      <c r="H630" s="251"/>
      <c r="I630" s="251"/>
      <c r="J630" s="289"/>
    </row>
    <row r="631" spans="1:10" ht="14.25" customHeight="1" x14ac:dyDescent="0.25">
      <c r="A631" s="289"/>
      <c r="F631" s="251"/>
      <c r="H631" s="251"/>
      <c r="I631" s="251"/>
      <c r="J631" s="289"/>
    </row>
    <row r="632" spans="1:10" ht="14.25" customHeight="1" x14ac:dyDescent="0.25">
      <c r="A632" s="289"/>
      <c r="F632" s="251"/>
      <c r="H632" s="251"/>
      <c r="I632" s="251"/>
      <c r="J632" s="289"/>
    </row>
    <row r="633" spans="1:10" ht="14.25" customHeight="1" x14ac:dyDescent="0.25">
      <c r="A633" s="289"/>
      <c r="F633" s="251"/>
      <c r="H633" s="251"/>
      <c r="I633" s="251"/>
      <c r="J633" s="289"/>
    </row>
    <row r="634" spans="1:10" ht="14.25" customHeight="1" x14ac:dyDescent="0.25">
      <c r="A634" s="289"/>
      <c r="F634" s="251"/>
      <c r="H634" s="251"/>
      <c r="I634" s="251"/>
      <c r="J634" s="289"/>
    </row>
    <row r="635" spans="1:10" ht="14.25" customHeight="1" x14ac:dyDescent="0.25">
      <c r="A635" s="289"/>
      <c r="F635" s="251"/>
      <c r="H635" s="251"/>
      <c r="I635" s="251"/>
      <c r="J635" s="289"/>
    </row>
    <row r="636" spans="1:10" ht="14.25" customHeight="1" x14ac:dyDescent="0.25">
      <c r="A636" s="289"/>
      <c r="F636" s="251"/>
      <c r="H636" s="251"/>
      <c r="I636" s="251"/>
      <c r="J636" s="289"/>
    </row>
    <row r="637" spans="1:10" ht="14.25" customHeight="1" x14ac:dyDescent="0.25">
      <c r="A637" s="289"/>
      <c r="F637" s="251"/>
      <c r="H637" s="251"/>
      <c r="I637" s="251"/>
      <c r="J637" s="289"/>
    </row>
    <row r="638" spans="1:10" ht="14.25" customHeight="1" x14ac:dyDescent="0.25">
      <c r="A638" s="289"/>
      <c r="F638" s="251"/>
      <c r="H638" s="251"/>
      <c r="I638" s="251"/>
      <c r="J638" s="289"/>
    </row>
    <row r="639" spans="1:10" ht="14.25" customHeight="1" x14ac:dyDescent="0.25">
      <c r="A639" s="289"/>
      <c r="F639" s="251"/>
      <c r="H639" s="251"/>
      <c r="I639" s="251"/>
      <c r="J639" s="289"/>
    </row>
    <row r="640" spans="1:10" ht="14.25" customHeight="1" x14ac:dyDescent="0.25">
      <c r="A640" s="289"/>
      <c r="F640" s="251"/>
      <c r="H640" s="251"/>
      <c r="I640" s="251"/>
      <c r="J640" s="289"/>
    </row>
    <row r="641" spans="1:10" ht="14.25" customHeight="1" x14ac:dyDescent="0.25">
      <c r="A641" s="289"/>
      <c r="F641" s="251"/>
      <c r="H641" s="251"/>
      <c r="I641" s="251"/>
      <c r="J641" s="289"/>
    </row>
    <row r="642" spans="1:10" ht="14.25" customHeight="1" x14ac:dyDescent="0.25">
      <c r="A642" s="289"/>
      <c r="F642" s="251"/>
      <c r="H642" s="251"/>
      <c r="I642" s="251"/>
      <c r="J642" s="289"/>
    </row>
    <row r="643" spans="1:10" ht="14.25" customHeight="1" x14ac:dyDescent="0.25">
      <c r="A643" s="289"/>
      <c r="F643" s="251"/>
      <c r="H643" s="251"/>
      <c r="I643" s="251"/>
      <c r="J643" s="289"/>
    </row>
    <row r="644" spans="1:10" ht="14.25" customHeight="1" x14ac:dyDescent="0.25">
      <c r="A644" s="289"/>
      <c r="F644" s="251"/>
      <c r="H644" s="251"/>
      <c r="I644" s="251"/>
      <c r="J644" s="289"/>
    </row>
    <row r="645" spans="1:10" ht="14.25" customHeight="1" x14ac:dyDescent="0.25">
      <c r="A645" s="289"/>
      <c r="F645" s="251"/>
      <c r="H645" s="251"/>
      <c r="I645" s="251"/>
      <c r="J645" s="289"/>
    </row>
    <row r="646" spans="1:10" ht="14.25" customHeight="1" x14ac:dyDescent="0.25">
      <c r="A646" s="289"/>
      <c r="F646" s="251"/>
      <c r="H646" s="251"/>
      <c r="I646" s="251"/>
      <c r="J646" s="289"/>
    </row>
    <row r="647" spans="1:10" ht="14.25" customHeight="1" x14ac:dyDescent="0.25">
      <c r="A647" s="289"/>
      <c r="F647" s="251"/>
      <c r="H647" s="251"/>
      <c r="I647" s="251"/>
      <c r="J647" s="289"/>
    </row>
    <row r="648" spans="1:10" ht="14.25" customHeight="1" x14ac:dyDescent="0.25">
      <c r="A648" s="289"/>
      <c r="F648" s="251"/>
      <c r="H648" s="251"/>
      <c r="I648" s="251"/>
      <c r="J648" s="289"/>
    </row>
    <row r="649" spans="1:10" ht="14.25" customHeight="1" x14ac:dyDescent="0.25">
      <c r="A649" s="289"/>
      <c r="F649" s="251"/>
      <c r="H649" s="251"/>
      <c r="I649" s="251"/>
      <c r="J649" s="289"/>
    </row>
    <row r="650" spans="1:10" ht="14.25" customHeight="1" x14ac:dyDescent="0.25">
      <c r="A650" s="289"/>
      <c r="F650" s="251"/>
      <c r="H650" s="251"/>
      <c r="I650" s="251"/>
      <c r="J650" s="289"/>
    </row>
    <row r="651" spans="1:10" ht="14.25" customHeight="1" x14ac:dyDescent="0.25">
      <c r="A651" s="289"/>
      <c r="F651" s="251"/>
      <c r="H651" s="251"/>
      <c r="I651" s="251"/>
      <c r="J651" s="289"/>
    </row>
    <row r="652" spans="1:10" ht="14.25" customHeight="1" x14ac:dyDescent="0.25">
      <c r="A652" s="289"/>
      <c r="F652" s="251"/>
      <c r="H652" s="251"/>
      <c r="I652" s="251"/>
      <c r="J652" s="289"/>
    </row>
    <row r="653" spans="1:10" ht="14.25" customHeight="1" x14ac:dyDescent="0.25">
      <c r="A653" s="289"/>
      <c r="F653" s="251"/>
      <c r="H653" s="251"/>
      <c r="I653" s="251"/>
      <c r="J653" s="289"/>
    </row>
    <row r="654" spans="1:10" ht="14.25" customHeight="1" x14ac:dyDescent="0.25">
      <c r="A654" s="289"/>
      <c r="F654" s="251"/>
      <c r="H654" s="251"/>
      <c r="I654" s="251"/>
      <c r="J654" s="289"/>
    </row>
    <row r="655" spans="1:10" ht="14.25" customHeight="1" x14ac:dyDescent="0.25">
      <c r="A655" s="289"/>
      <c r="F655" s="251"/>
      <c r="H655" s="251"/>
      <c r="I655" s="251"/>
      <c r="J655" s="289"/>
    </row>
    <row r="656" spans="1:10" ht="14.25" customHeight="1" x14ac:dyDescent="0.25">
      <c r="A656" s="289"/>
      <c r="F656" s="251"/>
      <c r="H656" s="251"/>
      <c r="I656" s="251"/>
      <c r="J656" s="289"/>
    </row>
    <row r="657" spans="1:10" ht="14.25" customHeight="1" x14ac:dyDescent="0.25">
      <c r="A657" s="289"/>
      <c r="F657" s="251"/>
      <c r="H657" s="251"/>
      <c r="I657" s="251"/>
      <c r="J657" s="289"/>
    </row>
    <row r="658" spans="1:10" ht="14.25" customHeight="1" x14ac:dyDescent="0.25">
      <c r="A658" s="289"/>
      <c r="F658" s="251"/>
      <c r="H658" s="251"/>
      <c r="I658" s="251"/>
      <c r="J658" s="289"/>
    </row>
    <row r="659" spans="1:10" ht="14.25" customHeight="1" x14ac:dyDescent="0.25">
      <c r="A659" s="289"/>
      <c r="F659" s="251"/>
      <c r="H659" s="251"/>
      <c r="I659" s="251"/>
      <c r="J659" s="289"/>
    </row>
    <row r="660" spans="1:10" ht="14.25" customHeight="1" x14ac:dyDescent="0.25">
      <c r="A660" s="289"/>
      <c r="F660" s="251"/>
      <c r="H660" s="251"/>
      <c r="I660" s="251"/>
      <c r="J660" s="289"/>
    </row>
    <row r="661" spans="1:10" ht="14.25" customHeight="1" x14ac:dyDescent="0.25">
      <c r="A661" s="289"/>
      <c r="F661" s="251"/>
      <c r="H661" s="251"/>
      <c r="I661" s="251"/>
      <c r="J661" s="289"/>
    </row>
    <row r="662" spans="1:10" ht="14.25" customHeight="1" x14ac:dyDescent="0.25">
      <c r="A662" s="289"/>
      <c r="F662" s="251"/>
      <c r="H662" s="251"/>
      <c r="I662" s="251"/>
      <c r="J662" s="289"/>
    </row>
    <row r="663" spans="1:10" ht="14.25" customHeight="1" x14ac:dyDescent="0.25">
      <c r="A663" s="289"/>
      <c r="F663" s="251"/>
      <c r="H663" s="251"/>
      <c r="I663" s="251"/>
      <c r="J663" s="289"/>
    </row>
    <row r="664" spans="1:10" ht="14.25" customHeight="1" x14ac:dyDescent="0.25">
      <c r="A664" s="289"/>
      <c r="F664" s="251"/>
      <c r="H664" s="251"/>
      <c r="I664" s="251"/>
      <c r="J664" s="289"/>
    </row>
    <row r="665" spans="1:10" ht="14.25" customHeight="1" x14ac:dyDescent="0.25">
      <c r="A665" s="289"/>
      <c r="F665" s="251"/>
      <c r="H665" s="251"/>
      <c r="I665" s="251"/>
      <c r="J665" s="289"/>
    </row>
    <row r="666" spans="1:10" ht="14.25" customHeight="1" x14ac:dyDescent="0.25">
      <c r="A666" s="289"/>
      <c r="F666" s="251"/>
      <c r="H666" s="251"/>
      <c r="I666" s="251"/>
      <c r="J666" s="289"/>
    </row>
    <row r="667" spans="1:10" ht="14.25" customHeight="1" x14ac:dyDescent="0.25">
      <c r="A667" s="289"/>
      <c r="F667" s="251"/>
      <c r="H667" s="251"/>
      <c r="I667" s="251"/>
      <c r="J667" s="289"/>
    </row>
    <row r="668" spans="1:10" ht="14.25" customHeight="1" x14ac:dyDescent="0.25">
      <c r="A668" s="289"/>
      <c r="F668" s="251"/>
      <c r="H668" s="251"/>
      <c r="I668" s="251"/>
      <c r="J668" s="289"/>
    </row>
    <row r="669" spans="1:10" ht="14.25" customHeight="1" x14ac:dyDescent="0.25">
      <c r="A669" s="289"/>
      <c r="F669" s="251"/>
      <c r="H669" s="251"/>
      <c r="I669" s="251"/>
      <c r="J669" s="289"/>
    </row>
    <row r="670" spans="1:10" ht="14.25" customHeight="1" x14ac:dyDescent="0.25">
      <c r="A670" s="289"/>
      <c r="F670" s="251"/>
      <c r="H670" s="251"/>
      <c r="I670" s="251"/>
      <c r="J670" s="289"/>
    </row>
    <row r="671" spans="1:10" ht="14.25" customHeight="1" x14ac:dyDescent="0.25">
      <c r="A671" s="289"/>
      <c r="F671" s="251"/>
      <c r="H671" s="251"/>
      <c r="I671" s="251"/>
      <c r="J671" s="289"/>
    </row>
    <row r="672" spans="1:10" ht="14.25" customHeight="1" x14ac:dyDescent="0.25">
      <c r="A672" s="289"/>
      <c r="F672" s="251"/>
      <c r="H672" s="251"/>
      <c r="I672" s="251"/>
      <c r="J672" s="289"/>
    </row>
    <row r="673" spans="1:10" ht="14.25" customHeight="1" x14ac:dyDescent="0.25">
      <c r="A673" s="289"/>
      <c r="F673" s="251"/>
      <c r="H673" s="251"/>
      <c r="I673" s="251"/>
      <c r="J673" s="289"/>
    </row>
    <row r="674" spans="1:10" ht="14.25" customHeight="1" x14ac:dyDescent="0.25">
      <c r="A674" s="289"/>
      <c r="F674" s="251"/>
      <c r="H674" s="251"/>
      <c r="I674" s="251"/>
      <c r="J674" s="289"/>
    </row>
    <row r="675" spans="1:10" ht="14.25" customHeight="1" x14ac:dyDescent="0.25">
      <c r="A675" s="289"/>
      <c r="F675" s="251"/>
      <c r="H675" s="251"/>
      <c r="I675" s="251"/>
      <c r="J675" s="289"/>
    </row>
    <row r="676" spans="1:10" ht="14.25" customHeight="1" x14ac:dyDescent="0.25">
      <c r="A676" s="289"/>
      <c r="F676" s="251"/>
      <c r="H676" s="251"/>
      <c r="I676" s="251"/>
      <c r="J676" s="289"/>
    </row>
    <row r="677" spans="1:10" ht="14.25" customHeight="1" x14ac:dyDescent="0.25">
      <c r="A677" s="289"/>
      <c r="F677" s="251"/>
      <c r="H677" s="251"/>
      <c r="I677" s="251"/>
      <c r="J677" s="289"/>
    </row>
    <row r="678" spans="1:10" ht="14.25" customHeight="1" x14ac:dyDescent="0.25">
      <c r="A678" s="289"/>
      <c r="F678" s="251"/>
      <c r="H678" s="251"/>
      <c r="I678" s="251"/>
      <c r="J678" s="289"/>
    </row>
    <row r="679" spans="1:10" ht="14.25" customHeight="1" x14ac:dyDescent="0.25">
      <c r="A679" s="289"/>
      <c r="F679" s="251"/>
      <c r="H679" s="251"/>
      <c r="I679" s="251"/>
      <c r="J679" s="289"/>
    </row>
    <row r="680" spans="1:10" ht="14.25" customHeight="1" x14ac:dyDescent="0.25">
      <c r="A680" s="289"/>
      <c r="F680" s="251"/>
      <c r="H680" s="251"/>
      <c r="I680" s="251"/>
      <c r="J680" s="289"/>
    </row>
    <row r="681" spans="1:10" ht="14.25" customHeight="1" x14ac:dyDescent="0.25">
      <c r="A681" s="289"/>
      <c r="F681" s="251"/>
      <c r="H681" s="251"/>
      <c r="I681" s="251"/>
      <c r="J681" s="289"/>
    </row>
    <row r="682" spans="1:10" ht="14.25" customHeight="1" x14ac:dyDescent="0.25">
      <c r="A682" s="289"/>
      <c r="F682" s="251"/>
      <c r="H682" s="251"/>
      <c r="I682" s="251"/>
      <c r="J682" s="289"/>
    </row>
    <row r="683" spans="1:10" ht="14.25" customHeight="1" x14ac:dyDescent="0.25">
      <c r="A683" s="289"/>
      <c r="F683" s="251"/>
      <c r="H683" s="251"/>
      <c r="I683" s="251"/>
      <c r="J683" s="289"/>
    </row>
    <row r="684" spans="1:10" ht="14.25" customHeight="1" x14ac:dyDescent="0.25">
      <c r="A684" s="289"/>
      <c r="F684" s="251"/>
      <c r="H684" s="251"/>
      <c r="I684" s="251"/>
      <c r="J684" s="289"/>
    </row>
    <row r="685" spans="1:10" ht="14.25" customHeight="1" x14ac:dyDescent="0.25">
      <c r="A685" s="289"/>
      <c r="F685" s="251"/>
      <c r="H685" s="251"/>
      <c r="I685" s="251"/>
      <c r="J685" s="289"/>
    </row>
    <row r="686" spans="1:10" ht="14.25" customHeight="1" x14ac:dyDescent="0.25">
      <c r="A686" s="289"/>
      <c r="F686" s="251"/>
      <c r="H686" s="251"/>
      <c r="I686" s="251"/>
      <c r="J686" s="289"/>
    </row>
    <row r="687" spans="1:10" ht="14.25" customHeight="1" x14ac:dyDescent="0.25">
      <c r="A687" s="289"/>
      <c r="F687" s="251"/>
      <c r="H687" s="251"/>
      <c r="I687" s="251"/>
      <c r="J687" s="289"/>
    </row>
    <row r="688" spans="1:10" ht="14.25" customHeight="1" x14ac:dyDescent="0.25">
      <c r="A688" s="289"/>
      <c r="F688" s="251"/>
      <c r="H688" s="251"/>
      <c r="I688" s="251"/>
      <c r="J688" s="289"/>
    </row>
    <row r="689" spans="1:10" ht="14.25" customHeight="1" x14ac:dyDescent="0.25">
      <c r="A689" s="289"/>
      <c r="F689" s="251"/>
      <c r="H689" s="251"/>
      <c r="I689" s="251"/>
      <c r="J689" s="289"/>
    </row>
    <row r="690" spans="1:10" ht="14.25" customHeight="1" x14ac:dyDescent="0.25">
      <c r="A690" s="289"/>
      <c r="F690" s="251"/>
      <c r="H690" s="251"/>
      <c r="I690" s="251"/>
      <c r="J690" s="289"/>
    </row>
    <row r="691" spans="1:10" ht="14.25" customHeight="1" x14ac:dyDescent="0.25">
      <c r="A691" s="289"/>
      <c r="F691" s="251"/>
      <c r="H691" s="251"/>
      <c r="I691" s="251"/>
      <c r="J691" s="289"/>
    </row>
    <row r="692" spans="1:10" ht="14.25" customHeight="1" x14ac:dyDescent="0.25">
      <c r="A692" s="289"/>
      <c r="F692" s="251"/>
      <c r="H692" s="251"/>
      <c r="I692" s="251"/>
      <c r="J692" s="289"/>
    </row>
    <row r="693" spans="1:10" ht="14.25" customHeight="1" x14ac:dyDescent="0.25">
      <c r="A693" s="289"/>
      <c r="F693" s="251"/>
      <c r="H693" s="251"/>
      <c r="I693" s="251"/>
      <c r="J693" s="289"/>
    </row>
    <row r="694" spans="1:10" ht="14.25" customHeight="1" x14ac:dyDescent="0.25">
      <c r="A694" s="289"/>
      <c r="F694" s="251"/>
      <c r="H694" s="251"/>
      <c r="I694" s="251"/>
      <c r="J694" s="289"/>
    </row>
    <row r="695" spans="1:10" ht="14.25" customHeight="1" x14ac:dyDescent="0.25">
      <c r="A695" s="289"/>
      <c r="F695" s="251"/>
      <c r="H695" s="251"/>
      <c r="I695" s="251"/>
      <c r="J695" s="289"/>
    </row>
    <row r="696" spans="1:10" ht="14.25" customHeight="1" x14ac:dyDescent="0.25">
      <c r="A696" s="289"/>
      <c r="F696" s="251"/>
      <c r="H696" s="251"/>
      <c r="I696" s="251"/>
      <c r="J696" s="289"/>
    </row>
    <row r="697" spans="1:10" ht="14.25" customHeight="1" x14ac:dyDescent="0.25">
      <c r="A697" s="289"/>
      <c r="F697" s="251"/>
      <c r="H697" s="251"/>
      <c r="I697" s="251"/>
      <c r="J697" s="289"/>
    </row>
    <row r="698" spans="1:10" ht="14.25" customHeight="1" x14ac:dyDescent="0.25">
      <c r="A698" s="289"/>
      <c r="F698" s="251"/>
      <c r="H698" s="251"/>
      <c r="I698" s="251"/>
      <c r="J698" s="289"/>
    </row>
    <row r="699" spans="1:10" ht="14.25" customHeight="1" x14ac:dyDescent="0.25">
      <c r="A699" s="289"/>
      <c r="F699" s="251"/>
      <c r="H699" s="251"/>
      <c r="I699" s="251"/>
      <c r="J699" s="289"/>
    </row>
    <row r="700" spans="1:10" ht="14.25" customHeight="1" x14ac:dyDescent="0.25">
      <c r="A700" s="289"/>
      <c r="F700" s="251"/>
      <c r="H700" s="251"/>
      <c r="I700" s="251"/>
      <c r="J700" s="289"/>
    </row>
    <row r="701" spans="1:10" ht="14.25" customHeight="1" x14ac:dyDescent="0.25">
      <c r="A701" s="289"/>
      <c r="F701" s="251"/>
      <c r="H701" s="251"/>
      <c r="I701" s="251"/>
      <c r="J701" s="289"/>
    </row>
    <row r="702" spans="1:10" ht="14.25" customHeight="1" x14ac:dyDescent="0.25">
      <c r="A702" s="289"/>
      <c r="F702" s="251"/>
      <c r="H702" s="251"/>
      <c r="I702" s="251"/>
      <c r="J702" s="289"/>
    </row>
    <row r="703" spans="1:10" ht="14.25" customHeight="1" x14ac:dyDescent="0.25">
      <c r="A703" s="289"/>
      <c r="F703" s="251"/>
      <c r="H703" s="251"/>
      <c r="I703" s="251"/>
      <c r="J703" s="289"/>
    </row>
    <row r="704" spans="1:10" ht="14.25" customHeight="1" x14ac:dyDescent="0.25">
      <c r="A704" s="289"/>
      <c r="F704" s="251"/>
      <c r="H704" s="251"/>
      <c r="I704" s="251"/>
      <c r="J704" s="289"/>
    </row>
    <row r="705" spans="1:10" ht="14.25" customHeight="1" x14ac:dyDescent="0.25">
      <c r="A705" s="289"/>
      <c r="F705" s="251"/>
      <c r="H705" s="251"/>
      <c r="I705" s="251"/>
      <c r="J705" s="289"/>
    </row>
    <row r="706" spans="1:10" ht="14.25" customHeight="1" x14ac:dyDescent="0.25">
      <c r="A706" s="289"/>
      <c r="F706" s="251"/>
      <c r="H706" s="251"/>
      <c r="I706" s="251"/>
      <c r="J706" s="289"/>
    </row>
    <row r="707" spans="1:10" ht="14.25" customHeight="1" x14ac:dyDescent="0.25">
      <c r="A707" s="289"/>
      <c r="F707" s="251"/>
      <c r="H707" s="251"/>
      <c r="I707" s="251"/>
      <c r="J707" s="289"/>
    </row>
    <row r="708" spans="1:10" ht="14.25" customHeight="1" x14ac:dyDescent="0.25">
      <c r="A708" s="289"/>
      <c r="F708" s="251"/>
      <c r="H708" s="251"/>
      <c r="I708" s="251"/>
      <c r="J708" s="289"/>
    </row>
    <row r="709" spans="1:10" ht="14.25" customHeight="1" x14ac:dyDescent="0.25">
      <c r="A709" s="289"/>
      <c r="F709" s="251"/>
      <c r="H709" s="251"/>
      <c r="I709" s="251"/>
      <c r="J709" s="289"/>
    </row>
    <row r="710" spans="1:10" ht="14.25" customHeight="1" x14ac:dyDescent="0.25">
      <c r="A710" s="289"/>
      <c r="F710" s="251"/>
      <c r="H710" s="251"/>
      <c r="I710" s="251"/>
      <c r="J710" s="289"/>
    </row>
    <row r="711" spans="1:10" ht="14.25" customHeight="1" x14ac:dyDescent="0.25">
      <c r="A711" s="289"/>
      <c r="F711" s="251"/>
      <c r="H711" s="251"/>
      <c r="I711" s="251"/>
      <c r="J711" s="289"/>
    </row>
    <row r="712" spans="1:10" ht="14.25" customHeight="1" x14ac:dyDescent="0.25">
      <c r="A712" s="289"/>
      <c r="F712" s="251"/>
      <c r="H712" s="251"/>
      <c r="I712" s="251"/>
      <c r="J712" s="289"/>
    </row>
    <row r="713" spans="1:10" ht="14.25" customHeight="1" x14ac:dyDescent="0.25">
      <c r="A713" s="289"/>
      <c r="F713" s="251"/>
      <c r="H713" s="251"/>
      <c r="I713" s="251"/>
      <c r="J713" s="289"/>
    </row>
    <row r="714" spans="1:10" ht="14.25" customHeight="1" x14ac:dyDescent="0.25">
      <c r="A714" s="289"/>
      <c r="F714" s="251"/>
      <c r="H714" s="251"/>
      <c r="I714" s="251"/>
      <c r="J714" s="289"/>
    </row>
    <row r="715" spans="1:10" ht="14.25" customHeight="1" x14ac:dyDescent="0.25">
      <c r="A715" s="289"/>
      <c r="F715" s="251"/>
      <c r="H715" s="251"/>
      <c r="I715" s="251"/>
      <c r="J715" s="289"/>
    </row>
    <row r="716" spans="1:10" ht="14.25" customHeight="1" x14ac:dyDescent="0.25">
      <c r="A716" s="289"/>
      <c r="F716" s="251"/>
      <c r="H716" s="251"/>
      <c r="I716" s="251"/>
      <c r="J716" s="289"/>
    </row>
    <row r="717" spans="1:10" ht="14.25" customHeight="1" x14ac:dyDescent="0.25">
      <c r="A717" s="289"/>
      <c r="F717" s="251"/>
      <c r="H717" s="251"/>
      <c r="I717" s="251"/>
      <c r="J717" s="289"/>
    </row>
    <row r="718" spans="1:10" ht="14.25" customHeight="1" x14ac:dyDescent="0.25">
      <c r="A718" s="289"/>
      <c r="F718" s="251"/>
      <c r="H718" s="251"/>
      <c r="I718" s="251"/>
      <c r="J718" s="289"/>
    </row>
    <row r="719" spans="1:10" ht="14.25" customHeight="1" x14ac:dyDescent="0.25">
      <c r="A719" s="289"/>
      <c r="F719" s="251"/>
      <c r="H719" s="251"/>
      <c r="I719" s="251"/>
      <c r="J719" s="289"/>
    </row>
    <row r="720" spans="1:10" ht="14.25" customHeight="1" x14ac:dyDescent="0.25">
      <c r="A720" s="289"/>
      <c r="F720" s="251"/>
      <c r="H720" s="251"/>
      <c r="I720" s="251"/>
      <c r="J720" s="289"/>
    </row>
    <row r="721" spans="1:10" ht="14.25" customHeight="1" x14ac:dyDescent="0.25">
      <c r="A721" s="289"/>
      <c r="F721" s="251"/>
      <c r="H721" s="251"/>
      <c r="I721" s="251"/>
      <c r="J721" s="289"/>
    </row>
    <row r="722" spans="1:10" ht="14.25" customHeight="1" x14ac:dyDescent="0.25">
      <c r="A722" s="289"/>
      <c r="F722" s="251"/>
      <c r="H722" s="251"/>
      <c r="I722" s="251"/>
      <c r="J722" s="289"/>
    </row>
    <row r="723" spans="1:10" ht="14.25" customHeight="1" x14ac:dyDescent="0.25">
      <c r="A723" s="289"/>
      <c r="F723" s="251"/>
      <c r="H723" s="251"/>
      <c r="I723" s="251"/>
      <c r="J723" s="289"/>
    </row>
    <row r="724" spans="1:10" ht="14.25" customHeight="1" x14ac:dyDescent="0.25">
      <c r="A724" s="289"/>
      <c r="F724" s="251"/>
      <c r="H724" s="251"/>
      <c r="I724" s="251"/>
      <c r="J724" s="289"/>
    </row>
    <row r="725" spans="1:10" ht="14.25" customHeight="1" x14ac:dyDescent="0.25">
      <c r="A725" s="289"/>
      <c r="F725" s="251"/>
      <c r="H725" s="251"/>
      <c r="I725" s="251"/>
      <c r="J725" s="289"/>
    </row>
    <row r="726" spans="1:10" ht="14.25" customHeight="1" x14ac:dyDescent="0.25">
      <c r="A726" s="289"/>
      <c r="F726" s="251"/>
      <c r="H726" s="251"/>
      <c r="I726" s="251"/>
      <c r="J726" s="289"/>
    </row>
    <row r="727" spans="1:10" ht="14.25" customHeight="1" x14ac:dyDescent="0.25">
      <c r="A727" s="289"/>
      <c r="F727" s="251"/>
      <c r="H727" s="251"/>
      <c r="I727" s="251"/>
      <c r="J727" s="289"/>
    </row>
    <row r="728" spans="1:10" ht="14.25" customHeight="1" x14ac:dyDescent="0.25">
      <c r="A728" s="289"/>
      <c r="F728" s="251"/>
      <c r="H728" s="251"/>
      <c r="I728" s="251"/>
      <c r="J728" s="289"/>
    </row>
    <row r="729" spans="1:10" ht="14.25" customHeight="1" x14ac:dyDescent="0.25">
      <c r="A729" s="289"/>
      <c r="F729" s="251"/>
      <c r="H729" s="251"/>
      <c r="I729" s="251"/>
      <c r="J729" s="289"/>
    </row>
    <row r="730" spans="1:10" ht="14.25" customHeight="1" x14ac:dyDescent="0.25">
      <c r="A730" s="289"/>
      <c r="F730" s="251"/>
      <c r="H730" s="251"/>
      <c r="I730" s="251"/>
      <c r="J730" s="289"/>
    </row>
    <row r="731" spans="1:10" ht="14.25" customHeight="1" x14ac:dyDescent="0.25">
      <c r="A731" s="289"/>
      <c r="F731" s="251"/>
      <c r="H731" s="251"/>
      <c r="I731" s="251"/>
      <c r="J731" s="289"/>
    </row>
    <row r="732" spans="1:10" ht="14.25" customHeight="1" x14ac:dyDescent="0.25">
      <c r="A732" s="289"/>
      <c r="F732" s="251"/>
      <c r="H732" s="251"/>
      <c r="I732" s="251"/>
      <c r="J732" s="289"/>
    </row>
    <row r="733" spans="1:10" ht="14.25" customHeight="1" x14ac:dyDescent="0.25">
      <c r="A733" s="289"/>
      <c r="F733" s="251"/>
      <c r="H733" s="251"/>
      <c r="I733" s="251"/>
      <c r="J733" s="289"/>
    </row>
    <row r="734" spans="1:10" ht="14.25" customHeight="1" x14ac:dyDescent="0.25">
      <c r="A734" s="289"/>
      <c r="F734" s="251"/>
      <c r="H734" s="251"/>
      <c r="I734" s="251"/>
      <c r="J734" s="289"/>
    </row>
    <row r="735" spans="1:10" ht="14.25" customHeight="1" x14ac:dyDescent="0.25">
      <c r="A735" s="289"/>
      <c r="F735" s="251"/>
      <c r="H735" s="251"/>
      <c r="I735" s="251"/>
      <c r="J735" s="289"/>
    </row>
    <row r="736" spans="1:10" ht="14.25" customHeight="1" x14ac:dyDescent="0.25">
      <c r="A736" s="289"/>
      <c r="F736" s="251"/>
      <c r="H736" s="251"/>
      <c r="I736" s="251"/>
      <c r="J736" s="289"/>
    </row>
    <row r="737" spans="1:10" ht="14.25" customHeight="1" x14ac:dyDescent="0.25">
      <c r="A737" s="289"/>
      <c r="F737" s="251"/>
      <c r="H737" s="251"/>
      <c r="I737" s="251"/>
      <c r="J737" s="289"/>
    </row>
    <row r="738" spans="1:10" ht="14.25" customHeight="1" x14ac:dyDescent="0.25">
      <c r="A738" s="289"/>
      <c r="F738" s="251"/>
      <c r="H738" s="251"/>
      <c r="I738" s="251"/>
      <c r="J738" s="289"/>
    </row>
    <row r="739" spans="1:10" ht="14.25" customHeight="1" x14ac:dyDescent="0.25">
      <c r="A739" s="289"/>
      <c r="F739" s="251"/>
      <c r="H739" s="251"/>
      <c r="I739" s="251"/>
      <c r="J739" s="289"/>
    </row>
    <row r="740" spans="1:10" ht="14.25" customHeight="1" x14ac:dyDescent="0.25">
      <c r="A740" s="289"/>
      <c r="F740" s="251"/>
      <c r="H740" s="251"/>
      <c r="I740" s="251"/>
      <c r="J740" s="289"/>
    </row>
    <row r="741" spans="1:10" ht="14.25" customHeight="1" x14ac:dyDescent="0.25">
      <c r="A741" s="289"/>
      <c r="F741" s="251"/>
      <c r="H741" s="251"/>
      <c r="I741" s="251"/>
      <c r="J741" s="289"/>
    </row>
    <row r="742" spans="1:10" ht="14.25" customHeight="1" x14ac:dyDescent="0.25">
      <c r="A742" s="289"/>
      <c r="F742" s="251"/>
      <c r="H742" s="251"/>
      <c r="I742" s="251"/>
      <c r="J742" s="289"/>
    </row>
    <row r="743" spans="1:10" ht="14.25" customHeight="1" x14ac:dyDescent="0.25">
      <c r="A743" s="289"/>
      <c r="F743" s="251"/>
      <c r="H743" s="251"/>
      <c r="I743" s="251"/>
      <c r="J743" s="289"/>
    </row>
    <row r="744" spans="1:10" ht="14.25" customHeight="1" x14ac:dyDescent="0.25">
      <c r="A744" s="289"/>
      <c r="F744" s="251"/>
      <c r="H744" s="251"/>
      <c r="I744" s="251"/>
      <c r="J744" s="289"/>
    </row>
    <row r="745" spans="1:10" ht="14.25" customHeight="1" x14ac:dyDescent="0.25">
      <c r="A745" s="289"/>
      <c r="F745" s="251"/>
      <c r="H745" s="251"/>
      <c r="I745" s="251"/>
      <c r="J745" s="289"/>
    </row>
    <row r="746" spans="1:10" ht="14.25" customHeight="1" x14ac:dyDescent="0.25">
      <c r="A746" s="289"/>
      <c r="F746" s="251"/>
      <c r="H746" s="251"/>
      <c r="I746" s="251"/>
      <c r="J746" s="289"/>
    </row>
    <row r="747" spans="1:10" ht="14.25" customHeight="1" x14ac:dyDescent="0.25">
      <c r="A747" s="289"/>
      <c r="F747" s="251"/>
      <c r="H747" s="251"/>
      <c r="I747" s="251"/>
      <c r="J747" s="289"/>
    </row>
    <row r="748" spans="1:10" ht="14.25" customHeight="1" x14ac:dyDescent="0.25">
      <c r="A748" s="289"/>
      <c r="F748" s="251"/>
      <c r="H748" s="251"/>
      <c r="I748" s="251"/>
      <c r="J748" s="289"/>
    </row>
    <row r="749" spans="1:10" ht="14.25" customHeight="1" x14ac:dyDescent="0.25">
      <c r="A749" s="289"/>
      <c r="F749" s="251"/>
      <c r="H749" s="251"/>
      <c r="I749" s="251"/>
      <c r="J749" s="289"/>
    </row>
    <row r="750" spans="1:10" ht="14.25" customHeight="1" x14ac:dyDescent="0.25">
      <c r="A750" s="289"/>
      <c r="F750" s="251"/>
      <c r="H750" s="251"/>
      <c r="I750" s="251"/>
      <c r="J750" s="289"/>
    </row>
    <row r="751" spans="1:10" ht="14.25" customHeight="1" x14ac:dyDescent="0.25">
      <c r="A751" s="289"/>
      <c r="F751" s="251"/>
      <c r="H751" s="251"/>
      <c r="I751" s="251"/>
      <c r="J751" s="289"/>
    </row>
    <row r="752" spans="1:10" ht="14.25" customHeight="1" x14ac:dyDescent="0.25">
      <c r="A752" s="289"/>
      <c r="F752" s="251"/>
      <c r="H752" s="251"/>
      <c r="I752" s="251"/>
      <c r="J752" s="289"/>
    </row>
    <row r="753" spans="1:10" ht="14.25" customHeight="1" x14ac:dyDescent="0.25">
      <c r="A753" s="289"/>
      <c r="F753" s="251"/>
      <c r="H753" s="251"/>
      <c r="I753" s="251"/>
      <c r="J753" s="289"/>
    </row>
    <row r="754" spans="1:10" ht="14.25" customHeight="1" x14ac:dyDescent="0.25">
      <c r="A754" s="289"/>
      <c r="F754" s="251"/>
      <c r="H754" s="251"/>
      <c r="I754" s="251"/>
      <c r="J754" s="289"/>
    </row>
    <row r="755" spans="1:10" ht="14.25" customHeight="1" x14ac:dyDescent="0.25">
      <c r="A755" s="289"/>
      <c r="F755" s="251"/>
      <c r="H755" s="251"/>
      <c r="I755" s="251"/>
      <c r="J755" s="289"/>
    </row>
    <row r="756" spans="1:10" ht="14.25" customHeight="1" x14ac:dyDescent="0.25">
      <c r="A756" s="289"/>
      <c r="F756" s="251"/>
      <c r="H756" s="251"/>
      <c r="I756" s="251"/>
      <c r="J756" s="289"/>
    </row>
    <row r="757" spans="1:10" ht="14.25" customHeight="1" x14ac:dyDescent="0.25">
      <c r="A757" s="289"/>
      <c r="F757" s="251"/>
      <c r="H757" s="251"/>
      <c r="I757" s="251"/>
      <c r="J757" s="289"/>
    </row>
    <row r="758" spans="1:10" ht="14.25" customHeight="1" x14ac:dyDescent="0.25">
      <c r="A758" s="289"/>
      <c r="F758" s="251"/>
      <c r="H758" s="251"/>
      <c r="I758" s="251"/>
      <c r="J758" s="289"/>
    </row>
    <row r="759" spans="1:10" ht="14.25" customHeight="1" x14ac:dyDescent="0.25">
      <c r="A759" s="289"/>
      <c r="F759" s="251"/>
      <c r="H759" s="251"/>
      <c r="I759" s="251"/>
      <c r="J759" s="289"/>
    </row>
    <row r="760" spans="1:10" ht="14.25" customHeight="1" x14ac:dyDescent="0.25">
      <c r="A760" s="289"/>
      <c r="F760" s="251"/>
      <c r="H760" s="251"/>
      <c r="I760" s="251"/>
      <c r="J760" s="289"/>
    </row>
    <row r="761" spans="1:10" ht="14.25" customHeight="1" x14ac:dyDescent="0.25">
      <c r="A761" s="289"/>
      <c r="F761" s="251"/>
      <c r="H761" s="251"/>
      <c r="I761" s="251"/>
      <c r="J761" s="289"/>
    </row>
    <row r="762" spans="1:10" ht="14.25" customHeight="1" x14ac:dyDescent="0.25">
      <c r="A762" s="289"/>
      <c r="F762" s="251"/>
      <c r="H762" s="251"/>
      <c r="I762" s="251"/>
      <c r="J762" s="289"/>
    </row>
    <row r="763" spans="1:10" ht="14.25" customHeight="1" x14ac:dyDescent="0.25">
      <c r="A763" s="289"/>
      <c r="F763" s="251"/>
      <c r="H763" s="251"/>
      <c r="I763" s="251"/>
      <c r="J763" s="289"/>
    </row>
    <row r="764" spans="1:10" ht="14.25" customHeight="1" x14ac:dyDescent="0.25">
      <c r="A764" s="289"/>
      <c r="F764" s="251"/>
      <c r="H764" s="251"/>
      <c r="I764" s="251"/>
      <c r="J764" s="289"/>
    </row>
    <row r="765" spans="1:10" ht="14.25" customHeight="1" x14ac:dyDescent="0.25">
      <c r="A765" s="289"/>
      <c r="F765" s="251"/>
      <c r="H765" s="251"/>
      <c r="I765" s="251"/>
      <c r="J765" s="289"/>
    </row>
    <row r="766" spans="1:10" ht="14.25" customHeight="1" x14ac:dyDescent="0.25">
      <c r="A766" s="289"/>
      <c r="F766" s="251"/>
      <c r="H766" s="251"/>
      <c r="I766" s="251"/>
      <c r="J766" s="289"/>
    </row>
    <row r="767" spans="1:10" ht="14.25" customHeight="1" x14ac:dyDescent="0.25">
      <c r="A767" s="289"/>
      <c r="F767" s="251"/>
      <c r="H767" s="251"/>
      <c r="I767" s="251"/>
      <c r="J767" s="289"/>
    </row>
    <row r="768" spans="1:10" ht="14.25" customHeight="1" x14ac:dyDescent="0.25">
      <c r="A768" s="289"/>
      <c r="F768" s="251"/>
      <c r="H768" s="251"/>
      <c r="I768" s="251"/>
      <c r="J768" s="289"/>
    </row>
    <row r="769" spans="1:10" ht="14.25" customHeight="1" x14ac:dyDescent="0.25">
      <c r="A769" s="289"/>
      <c r="F769" s="251"/>
      <c r="H769" s="251"/>
      <c r="I769" s="251"/>
      <c r="J769" s="289"/>
    </row>
    <row r="770" spans="1:10" ht="14.25" customHeight="1" x14ac:dyDescent="0.25">
      <c r="A770" s="289"/>
      <c r="F770" s="251"/>
      <c r="H770" s="251"/>
      <c r="I770" s="251"/>
      <c r="J770" s="289"/>
    </row>
    <row r="771" spans="1:10" ht="14.25" customHeight="1" x14ac:dyDescent="0.25">
      <c r="A771" s="289"/>
      <c r="F771" s="251"/>
      <c r="H771" s="251"/>
      <c r="I771" s="251"/>
      <c r="J771" s="289"/>
    </row>
    <row r="772" spans="1:10" ht="14.25" customHeight="1" x14ac:dyDescent="0.25">
      <c r="A772" s="289"/>
      <c r="F772" s="251"/>
      <c r="H772" s="251"/>
      <c r="I772" s="251"/>
      <c r="J772" s="289"/>
    </row>
    <row r="773" spans="1:10" ht="14.25" customHeight="1" x14ac:dyDescent="0.25">
      <c r="A773" s="289"/>
      <c r="F773" s="251"/>
      <c r="H773" s="251"/>
      <c r="I773" s="251"/>
      <c r="J773" s="289"/>
    </row>
    <row r="774" spans="1:10" ht="14.25" customHeight="1" x14ac:dyDescent="0.25">
      <c r="A774" s="289"/>
      <c r="F774" s="251"/>
      <c r="H774" s="251"/>
      <c r="I774" s="251"/>
      <c r="J774" s="289"/>
    </row>
    <row r="775" spans="1:10" ht="14.25" customHeight="1" x14ac:dyDescent="0.25">
      <c r="A775" s="289"/>
      <c r="F775" s="251"/>
      <c r="H775" s="251"/>
      <c r="I775" s="251"/>
      <c r="J775" s="289"/>
    </row>
    <row r="776" spans="1:10" ht="14.25" customHeight="1" x14ac:dyDescent="0.25">
      <c r="A776" s="289"/>
      <c r="F776" s="251"/>
      <c r="H776" s="251"/>
      <c r="I776" s="251"/>
      <c r="J776" s="289"/>
    </row>
    <row r="777" spans="1:10" ht="14.25" customHeight="1" x14ac:dyDescent="0.25">
      <c r="A777" s="289"/>
      <c r="F777" s="251"/>
      <c r="H777" s="251"/>
      <c r="I777" s="251"/>
      <c r="J777" s="289"/>
    </row>
    <row r="778" spans="1:10" ht="14.25" customHeight="1" x14ac:dyDescent="0.25">
      <c r="A778" s="289"/>
      <c r="F778" s="251"/>
      <c r="H778" s="251"/>
      <c r="I778" s="251"/>
      <c r="J778" s="289"/>
    </row>
    <row r="779" spans="1:10" ht="14.25" customHeight="1" x14ac:dyDescent="0.25">
      <c r="A779" s="289"/>
      <c r="F779" s="251"/>
      <c r="H779" s="251"/>
      <c r="I779" s="251"/>
      <c r="J779" s="289"/>
    </row>
    <row r="780" spans="1:10" ht="14.25" customHeight="1" x14ac:dyDescent="0.25">
      <c r="A780" s="289"/>
      <c r="F780" s="251"/>
      <c r="H780" s="251"/>
      <c r="I780" s="251"/>
      <c r="J780" s="289"/>
    </row>
    <row r="781" spans="1:10" ht="14.25" customHeight="1" x14ac:dyDescent="0.25">
      <c r="A781" s="289"/>
      <c r="F781" s="251"/>
      <c r="H781" s="251"/>
      <c r="I781" s="251"/>
      <c r="J781" s="289"/>
    </row>
    <row r="782" spans="1:10" ht="14.25" customHeight="1" x14ac:dyDescent="0.25">
      <c r="A782" s="289"/>
      <c r="F782" s="251"/>
      <c r="H782" s="251"/>
      <c r="I782" s="251"/>
      <c r="J782" s="289"/>
    </row>
    <row r="783" spans="1:10" ht="14.25" customHeight="1" x14ac:dyDescent="0.25">
      <c r="A783" s="289"/>
      <c r="F783" s="251"/>
      <c r="H783" s="251"/>
      <c r="I783" s="251"/>
      <c r="J783" s="289"/>
    </row>
    <row r="784" spans="1:10" ht="14.25" customHeight="1" x14ac:dyDescent="0.25">
      <c r="A784" s="289"/>
      <c r="F784" s="251"/>
      <c r="H784" s="251"/>
      <c r="I784" s="251"/>
      <c r="J784" s="289"/>
    </row>
    <row r="785" spans="1:10" ht="14.25" customHeight="1" x14ac:dyDescent="0.25">
      <c r="A785" s="289"/>
      <c r="F785" s="251"/>
      <c r="H785" s="251"/>
      <c r="I785" s="251"/>
      <c r="J785" s="289"/>
    </row>
    <row r="786" spans="1:10" ht="14.25" customHeight="1" x14ac:dyDescent="0.25">
      <c r="A786" s="289"/>
      <c r="F786" s="251"/>
      <c r="H786" s="251"/>
      <c r="I786" s="251"/>
      <c r="J786" s="289"/>
    </row>
    <row r="787" spans="1:10" ht="14.25" customHeight="1" x14ac:dyDescent="0.25">
      <c r="A787" s="289"/>
      <c r="F787" s="251"/>
      <c r="H787" s="251"/>
      <c r="I787" s="251"/>
      <c r="J787" s="289"/>
    </row>
    <row r="788" spans="1:10" ht="14.25" customHeight="1" x14ac:dyDescent="0.25">
      <c r="A788" s="289"/>
      <c r="F788" s="251"/>
      <c r="H788" s="251"/>
      <c r="I788" s="251"/>
      <c r="J788" s="289"/>
    </row>
    <row r="789" spans="1:10" ht="14.25" customHeight="1" x14ac:dyDescent="0.25">
      <c r="A789" s="289"/>
      <c r="F789" s="251"/>
      <c r="H789" s="251"/>
      <c r="I789" s="251"/>
      <c r="J789" s="289"/>
    </row>
    <row r="790" spans="1:10" ht="14.25" customHeight="1" x14ac:dyDescent="0.25">
      <c r="A790" s="289"/>
      <c r="F790" s="251"/>
      <c r="H790" s="251"/>
      <c r="I790" s="251"/>
      <c r="J790" s="289"/>
    </row>
    <row r="791" spans="1:10" ht="14.25" customHeight="1" x14ac:dyDescent="0.25">
      <c r="A791" s="289"/>
      <c r="F791" s="251"/>
      <c r="H791" s="251"/>
      <c r="I791" s="251"/>
      <c r="J791" s="289"/>
    </row>
    <row r="792" spans="1:10" ht="14.25" customHeight="1" x14ac:dyDescent="0.25">
      <c r="A792" s="289"/>
      <c r="F792" s="251"/>
      <c r="H792" s="251"/>
      <c r="I792" s="251"/>
      <c r="J792" s="289"/>
    </row>
    <row r="793" spans="1:10" ht="14.25" customHeight="1" x14ac:dyDescent="0.25">
      <c r="A793" s="289"/>
      <c r="F793" s="251"/>
      <c r="H793" s="251"/>
      <c r="I793" s="251"/>
      <c r="J793" s="289"/>
    </row>
    <row r="794" spans="1:10" ht="14.25" customHeight="1" x14ac:dyDescent="0.25">
      <c r="A794" s="289"/>
      <c r="F794" s="251"/>
      <c r="H794" s="251"/>
      <c r="I794" s="251"/>
      <c r="J794" s="289"/>
    </row>
    <row r="795" spans="1:10" ht="14.25" customHeight="1" x14ac:dyDescent="0.25">
      <c r="A795" s="289"/>
      <c r="F795" s="251"/>
      <c r="H795" s="251"/>
      <c r="I795" s="251"/>
      <c r="J795" s="289"/>
    </row>
    <row r="796" spans="1:10" ht="14.25" customHeight="1" x14ac:dyDescent="0.25">
      <c r="A796" s="289"/>
      <c r="F796" s="251"/>
      <c r="H796" s="251"/>
      <c r="I796" s="251"/>
      <c r="J796" s="289"/>
    </row>
    <row r="797" spans="1:10" ht="14.25" customHeight="1" x14ac:dyDescent="0.25">
      <c r="A797" s="289"/>
      <c r="F797" s="251"/>
      <c r="H797" s="251"/>
      <c r="I797" s="251"/>
      <c r="J797" s="289"/>
    </row>
    <row r="798" spans="1:10" ht="14.25" customHeight="1" x14ac:dyDescent="0.25">
      <c r="A798" s="289"/>
      <c r="F798" s="251"/>
      <c r="H798" s="251"/>
      <c r="I798" s="251"/>
      <c r="J798" s="289"/>
    </row>
    <row r="799" spans="1:10" ht="14.25" customHeight="1" x14ac:dyDescent="0.25">
      <c r="A799" s="289"/>
      <c r="F799" s="251"/>
      <c r="H799" s="251"/>
      <c r="I799" s="251"/>
      <c r="J799" s="289"/>
    </row>
    <row r="800" spans="1:10" ht="14.25" customHeight="1" x14ac:dyDescent="0.25">
      <c r="A800" s="289"/>
      <c r="F800" s="251"/>
      <c r="H800" s="251"/>
      <c r="I800" s="251"/>
      <c r="J800" s="289"/>
    </row>
    <row r="801" spans="1:10" ht="14.25" customHeight="1" x14ac:dyDescent="0.25">
      <c r="A801" s="289"/>
      <c r="F801" s="251"/>
      <c r="H801" s="251"/>
      <c r="I801" s="251"/>
      <c r="J801" s="289"/>
    </row>
    <row r="802" spans="1:10" ht="14.25" customHeight="1" x14ac:dyDescent="0.25">
      <c r="A802" s="289"/>
      <c r="F802" s="251"/>
      <c r="H802" s="251"/>
      <c r="I802" s="251"/>
      <c r="J802" s="289"/>
    </row>
    <row r="803" spans="1:10" ht="14.25" customHeight="1" x14ac:dyDescent="0.25">
      <c r="A803" s="289"/>
      <c r="F803" s="251"/>
      <c r="H803" s="251"/>
      <c r="I803" s="251"/>
      <c r="J803" s="289"/>
    </row>
    <row r="804" spans="1:10" ht="14.25" customHeight="1" x14ac:dyDescent="0.25">
      <c r="A804" s="289"/>
      <c r="F804" s="251"/>
      <c r="H804" s="251"/>
      <c r="I804" s="251"/>
      <c r="J804" s="289"/>
    </row>
    <row r="805" spans="1:10" ht="14.25" customHeight="1" x14ac:dyDescent="0.25">
      <c r="A805" s="289"/>
      <c r="F805" s="251"/>
      <c r="H805" s="251"/>
      <c r="I805" s="251"/>
      <c r="J805" s="289"/>
    </row>
    <row r="806" spans="1:10" ht="14.25" customHeight="1" x14ac:dyDescent="0.25">
      <c r="A806" s="289"/>
      <c r="F806" s="251"/>
      <c r="H806" s="251"/>
      <c r="I806" s="251"/>
      <c r="J806" s="289"/>
    </row>
    <row r="807" spans="1:10" ht="14.25" customHeight="1" x14ac:dyDescent="0.25">
      <c r="A807" s="289"/>
      <c r="F807" s="251"/>
      <c r="H807" s="251"/>
      <c r="I807" s="251"/>
      <c r="J807" s="289"/>
    </row>
    <row r="808" spans="1:10" ht="14.25" customHeight="1" x14ac:dyDescent="0.25">
      <c r="A808" s="289"/>
      <c r="F808" s="251"/>
      <c r="H808" s="251"/>
      <c r="I808" s="251"/>
      <c r="J808" s="289"/>
    </row>
    <row r="809" spans="1:10" ht="14.25" customHeight="1" x14ac:dyDescent="0.25">
      <c r="A809" s="289"/>
      <c r="F809" s="251"/>
      <c r="H809" s="251"/>
      <c r="I809" s="251"/>
      <c r="J809" s="289"/>
    </row>
    <row r="810" spans="1:10" ht="14.25" customHeight="1" x14ac:dyDescent="0.25">
      <c r="A810" s="289"/>
      <c r="F810" s="251"/>
      <c r="H810" s="251"/>
      <c r="I810" s="251"/>
      <c r="J810" s="289"/>
    </row>
    <row r="811" spans="1:10" ht="14.25" customHeight="1" x14ac:dyDescent="0.25">
      <c r="A811" s="289"/>
      <c r="F811" s="251"/>
      <c r="H811" s="251"/>
      <c r="I811" s="251"/>
      <c r="J811" s="289"/>
    </row>
    <row r="812" spans="1:10" ht="14.25" customHeight="1" x14ac:dyDescent="0.25">
      <c r="A812" s="289"/>
      <c r="F812" s="251"/>
      <c r="H812" s="251"/>
      <c r="I812" s="251"/>
      <c r="J812" s="289"/>
    </row>
    <row r="813" spans="1:10" ht="14.25" customHeight="1" x14ac:dyDescent="0.25">
      <c r="A813" s="289"/>
      <c r="F813" s="251"/>
      <c r="H813" s="251"/>
      <c r="I813" s="251"/>
      <c r="J813" s="289"/>
    </row>
    <row r="814" spans="1:10" ht="14.25" customHeight="1" x14ac:dyDescent="0.25">
      <c r="A814" s="289"/>
      <c r="F814" s="251"/>
      <c r="H814" s="251"/>
      <c r="I814" s="251"/>
      <c r="J814" s="289"/>
    </row>
    <row r="815" spans="1:10" ht="14.25" customHeight="1" x14ac:dyDescent="0.25">
      <c r="A815" s="289"/>
      <c r="F815" s="251"/>
      <c r="H815" s="251"/>
      <c r="I815" s="251"/>
      <c r="J815" s="289"/>
    </row>
    <row r="816" spans="1:10" ht="14.25" customHeight="1" x14ac:dyDescent="0.25">
      <c r="A816" s="289"/>
      <c r="F816" s="251"/>
      <c r="H816" s="251"/>
      <c r="I816" s="251"/>
      <c r="J816" s="289"/>
    </row>
    <row r="817" spans="1:10" ht="14.25" customHeight="1" x14ac:dyDescent="0.25">
      <c r="A817" s="289"/>
      <c r="F817" s="251"/>
      <c r="H817" s="251"/>
      <c r="I817" s="251"/>
      <c r="J817" s="289"/>
    </row>
    <row r="818" spans="1:10" ht="14.25" customHeight="1" x14ac:dyDescent="0.25">
      <c r="A818" s="289"/>
      <c r="F818" s="251"/>
      <c r="H818" s="251"/>
      <c r="I818" s="251"/>
      <c r="J818" s="289"/>
    </row>
    <row r="819" spans="1:10" ht="14.25" customHeight="1" x14ac:dyDescent="0.25">
      <c r="A819" s="289"/>
      <c r="F819" s="251"/>
      <c r="H819" s="251"/>
      <c r="I819" s="251"/>
      <c r="J819" s="289"/>
    </row>
    <row r="820" spans="1:10" ht="14.25" customHeight="1" x14ac:dyDescent="0.25">
      <c r="A820" s="289"/>
      <c r="F820" s="251"/>
      <c r="H820" s="251"/>
      <c r="I820" s="251"/>
      <c r="J820" s="289"/>
    </row>
    <row r="821" spans="1:10" ht="14.25" customHeight="1" x14ac:dyDescent="0.25">
      <c r="A821" s="289"/>
      <c r="F821" s="251"/>
      <c r="H821" s="251"/>
      <c r="I821" s="251"/>
      <c r="J821" s="289"/>
    </row>
    <row r="822" spans="1:10" ht="14.25" customHeight="1" x14ac:dyDescent="0.25">
      <c r="A822" s="289"/>
      <c r="F822" s="251"/>
      <c r="H822" s="251"/>
      <c r="I822" s="251"/>
      <c r="J822" s="289"/>
    </row>
    <row r="823" spans="1:10" ht="14.25" customHeight="1" x14ac:dyDescent="0.25">
      <c r="A823" s="289"/>
      <c r="F823" s="251"/>
      <c r="H823" s="251"/>
      <c r="I823" s="251"/>
      <c r="J823" s="289"/>
    </row>
    <row r="824" spans="1:10" ht="14.25" customHeight="1" x14ac:dyDescent="0.25">
      <c r="A824" s="289"/>
      <c r="F824" s="251"/>
      <c r="H824" s="251"/>
      <c r="I824" s="251"/>
      <c r="J824" s="289"/>
    </row>
    <row r="825" spans="1:10" ht="14.25" customHeight="1" x14ac:dyDescent="0.25">
      <c r="A825" s="289"/>
      <c r="F825" s="251"/>
      <c r="H825" s="251"/>
      <c r="I825" s="251"/>
      <c r="J825" s="289"/>
    </row>
    <row r="826" spans="1:10" ht="14.25" customHeight="1" x14ac:dyDescent="0.25">
      <c r="A826" s="289"/>
      <c r="F826" s="251"/>
      <c r="H826" s="251"/>
      <c r="I826" s="251"/>
      <c r="J826" s="289"/>
    </row>
    <row r="827" spans="1:10" ht="14.25" customHeight="1" x14ac:dyDescent="0.25">
      <c r="A827" s="289"/>
      <c r="F827" s="251"/>
      <c r="H827" s="251"/>
      <c r="I827" s="251"/>
      <c r="J827" s="289"/>
    </row>
    <row r="828" spans="1:10" ht="14.25" customHeight="1" x14ac:dyDescent="0.25">
      <c r="A828" s="289"/>
      <c r="F828" s="251"/>
      <c r="H828" s="251"/>
      <c r="I828" s="251"/>
      <c r="J828" s="289"/>
    </row>
    <row r="829" spans="1:10" ht="14.25" customHeight="1" x14ac:dyDescent="0.25">
      <c r="A829" s="289"/>
      <c r="F829" s="251"/>
      <c r="H829" s="251"/>
      <c r="I829" s="251"/>
      <c r="J829" s="289"/>
    </row>
    <row r="830" spans="1:10" ht="14.25" customHeight="1" x14ac:dyDescent="0.25">
      <c r="A830" s="289"/>
      <c r="F830" s="251"/>
      <c r="H830" s="251"/>
      <c r="I830" s="251"/>
      <c r="J830" s="289"/>
    </row>
    <row r="831" spans="1:10" ht="14.25" customHeight="1" x14ac:dyDescent="0.25">
      <c r="A831" s="289"/>
      <c r="F831" s="251"/>
      <c r="H831" s="251"/>
      <c r="I831" s="251"/>
      <c r="J831" s="289"/>
    </row>
    <row r="832" spans="1:10" ht="14.25" customHeight="1" x14ac:dyDescent="0.25">
      <c r="A832" s="289"/>
      <c r="F832" s="251"/>
      <c r="H832" s="251"/>
      <c r="I832" s="251"/>
      <c r="J832" s="289"/>
    </row>
    <row r="833" spans="1:10" ht="14.25" customHeight="1" x14ac:dyDescent="0.25">
      <c r="A833" s="289"/>
      <c r="F833" s="251"/>
      <c r="H833" s="251"/>
      <c r="I833" s="251"/>
      <c r="J833" s="289"/>
    </row>
    <row r="834" spans="1:10" ht="14.25" customHeight="1" x14ac:dyDescent="0.25">
      <c r="A834" s="289"/>
      <c r="F834" s="251"/>
      <c r="H834" s="251"/>
      <c r="I834" s="251"/>
      <c r="J834" s="289"/>
    </row>
    <row r="835" spans="1:10" ht="14.25" customHeight="1" x14ac:dyDescent="0.25">
      <c r="A835" s="289"/>
      <c r="F835" s="251"/>
      <c r="H835" s="251"/>
      <c r="I835" s="251"/>
      <c r="J835" s="289"/>
    </row>
    <row r="836" spans="1:10" ht="14.25" customHeight="1" x14ac:dyDescent="0.25">
      <c r="A836" s="289"/>
      <c r="F836" s="251"/>
      <c r="H836" s="251"/>
      <c r="I836" s="251"/>
      <c r="J836" s="289"/>
    </row>
    <row r="837" spans="1:10" ht="14.25" customHeight="1" x14ac:dyDescent="0.25">
      <c r="A837" s="289"/>
      <c r="F837" s="251"/>
      <c r="H837" s="251"/>
      <c r="I837" s="251"/>
      <c r="J837" s="289"/>
    </row>
    <row r="838" spans="1:10" ht="14.25" customHeight="1" x14ac:dyDescent="0.25">
      <c r="A838" s="289"/>
      <c r="F838" s="251"/>
      <c r="H838" s="251"/>
      <c r="I838" s="251"/>
      <c r="J838" s="289"/>
    </row>
    <row r="839" spans="1:10" ht="14.25" customHeight="1" x14ac:dyDescent="0.25">
      <c r="A839" s="289"/>
      <c r="F839" s="251"/>
      <c r="H839" s="251"/>
      <c r="I839" s="251"/>
      <c r="J839" s="289"/>
    </row>
    <row r="840" spans="1:10" ht="14.25" customHeight="1" x14ac:dyDescent="0.25">
      <c r="A840" s="289"/>
      <c r="F840" s="251"/>
      <c r="H840" s="251"/>
      <c r="I840" s="251"/>
      <c r="J840" s="289"/>
    </row>
    <row r="841" spans="1:10" ht="14.25" customHeight="1" x14ac:dyDescent="0.25">
      <c r="A841" s="289"/>
      <c r="F841" s="251"/>
      <c r="H841" s="251"/>
      <c r="I841" s="251"/>
      <c r="J841" s="289"/>
    </row>
    <row r="842" spans="1:10" ht="14.25" customHeight="1" x14ac:dyDescent="0.25">
      <c r="A842" s="289"/>
      <c r="F842" s="251"/>
      <c r="H842" s="251"/>
      <c r="I842" s="251"/>
      <c r="J842" s="289"/>
    </row>
    <row r="843" spans="1:10" ht="14.25" customHeight="1" x14ac:dyDescent="0.25">
      <c r="A843" s="289"/>
      <c r="F843" s="251"/>
      <c r="H843" s="251"/>
      <c r="I843" s="251"/>
      <c r="J843" s="289"/>
    </row>
    <row r="844" spans="1:10" ht="14.25" customHeight="1" x14ac:dyDescent="0.25">
      <c r="A844" s="289"/>
      <c r="F844" s="251"/>
      <c r="H844" s="251"/>
      <c r="I844" s="251"/>
      <c r="J844" s="289"/>
    </row>
    <row r="845" spans="1:10" ht="14.25" customHeight="1" x14ac:dyDescent="0.25">
      <c r="A845" s="289"/>
      <c r="F845" s="251"/>
      <c r="H845" s="251"/>
      <c r="I845" s="251"/>
      <c r="J845" s="289"/>
    </row>
    <row r="846" spans="1:10" ht="14.25" customHeight="1" x14ac:dyDescent="0.25">
      <c r="A846" s="289"/>
      <c r="F846" s="251"/>
      <c r="H846" s="251"/>
      <c r="I846" s="251"/>
      <c r="J846" s="289"/>
    </row>
    <row r="847" spans="1:10" ht="14.25" customHeight="1" x14ac:dyDescent="0.25">
      <c r="A847" s="289"/>
      <c r="F847" s="251"/>
      <c r="H847" s="251"/>
      <c r="I847" s="251"/>
      <c r="J847" s="289"/>
    </row>
    <row r="848" spans="1:10" ht="14.25" customHeight="1" x14ac:dyDescent="0.25">
      <c r="A848" s="289"/>
      <c r="F848" s="251"/>
      <c r="H848" s="251"/>
      <c r="I848" s="251"/>
      <c r="J848" s="289"/>
    </row>
    <row r="849" spans="1:10" ht="14.25" customHeight="1" x14ac:dyDescent="0.25">
      <c r="A849" s="289"/>
      <c r="F849" s="251"/>
      <c r="H849" s="251"/>
      <c r="I849" s="251"/>
      <c r="J849" s="289"/>
    </row>
    <row r="850" spans="1:10" ht="14.25" customHeight="1" x14ac:dyDescent="0.25">
      <c r="A850" s="289"/>
      <c r="F850" s="251"/>
      <c r="H850" s="251"/>
      <c r="I850" s="251"/>
      <c r="J850" s="289"/>
    </row>
    <row r="851" spans="1:10" ht="14.25" customHeight="1" x14ac:dyDescent="0.25">
      <c r="A851" s="289"/>
      <c r="F851" s="251"/>
      <c r="H851" s="251"/>
      <c r="I851" s="251"/>
      <c r="J851" s="289"/>
    </row>
    <row r="852" spans="1:10" ht="14.25" customHeight="1" x14ac:dyDescent="0.25">
      <c r="A852" s="289"/>
      <c r="F852" s="251"/>
      <c r="H852" s="251"/>
      <c r="I852" s="251"/>
      <c r="J852" s="289"/>
    </row>
    <row r="853" spans="1:10" ht="14.25" customHeight="1" x14ac:dyDescent="0.25">
      <c r="A853" s="289"/>
      <c r="F853" s="251"/>
      <c r="H853" s="251"/>
      <c r="I853" s="251"/>
      <c r="J853" s="289"/>
    </row>
    <row r="854" spans="1:10" ht="14.25" customHeight="1" x14ac:dyDescent="0.25">
      <c r="A854" s="289"/>
      <c r="F854" s="251"/>
      <c r="H854" s="251"/>
      <c r="I854" s="251"/>
      <c r="J854" s="289"/>
    </row>
    <row r="855" spans="1:10" ht="14.25" customHeight="1" x14ac:dyDescent="0.25">
      <c r="A855" s="289"/>
      <c r="F855" s="251"/>
      <c r="H855" s="251"/>
      <c r="I855" s="251"/>
      <c r="J855" s="289"/>
    </row>
    <row r="856" spans="1:10" ht="14.25" customHeight="1" x14ac:dyDescent="0.25">
      <c r="A856" s="289"/>
      <c r="F856" s="251"/>
      <c r="H856" s="251"/>
      <c r="I856" s="251"/>
      <c r="J856" s="289"/>
    </row>
    <row r="857" spans="1:10" ht="14.25" customHeight="1" x14ac:dyDescent="0.25">
      <c r="A857" s="289"/>
      <c r="F857" s="251"/>
      <c r="H857" s="251"/>
      <c r="I857" s="251"/>
      <c r="J857" s="289"/>
    </row>
    <row r="858" spans="1:10" ht="14.25" customHeight="1" x14ac:dyDescent="0.25">
      <c r="A858" s="289"/>
      <c r="F858" s="251"/>
      <c r="H858" s="251"/>
      <c r="I858" s="251"/>
      <c r="J858" s="289"/>
    </row>
    <row r="859" spans="1:10" ht="14.25" customHeight="1" x14ac:dyDescent="0.25">
      <c r="A859" s="289"/>
      <c r="F859" s="251"/>
      <c r="H859" s="251"/>
      <c r="I859" s="251"/>
      <c r="J859" s="289"/>
    </row>
    <row r="860" spans="1:10" ht="14.25" customHeight="1" x14ac:dyDescent="0.25">
      <c r="A860" s="289"/>
      <c r="F860" s="251"/>
      <c r="H860" s="251"/>
      <c r="I860" s="251"/>
      <c r="J860" s="289"/>
    </row>
    <row r="861" spans="1:10" ht="14.25" customHeight="1" x14ac:dyDescent="0.25">
      <c r="A861" s="289"/>
      <c r="F861" s="251"/>
      <c r="H861" s="251"/>
      <c r="I861" s="251"/>
      <c r="J861" s="289"/>
    </row>
    <row r="862" spans="1:10" ht="14.25" customHeight="1" x14ac:dyDescent="0.25">
      <c r="A862" s="289"/>
      <c r="F862" s="251"/>
      <c r="H862" s="251"/>
      <c r="I862" s="251"/>
      <c r="J862" s="289"/>
    </row>
    <row r="863" spans="1:10" ht="14.25" customHeight="1" x14ac:dyDescent="0.25">
      <c r="A863" s="289"/>
      <c r="F863" s="251"/>
      <c r="H863" s="251"/>
      <c r="I863" s="251"/>
      <c r="J863" s="289"/>
    </row>
    <row r="864" spans="1:10" ht="14.25" customHeight="1" x14ac:dyDescent="0.25">
      <c r="A864" s="289"/>
      <c r="F864" s="251"/>
      <c r="H864" s="251"/>
      <c r="I864" s="251"/>
      <c r="J864" s="289"/>
    </row>
    <row r="865" spans="1:10" ht="14.25" customHeight="1" x14ac:dyDescent="0.25">
      <c r="A865" s="289"/>
      <c r="F865" s="251"/>
      <c r="H865" s="251"/>
      <c r="I865" s="251"/>
      <c r="J865" s="289"/>
    </row>
    <row r="866" spans="1:10" ht="14.25" customHeight="1" x14ac:dyDescent="0.25">
      <c r="A866" s="289"/>
      <c r="F866" s="251"/>
      <c r="H866" s="251"/>
      <c r="I866" s="251"/>
      <c r="J866" s="289"/>
    </row>
    <row r="867" spans="1:10" ht="14.25" customHeight="1" x14ac:dyDescent="0.25">
      <c r="A867" s="289"/>
      <c r="F867" s="251"/>
      <c r="H867" s="251"/>
      <c r="I867" s="251"/>
      <c r="J867" s="289"/>
    </row>
    <row r="868" spans="1:10" ht="14.25" customHeight="1" x14ac:dyDescent="0.25">
      <c r="A868" s="289"/>
      <c r="F868" s="251"/>
      <c r="H868" s="251"/>
      <c r="I868" s="251"/>
      <c r="J868" s="289"/>
    </row>
    <row r="869" spans="1:10" ht="14.25" customHeight="1" x14ac:dyDescent="0.25">
      <c r="A869" s="289"/>
      <c r="F869" s="251"/>
      <c r="H869" s="251"/>
      <c r="I869" s="251"/>
      <c r="J869" s="289"/>
    </row>
    <row r="870" spans="1:10" ht="14.25" customHeight="1" x14ac:dyDescent="0.25">
      <c r="A870" s="289"/>
      <c r="F870" s="251"/>
      <c r="H870" s="251"/>
      <c r="I870" s="251"/>
      <c r="J870" s="289"/>
    </row>
    <row r="871" spans="1:10" ht="14.25" customHeight="1" x14ac:dyDescent="0.25">
      <c r="A871" s="289"/>
      <c r="F871" s="251"/>
      <c r="H871" s="251"/>
      <c r="I871" s="251"/>
      <c r="J871" s="289"/>
    </row>
    <row r="872" spans="1:10" ht="14.25" customHeight="1" x14ac:dyDescent="0.25">
      <c r="A872" s="289"/>
      <c r="F872" s="251"/>
      <c r="H872" s="251"/>
      <c r="I872" s="251"/>
      <c r="J872" s="289"/>
    </row>
    <row r="873" spans="1:10" ht="14.25" customHeight="1" x14ac:dyDescent="0.25">
      <c r="A873" s="289"/>
      <c r="F873" s="251"/>
      <c r="H873" s="251"/>
      <c r="I873" s="251"/>
      <c r="J873" s="289"/>
    </row>
    <row r="874" spans="1:10" ht="14.25" customHeight="1" x14ac:dyDescent="0.25">
      <c r="A874" s="289"/>
      <c r="F874" s="251"/>
      <c r="H874" s="251"/>
      <c r="I874" s="251"/>
      <c r="J874" s="289"/>
    </row>
    <row r="875" spans="1:10" ht="14.25" customHeight="1" x14ac:dyDescent="0.25">
      <c r="A875" s="289"/>
      <c r="F875" s="251"/>
      <c r="H875" s="251"/>
      <c r="I875" s="251"/>
      <c r="J875" s="289"/>
    </row>
    <row r="876" spans="1:10" ht="14.25" customHeight="1" x14ac:dyDescent="0.25">
      <c r="A876" s="289"/>
      <c r="F876" s="251"/>
      <c r="H876" s="251"/>
      <c r="I876" s="251"/>
      <c r="J876" s="289"/>
    </row>
    <row r="877" spans="1:10" ht="14.25" customHeight="1" x14ac:dyDescent="0.25">
      <c r="A877" s="289"/>
      <c r="F877" s="251"/>
      <c r="H877" s="251"/>
      <c r="I877" s="251"/>
      <c r="J877" s="289"/>
    </row>
    <row r="878" spans="1:10" ht="14.25" customHeight="1" x14ac:dyDescent="0.25">
      <c r="A878" s="289"/>
      <c r="F878" s="251"/>
      <c r="H878" s="251"/>
      <c r="I878" s="251"/>
      <c r="J878" s="289"/>
    </row>
    <row r="879" spans="1:10" ht="14.25" customHeight="1" x14ac:dyDescent="0.25">
      <c r="A879" s="289"/>
      <c r="F879" s="251"/>
      <c r="H879" s="251"/>
      <c r="I879" s="251"/>
      <c r="J879" s="289"/>
    </row>
    <row r="880" spans="1:10" ht="14.25" customHeight="1" x14ac:dyDescent="0.25">
      <c r="A880" s="289"/>
      <c r="F880" s="251"/>
      <c r="H880" s="251"/>
      <c r="I880" s="251"/>
      <c r="J880" s="289"/>
    </row>
    <row r="881" spans="1:10" ht="14.25" customHeight="1" x14ac:dyDescent="0.25">
      <c r="A881" s="289"/>
      <c r="F881" s="251"/>
      <c r="H881" s="251"/>
      <c r="I881" s="251"/>
      <c r="J881" s="289"/>
    </row>
    <row r="882" spans="1:10" ht="14.25" customHeight="1" x14ac:dyDescent="0.25">
      <c r="A882" s="289"/>
      <c r="F882" s="251"/>
      <c r="H882" s="251"/>
      <c r="I882" s="251"/>
      <c r="J882" s="289"/>
    </row>
    <row r="883" spans="1:10" ht="14.25" customHeight="1" x14ac:dyDescent="0.25">
      <c r="A883" s="289"/>
      <c r="F883" s="251"/>
      <c r="H883" s="251"/>
      <c r="I883" s="251"/>
      <c r="J883" s="289"/>
    </row>
    <row r="884" spans="1:10" ht="14.25" customHeight="1" x14ac:dyDescent="0.25">
      <c r="A884" s="289"/>
      <c r="F884" s="251"/>
      <c r="H884" s="251"/>
      <c r="I884" s="251"/>
      <c r="J884" s="289"/>
    </row>
    <row r="885" spans="1:10" ht="14.25" customHeight="1" x14ac:dyDescent="0.25">
      <c r="A885" s="289"/>
      <c r="F885" s="251"/>
      <c r="H885" s="251"/>
      <c r="I885" s="251"/>
      <c r="J885" s="289"/>
    </row>
    <row r="886" spans="1:10" ht="14.25" customHeight="1" x14ac:dyDescent="0.25">
      <c r="A886" s="289"/>
      <c r="F886" s="251"/>
      <c r="H886" s="251"/>
      <c r="I886" s="251"/>
      <c r="J886" s="289"/>
    </row>
    <row r="887" spans="1:10" ht="14.25" customHeight="1" x14ac:dyDescent="0.25">
      <c r="A887" s="289"/>
      <c r="F887" s="251"/>
      <c r="H887" s="251"/>
      <c r="I887" s="251"/>
      <c r="J887" s="289"/>
    </row>
    <row r="888" spans="1:10" ht="14.25" customHeight="1" x14ac:dyDescent="0.25">
      <c r="A888" s="289"/>
      <c r="F888" s="251"/>
      <c r="H888" s="251"/>
      <c r="I888" s="251"/>
      <c r="J888" s="289"/>
    </row>
    <row r="889" spans="1:10" ht="14.25" customHeight="1" x14ac:dyDescent="0.25">
      <c r="A889" s="289"/>
      <c r="F889" s="251"/>
      <c r="H889" s="251"/>
      <c r="I889" s="251"/>
      <c r="J889" s="289"/>
    </row>
    <row r="890" spans="1:10" ht="14.25" customHeight="1" x14ac:dyDescent="0.25">
      <c r="A890" s="289"/>
      <c r="F890" s="251"/>
      <c r="H890" s="251"/>
      <c r="I890" s="251"/>
      <c r="J890" s="289"/>
    </row>
    <row r="891" spans="1:10" ht="14.25" customHeight="1" x14ac:dyDescent="0.25">
      <c r="A891" s="289"/>
      <c r="F891" s="251"/>
      <c r="H891" s="251"/>
      <c r="I891" s="251"/>
      <c r="J891" s="289"/>
    </row>
    <row r="892" spans="1:10" ht="14.25" customHeight="1" x14ac:dyDescent="0.25">
      <c r="A892" s="289"/>
      <c r="F892" s="251"/>
      <c r="H892" s="251"/>
      <c r="I892" s="251"/>
      <c r="J892" s="289"/>
    </row>
    <row r="893" spans="1:10" ht="14.25" customHeight="1" x14ac:dyDescent="0.25">
      <c r="A893" s="289"/>
      <c r="F893" s="251"/>
      <c r="H893" s="251"/>
      <c r="I893" s="251"/>
      <c r="J893" s="289"/>
    </row>
    <row r="894" spans="1:10" ht="14.25" customHeight="1" x14ac:dyDescent="0.25">
      <c r="A894" s="289"/>
      <c r="F894" s="251"/>
      <c r="H894" s="251"/>
      <c r="I894" s="251"/>
      <c r="J894" s="289"/>
    </row>
    <row r="895" spans="1:10" ht="14.25" customHeight="1" x14ac:dyDescent="0.25">
      <c r="A895" s="289"/>
      <c r="F895" s="251"/>
      <c r="H895" s="251"/>
      <c r="I895" s="251"/>
      <c r="J895" s="289"/>
    </row>
    <row r="896" spans="1:10" ht="14.25" customHeight="1" x14ac:dyDescent="0.25">
      <c r="A896" s="289"/>
      <c r="F896" s="251"/>
      <c r="H896" s="251"/>
      <c r="I896" s="251"/>
      <c r="J896" s="289"/>
    </row>
    <row r="897" spans="1:10" ht="14.25" customHeight="1" x14ac:dyDescent="0.25">
      <c r="A897" s="289"/>
      <c r="F897" s="251"/>
      <c r="H897" s="251"/>
      <c r="I897" s="251"/>
      <c r="J897" s="289"/>
    </row>
    <row r="898" spans="1:10" ht="14.25" customHeight="1" x14ac:dyDescent="0.25">
      <c r="A898" s="289"/>
      <c r="F898" s="251"/>
      <c r="H898" s="251"/>
      <c r="I898" s="251"/>
      <c r="J898" s="289"/>
    </row>
    <row r="899" spans="1:10" ht="14.25" customHeight="1" x14ac:dyDescent="0.25">
      <c r="A899" s="289"/>
      <c r="F899" s="251"/>
      <c r="H899" s="251"/>
      <c r="I899" s="251"/>
      <c r="J899" s="289"/>
    </row>
    <row r="900" spans="1:10" ht="14.25" customHeight="1" x14ac:dyDescent="0.25">
      <c r="A900" s="289"/>
      <c r="F900" s="251"/>
      <c r="H900" s="251"/>
      <c r="I900" s="251"/>
      <c r="J900" s="289"/>
    </row>
    <row r="901" spans="1:10" ht="14.25" customHeight="1" x14ac:dyDescent="0.25">
      <c r="A901" s="289"/>
      <c r="F901" s="251"/>
      <c r="H901" s="251"/>
      <c r="I901" s="251"/>
      <c r="J901" s="289"/>
    </row>
    <row r="902" spans="1:10" ht="14.25" customHeight="1" x14ac:dyDescent="0.25">
      <c r="A902" s="289"/>
      <c r="F902" s="251"/>
      <c r="H902" s="251"/>
      <c r="I902" s="251"/>
      <c r="J902" s="289"/>
    </row>
    <row r="903" spans="1:10" ht="14.25" customHeight="1" x14ac:dyDescent="0.25">
      <c r="A903" s="289"/>
      <c r="F903" s="251"/>
      <c r="H903" s="251"/>
      <c r="I903" s="251"/>
      <c r="J903" s="289"/>
    </row>
    <row r="904" spans="1:10" ht="14.25" customHeight="1" x14ac:dyDescent="0.25">
      <c r="A904" s="289"/>
      <c r="F904" s="251"/>
      <c r="H904" s="251"/>
      <c r="I904" s="251"/>
      <c r="J904" s="289"/>
    </row>
    <row r="905" spans="1:10" ht="14.25" customHeight="1" x14ac:dyDescent="0.25">
      <c r="A905" s="289"/>
      <c r="F905" s="251"/>
      <c r="H905" s="251"/>
      <c r="I905" s="251"/>
      <c r="J905" s="289"/>
    </row>
    <row r="906" spans="1:10" ht="14.25" customHeight="1" x14ac:dyDescent="0.25">
      <c r="A906" s="289"/>
      <c r="F906" s="251"/>
      <c r="H906" s="251"/>
      <c r="I906" s="251"/>
      <c r="J906" s="289"/>
    </row>
    <row r="907" spans="1:10" ht="14.25" customHeight="1" x14ac:dyDescent="0.25">
      <c r="A907" s="289"/>
      <c r="F907" s="251"/>
      <c r="H907" s="251"/>
      <c r="I907" s="251"/>
      <c r="J907" s="289"/>
    </row>
    <row r="908" spans="1:10" ht="14.25" customHeight="1" x14ac:dyDescent="0.25">
      <c r="A908" s="289"/>
      <c r="F908" s="251"/>
      <c r="H908" s="251"/>
      <c r="I908" s="251"/>
      <c r="J908" s="289"/>
    </row>
    <row r="909" spans="1:10" ht="14.25" customHeight="1" x14ac:dyDescent="0.25">
      <c r="A909" s="289"/>
      <c r="F909" s="251"/>
      <c r="H909" s="251"/>
      <c r="I909" s="251"/>
      <c r="J909" s="289"/>
    </row>
    <row r="910" spans="1:10" ht="14.25" customHeight="1" x14ac:dyDescent="0.25">
      <c r="A910" s="289"/>
      <c r="F910" s="251"/>
      <c r="H910" s="251"/>
      <c r="I910" s="251"/>
      <c r="J910" s="289"/>
    </row>
    <row r="911" spans="1:10" ht="14.25" customHeight="1" x14ac:dyDescent="0.25">
      <c r="A911" s="289"/>
      <c r="F911" s="251"/>
      <c r="H911" s="251"/>
      <c r="I911" s="251"/>
      <c r="J911" s="289"/>
    </row>
    <row r="912" spans="1:10" ht="14.25" customHeight="1" x14ac:dyDescent="0.25">
      <c r="A912" s="289"/>
      <c r="F912" s="251"/>
      <c r="H912" s="251"/>
      <c r="I912" s="251"/>
      <c r="J912" s="289"/>
    </row>
    <row r="913" spans="1:10" ht="14.25" customHeight="1" x14ac:dyDescent="0.25">
      <c r="A913" s="289"/>
      <c r="F913" s="251"/>
      <c r="H913" s="251"/>
      <c r="I913" s="251"/>
      <c r="J913" s="289"/>
    </row>
    <row r="914" spans="1:10" ht="14.25" customHeight="1" x14ac:dyDescent="0.25">
      <c r="A914" s="289"/>
      <c r="F914" s="251"/>
      <c r="H914" s="251"/>
      <c r="I914" s="251"/>
      <c r="J914" s="289"/>
    </row>
    <row r="915" spans="1:10" ht="14.25" customHeight="1" x14ac:dyDescent="0.25">
      <c r="A915" s="289"/>
      <c r="F915" s="251"/>
      <c r="H915" s="251"/>
      <c r="I915" s="251"/>
      <c r="J915" s="289"/>
    </row>
    <row r="916" spans="1:10" ht="14.25" customHeight="1" x14ac:dyDescent="0.25">
      <c r="A916" s="289"/>
      <c r="F916" s="251"/>
      <c r="H916" s="251"/>
      <c r="I916" s="251"/>
      <c r="J916" s="289"/>
    </row>
    <row r="917" spans="1:10" ht="14.25" customHeight="1" x14ac:dyDescent="0.25">
      <c r="A917" s="289"/>
      <c r="F917" s="251"/>
      <c r="H917" s="251"/>
      <c r="I917" s="251"/>
      <c r="J917" s="289"/>
    </row>
    <row r="918" spans="1:10" ht="14.25" customHeight="1" x14ac:dyDescent="0.25">
      <c r="A918" s="289"/>
      <c r="F918" s="251"/>
      <c r="H918" s="251"/>
      <c r="I918" s="251"/>
      <c r="J918" s="289"/>
    </row>
    <row r="919" spans="1:10" ht="14.25" customHeight="1" x14ac:dyDescent="0.25">
      <c r="A919" s="289"/>
      <c r="F919" s="251"/>
      <c r="H919" s="251"/>
      <c r="I919" s="251"/>
      <c r="J919" s="289"/>
    </row>
    <row r="920" spans="1:10" ht="14.25" customHeight="1" x14ac:dyDescent="0.25">
      <c r="A920" s="289"/>
      <c r="F920" s="251"/>
      <c r="H920" s="251"/>
      <c r="I920" s="251"/>
      <c r="J920" s="289"/>
    </row>
    <row r="921" spans="1:10" ht="14.25" customHeight="1" x14ac:dyDescent="0.25">
      <c r="A921" s="289"/>
      <c r="F921" s="251"/>
      <c r="H921" s="251"/>
      <c r="I921" s="251"/>
      <c r="J921" s="289"/>
    </row>
    <row r="922" spans="1:10" ht="14.25" customHeight="1" x14ac:dyDescent="0.25">
      <c r="A922" s="289"/>
      <c r="F922" s="251"/>
      <c r="H922" s="251"/>
      <c r="I922" s="251"/>
      <c r="J922" s="289"/>
    </row>
    <row r="923" spans="1:10" ht="14.25" customHeight="1" x14ac:dyDescent="0.25">
      <c r="A923" s="289"/>
      <c r="F923" s="251"/>
      <c r="H923" s="251"/>
      <c r="I923" s="251"/>
      <c r="J923" s="289"/>
    </row>
    <row r="924" spans="1:10" ht="14.25" customHeight="1" x14ac:dyDescent="0.25">
      <c r="A924" s="289"/>
      <c r="F924" s="251"/>
      <c r="H924" s="251"/>
      <c r="I924" s="251"/>
      <c r="J924" s="289"/>
    </row>
    <row r="925" spans="1:10" ht="14.25" customHeight="1" x14ac:dyDescent="0.25">
      <c r="A925" s="289"/>
      <c r="F925" s="251"/>
      <c r="H925" s="251"/>
      <c r="I925" s="251"/>
      <c r="J925" s="289"/>
    </row>
    <row r="926" spans="1:10" ht="14.25" customHeight="1" x14ac:dyDescent="0.25">
      <c r="A926" s="289"/>
      <c r="F926" s="251"/>
      <c r="H926" s="251"/>
      <c r="I926" s="251"/>
      <c r="J926" s="289"/>
    </row>
    <row r="927" spans="1:10" ht="14.25" customHeight="1" x14ac:dyDescent="0.25">
      <c r="A927" s="289"/>
      <c r="F927" s="251"/>
      <c r="H927" s="251"/>
      <c r="I927" s="251"/>
      <c r="J927" s="289"/>
    </row>
    <row r="928" spans="1:10" ht="14.25" customHeight="1" x14ac:dyDescent="0.25">
      <c r="A928" s="289"/>
      <c r="F928" s="251"/>
      <c r="H928" s="251"/>
      <c r="I928" s="251"/>
      <c r="J928" s="289"/>
    </row>
    <row r="929" spans="1:10" ht="14.25" customHeight="1" x14ac:dyDescent="0.25">
      <c r="A929" s="289"/>
      <c r="F929" s="251"/>
      <c r="H929" s="251"/>
      <c r="I929" s="251"/>
      <c r="J929" s="289"/>
    </row>
    <row r="930" spans="1:10" ht="14.25" customHeight="1" x14ac:dyDescent="0.25">
      <c r="A930" s="289"/>
      <c r="F930" s="251"/>
      <c r="H930" s="251"/>
      <c r="I930" s="251"/>
      <c r="J930" s="289"/>
    </row>
    <row r="931" spans="1:10" ht="14.25" customHeight="1" x14ac:dyDescent="0.25">
      <c r="A931" s="289"/>
      <c r="F931" s="251"/>
      <c r="H931" s="251"/>
      <c r="I931" s="251"/>
      <c r="J931" s="289"/>
    </row>
    <row r="932" spans="1:10" ht="14.25" customHeight="1" x14ac:dyDescent="0.25">
      <c r="A932" s="289"/>
      <c r="F932" s="251"/>
      <c r="H932" s="251"/>
      <c r="I932" s="251"/>
      <c r="J932" s="289"/>
    </row>
    <row r="933" spans="1:10" ht="14.25" customHeight="1" x14ac:dyDescent="0.25">
      <c r="A933" s="289"/>
      <c r="F933" s="251"/>
      <c r="H933" s="251"/>
      <c r="I933" s="251"/>
      <c r="J933" s="289"/>
    </row>
    <row r="934" spans="1:10" ht="14.25" customHeight="1" x14ac:dyDescent="0.25">
      <c r="A934" s="289"/>
      <c r="F934" s="251"/>
      <c r="H934" s="251"/>
      <c r="I934" s="251"/>
      <c r="J934" s="289"/>
    </row>
    <row r="935" spans="1:10" ht="14.25" customHeight="1" x14ac:dyDescent="0.25">
      <c r="A935" s="289"/>
      <c r="F935" s="251"/>
      <c r="H935" s="251"/>
      <c r="I935" s="251"/>
      <c r="J935" s="289"/>
    </row>
    <row r="936" spans="1:10" ht="14.25" customHeight="1" x14ac:dyDescent="0.25">
      <c r="A936" s="289"/>
      <c r="F936" s="251"/>
      <c r="H936" s="251"/>
      <c r="I936" s="251"/>
      <c r="J936" s="289"/>
    </row>
    <row r="937" spans="1:10" ht="14.25" customHeight="1" x14ac:dyDescent="0.25">
      <c r="A937" s="289"/>
      <c r="F937" s="251"/>
      <c r="H937" s="251"/>
      <c r="I937" s="251"/>
      <c r="J937" s="289"/>
    </row>
    <row r="938" spans="1:10" ht="14.25" customHeight="1" x14ac:dyDescent="0.25">
      <c r="A938" s="289"/>
      <c r="F938" s="251"/>
      <c r="H938" s="251"/>
      <c r="I938" s="251"/>
      <c r="J938" s="289"/>
    </row>
    <row r="939" spans="1:10" ht="14.25" customHeight="1" x14ac:dyDescent="0.25">
      <c r="A939" s="289"/>
      <c r="F939" s="251"/>
      <c r="H939" s="251"/>
      <c r="I939" s="251"/>
      <c r="J939" s="289"/>
    </row>
    <row r="940" spans="1:10" ht="14.25" customHeight="1" x14ac:dyDescent="0.25">
      <c r="A940" s="289"/>
      <c r="F940" s="251"/>
      <c r="H940" s="251"/>
      <c r="I940" s="251"/>
      <c r="J940" s="289"/>
    </row>
    <row r="941" spans="1:10" ht="14.25" customHeight="1" x14ac:dyDescent="0.25">
      <c r="A941" s="289"/>
      <c r="F941" s="251"/>
      <c r="H941" s="251"/>
      <c r="I941" s="251"/>
      <c r="J941" s="289"/>
    </row>
    <row r="942" spans="1:10" ht="14.25" customHeight="1" x14ac:dyDescent="0.25">
      <c r="A942" s="289"/>
      <c r="F942" s="251"/>
      <c r="H942" s="251"/>
      <c r="I942" s="251"/>
      <c r="J942" s="289"/>
    </row>
    <row r="943" spans="1:10" ht="14.25" customHeight="1" x14ac:dyDescent="0.25">
      <c r="A943" s="289"/>
      <c r="F943" s="251"/>
      <c r="H943" s="251"/>
      <c r="I943" s="251"/>
      <c r="J943" s="289"/>
    </row>
    <row r="944" spans="1:10" ht="14.25" customHeight="1" x14ac:dyDescent="0.25">
      <c r="A944" s="289"/>
      <c r="F944" s="251"/>
      <c r="H944" s="251"/>
      <c r="I944" s="251"/>
      <c r="J944" s="289"/>
    </row>
    <row r="945" spans="1:10" ht="14.25" customHeight="1" x14ac:dyDescent="0.25">
      <c r="A945" s="289"/>
      <c r="F945" s="251"/>
      <c r="H945" s="251"/>
      <c r="I945" s="251"/>
      <c r="J945" s="289"/>
    </row>
    <row r="946" spans="1:10" ht="14.25" customHeight="1" x14ac:dyDescent="0.25">
      <c r="A946" s="289"/>
      <c r="F946" s="251"/>
      <c r="H946" s="251"/>
      <c r="I946" s="251"/>
      <c r="J946" s="289"/>
    </row>
    <row r="947" spans="1:10" ht="14.25" customHeight="1" x14ac:dyDescent="0.25">
      <c r="A947" s="289"/>
      <c r="F947" s="251"/>
      <c r="H947" s="251"/>
      <c r="I947" s="251"/>
      <c r="J947" s="289"/>
    </row>
    <row r="948" spans="1:10" ht="14.25" customHeight="1" x14ac:dyDescent="0.25">
      <c r="A948" s="289"/>
      <c r="F948" s="251"/>
      <c r="H948" s="251"/>
      <c r="I948" s="251"/>
      <c r="J948" s="289"/>
    </row>
    <row r="949" spans="1:10" ht="14.25" customHeight="1" x14ac:dyDescent="0.25">
      <c r="A949" s="289"/>
      <c r="F949" s="251"/>
      <c r="H949" s="251"/>
      <c r="I949" s="251"/>
      <c r="J949" s="289"/>
    </row>
    <row r="950" spans="1:10" ht="14.25" customHeight="1" x14ac:dyDescent="0.25">
      <c r="A950" s="289"/>
      <c r="F950" s="251"/>
      <c r="H950" s="251"/>
      <c r="I950" s="251"/>
      <c r="J950" s="289"/>
    </row>
    <row r="951" spans="1:10" ht="14.25" customHeight="1" x14ac:dyDescent="0.25">
      <c r="A951" s="289"/>
      <c r="F951" s="251"/>
      <c r="H951" s="251"/>
      <c r="I951" s="251"/>
      <c r="J951" s="289"/>
    </row>
    <row r="952" spans="1:10" ht="14.25" customHeight="1" x14ac:dyDescent="0.25">
      <c r="A952" s="289"/>
      <c r="F952" s="251"/>
      <c r="H952" s="251"/>
      <c r="I952" s="251"/>
      <c r="J952" s="289"/>
    </row>
    <row r="953" spans="1:10" ht="14.25" customHeight="1" x14ac:dyDescent="0.25">
      <c r="A953" s="289"/>
      <c r="F953" s="251"/>
      <c r="H953" s="251"/>
      <c r="I953" s="251"/>
      <c r="J953" s="289"/>
    </row>
    <row r="954" spans="1:10" ht="14.25" customHeight="1" x14ac:dyDescent="0.25">
      <c r="A954" s="289"/>
      <c r="F954" s="251"/>
      <c r="H954" s="251"/>
      <c r="I954" s="251"/>
      <c r="J954" s="289"/>
    </row>
    <row r="955" spans="1:10" ht="14.25" customHeight="1" x14ac:dyDescent="0.25">
      <c r="A955" s="289"/>
      <c r="F955" s="251"/>
      <c r="H955" s="251"/>
      <c r="I955" s="251"/>
      <c r="J955" s="289"/>
    </row>
    <row r="956" spans="1:10" ht="14.25" customHeight="1" x14ac:dyDescent="0.25">
      <c r="A956" s="289"/>
      <c r="F956" s="251"/>
      <c r="H956" s="251"/>
      <c r="I956" s="251"/>
      <c r="J956" s="289"/>
    </row>
    <row r="957" spans="1:10" ht="14.25" customHeight="1" x14ac:dyDescent="0.25">
      <c r="A957" s="289"/>
      <c r="F957" s="251"/>
      <c r="H957" s="251"/>
      <c r="I957" s="251"/>
      <c r="J957" s="289"/>
    </row>
    <row r="958" spans="1:10" ht="14.25" customHeight="1" x14ac:dyDescent="0.25">
      <c r="A958" s="289"/>
      <c r="F958" s="251"/>
      <c r="H958" s="251"/>
      <c r="I958" s="251"/>
      <c r="J958" s="289"/>
    </row>
    <row r="959" spans="1:10" ht="14.25" customHeight="1" x14ac:dyDescent="0.25">
      <c r="A959" s="289"/>
      <c r="F959" s="251"/>
      <c r="H959" s="251"/>
      <c r="I959" s="251"/>
      <c r="J959" s="289"/>
    </row>
    <row r="960" spans="1:10" ht="14.25" customHeight="1" x14ac:dyDescent="0.25">
      <c r="A960" s="289"/>
      <c r="F960" s="251"/>
      <c r="H960" s="251"/>
      <c r="I960" s="251"/>
      <c r="J960" s="289"/>
    </row>
    <row r="961" spans="1:10" ht="14.25" customHeight="1" x14ac:dyDescent="0.25">
      <c r="A961" s="289"/>
      <c r="F961" s="251"/>
      <c r="H961" s="251"/>
      <c r="I961" s="251"/>
      <c r="J961" s="289"/>
    </row>
    <row r="962" spans="1:10" ht="14.25" customHeight="1" x14ac:dyDescent="0.25">
      <c r="A962" s="289"/>
      <c r="F962" s="251"/>
      <c r="H962" s="251"/>
      <c r="I962" s="251"/>
      <c r="J962" s="289"/>
    </row>
    <row r="963" spans="1:10" ht="14.25" customHeight="1" x14ac:dyDescent="0.25">
      <c r="A963" s="289"/>
      <c r="F963" s="251"/>
      <c r="H963" s="251"/>
      <c r="I963" s="251"/>
      <c r="J963" s="289"/>
    </row>
    <row r="964" spans="1:10" ht="14.25" customHeight="1" x14ac:dyDescent="0.25">
      <c r="A964" s="289"/>
      <c r="F964" s="251"/>
      <c r="H964" s="251"/>
      <c r="I964" s="251"/>
      <c r="J964" s="289"/>
    </row>
    <row r="965" spans="1:10" ht="14.25" customHeight="1" x14ac:dyDescent="0.25">
      <c r="A965" s="289"/>
      <c r="F965" s="251"/>
      <c r="H965" s="251"/>
      <c r="I965" s="251"/>
      <c r="J965" s="289"/>
    </row>
    <row r="966" spans="1:10" ht="14.25" customHeight="1" x14ac:dyDescent="0.25">
      <c r="A966" s="289"/>
      <c r="F966" s="251"/>
      <c r="H966" s="251"/>
      <c r="I966" s="251"/>
      <c r="J966" s="289"/>
    </row>
    <row r="967" spans="1:10" ht="14.25" customHeight="1" x14ac:dyDescent="0.25">
      <c r="A967" s="289"/>
      <c r="F967" s="251"/>
      <c r="H967" s="251"/>
      <c r="I967" s="251"/>
      <c r="J967" s="289"/>
    </row>
    <row r="968" spans="1:10" ht="14.25" customHeight="1" x14ac:dyDescent="0.25">
      <c r="A968" s="289"/>
      <c r="F968" s="251"/>
      <c r="H968" s="251"/>
      <c r="I968" s="251"/>
      <c r="J968" s="289"/>
    </row>
    <row r="969" spans="1:10" ht="14.25" customHeight="1" x14ac:dyDescent="0.25">
      <c r="A969" s="289"/>
      <c r="F969" s="251"/>
      <c r="H969" s="251"/>
      <c r="I969" s="251"/>
      <c r="J969" s="289"/>
    </row>
    <row r="970" spans="1:10" ht="14.25" customHeight="1" x14ac:dyDescent="0.25">
      <c r="A970" s="289"/>
      <c r="F970" s="251"/>
      <c r="H970" s="251"/>
      <c r="I970" s="251"/>
      <c r="J970" s="289"/>
    </row>
    <row r="971" spans="1:10" ht="14.25" customHeight="1" x14ac:dyDescent="0.25">
      <c r="A971" s="289"/>
      <c r="F971" s="251"/>
      <c r="H971" s="251"/>
      <c r="I971" s="251"/>
      <c r="J971" s="289"/>
    </row>
    <row r="972" spans="1:10" ht="14.25" customHeight="1" x14ac:dyDescent="0.25">
      <c r="A972" s="289"/>
      <c r="F972" s="251"/>
      <c r="H972" s="251"/>
      <c r="I972" s="251"/>
      <c r="J972" s="289"/>
    </row>
    <row r="973" spans="1:10" ht="14.25" customHeight="1" x14ac:dyDescent="0.25">
      <c r="A973" s="289"/>
      <c r="F973" s="251"/>
      <c r="H973" s="251"/>
      <c r="I973" s="251"/>
      <c r="J973" s="289"/>
    </row>
    <row r="974" spans="1:10" ht="14.25" customHeight="1" x14ac:dyDescent="0.25">
      <c r="A974" s="289"/>
      <c r="F974" s="251"/>
      <c r="H974" s="251"/>
      <c r="I974" s="251"/>
      <c r="J974" s="289"/>
    </row>
    <row r="975" spans="1:10" ht="14.25" customHeight="1" x14ac:dyDescent="0.25">
      <c r="A975" s="289"/>
      <c r="F975" s="251"/>
      <c r="H975" s="251"/>
      <c r="I975" s="251"/>
      <c r="J975" s="289"/>
    </row>
    <row r="976" spans="1:10" ht="14.25" customHeight="1" x14ac:dyDescent="0.25">
      <c r="A976" s="289"/>
      <c r="F976" s="251"/>
      <c r="H976" s="251"/>
      <c r="I976" s="251"/>
      <c r="J976" s="289"/>
    </row>
    <row r="977" spans="1:10" ht="14.25" customHeight="1" x14ac:dyDescent="0.25">
      <c r="A977" s="289"/>
      <c r="F977" s="251"/>
      <c r="H977" s="251"/>
      <c r="I977" s="251"/>
      <c r="J977" s="289"/>
    </row>
    <row r="978" spans="1:10" ht="14.25" customHeight="1" x14ac:dyDescent="0.25">
      <c r="A978" s="289"/>
      <c r="F978" s="251"/>
      <c r="H978" s="251"/>
      <c r="I978" s="251"/>
      <c r="J978" s="289"/>
    </row>
    <row r="979" spans="1:10" ht="14.25" customHeight="1" x14ac:dyDescent="0.25">
      <c r="A979" s="289"/>
      <c r="F979" s="251"/>
      <c r="H979" s="251"/>
      <c r="I979" s="251"/>
      <c r="J979" s="289"/>
    </row>
    <row r="980" spans="1:10" ht="14.25" customHeight="1" x14ac:dyDescent="0.25">
      <c r="A980" s="289"/>
      <c r="F980" s="251"/>
      <c r="H980" s="251"/>
      <c r="I980" s="251"/>
      <c r="J980" s="289"/>
    </row>
    <row r="981" spans="1:10" ht="14.25" customHeight="1" x14ac:dyDescent="0.25">
      <c r="A981" s="289"/>
      <c r="F981" s="251"/>
      <c r="H981" s="251"/>
      <c r="I981" s="251"/>
      <c r="J981" s="289"/>
    </row>
    <row r="982" spans="1:10" ht="14.25" customHeight="1" x14ac:dyDescent="0.25">
      <c r="A982" s="289"/>
      <c r="F982" s="251"/>
      <c r="H982" s="251"/>
      <c r="I982" s="251"/>
      <c r="J982" s="289"/>
    </row>
    <row r="983" spans="1:10" ht="14.25" customHeight="1" x14ac:dyDescent="0.25">
      <c r="A983" s="289"/>
      <c r="F983" s="251"/>
      <c r="H983" s="251"/>
      <c r="I983" s="251"/>
      <c r="J983" s="289"/>
    </row>
    <row r="984" spans="1:10" ht="14.25" customHeight="1" x14ac:dyDescent="0.25">
      <c r="A984" s="289"/>
      <c r="F984" s="251"/>
      <c r="H984" s="251"/>
      <c r="I984" s="251"/>
      <c r="J984" s="289"/>
    </row>
    <row r="985" spans="1:10" ht="14.25" customHeight="1" x14ac:dyDescent="0.25">
      <c r="A985" s="289"/>
      <c r="F985" s="251"/>
      <c r="H985" s="251"/>
      <c r="I985" s="251"/>
      <c r="J985" s="289"/>
    </row>
    <row r="986" spans="1:10" ht="14.25" customHeight="1" x14ac:dyDescent="0.25">
      <c r="A986" s="289"/>
      <c r="F986" s="251"/>
      <c r="H986" s="251"/>
      <c r="I986" s="251"/>
      <c r="J986" s="289"/>
    </row>
    <row r="987" spans="1:10" ht="14.25" customHeight="1" x14ac:dyDescent="0.25">
      <c r="A987" s="289"/>
      <c r="F987" s="251"/>
      <c r="H987" s="251"/>
      <c r="I987" s="251"/>
      <c r="J987" s="289"/>
    </row>
    <row r="988" spans="1:10" ht="14.25" customHeight="1" x14ac:dyDescent="0.25">
      <c r="A988" s="289"/>
      <c r="F988" s="251"/>
      <c r="H988" s="251"/>
      <c r="I988" s="251"/>
      <c r="J988" s="289"/>
    </row>
    <row r="989" spans="1:10" ht="14.25" customHeight="1" x14ac:dyDescent="0.25">
      <c r="A989" s="289"/>
      <c r="F989" s="251"/>
      <c r="H989" s="251"/>
      <c r="I989" s="251"/>
      <c r="J989" s="289"/>
    </row>
    <row r="990" spans="1:10" ht="14.25" customHeight="1" x14ac:dyDescent="0.25">
      <c r="A990" s="289"/>
      <c r="F990" s="251"/>
      <c r="H990" s="251"/>
      <c r="I990" s="251"/>
      <c r="J990" s="289"/>
    </row>
    <row r="991" spans="1:10" ht="14.25" customHeight="1" x14ac:dyDescent="0.25">
      <c r="A991" s="289"/>
      <c r="F991" s="251"/>
      <c r="H991" s="251"/>
      <c r="I991" s="251"/>
      <c r="J991" s="289"/>
    </row>
    <row r="992" spans="1:10" ht="14.25" customHeight="1" x14ac:dyDescent="0.25">
      <c r="A992" s="289"/>
      <c r="F992" s="251"/>
      <c r="H992" s="251"/>
      <c r="I992" s="251"/>
      <c r="J992" s="289"/>
    </row>
    <row r="993" spans="1:10" ht="14.25" customHeight="1" x14ac:dyDescent="0.25">
      <c r="A993" s="289"/>
      <c r="F993" s="251"/>
      <c r="H993" s="251"/>
      <c r="I993" s="251"/>
      <c r="J993" s="289"/>
    </row>
    <row r="994" spans="1:10" ht="14.25" customHeight="1" x14ac:dyDescent="0.25">
      <c r="A994" s="289"/>
      <c r="F994" s="251"/>
      <c r="H994" s="251"/>
      <c r="I994" s="251"/>
      <c r="J994" s="289"/>
    </row>
    <row r="995" spans="1:10" ht="14.25" customHeight="1" x14ac:dyDescent="0.25">
      <c r="A995" s="289"/>
      <c r="F995" s="251"/>
      <c r="H995" s="251"/>
      <c r="I995" s="251"/>
      <c r="J995" s="289"/>
    </row>
    <row r="996" spans="1:10" ht="14.25" customHeight="1" x14ac:dyDescent="0.25">
      <c r="A996" s="289"/>
      <c r="F996" s="251"/>
      <c r="H996" s="251"/>
      <c r="I996" s="251"/>
      <c r="J996" s="289"/>
    </row>
    <row r="997" spans="1:10" ht="14.25" customHeight="1" x14ac:dyDescent="0.25">
      <c r="A997" s="289"/>
      <c r="F997" s="251"/>
      <c r="H997" s="251"/>
      <c r="I997" s="251"/>
      <c r="J997" s="289"/>
    </row>
    <row r="998" spans="1:10" ht="14.25" customHeight="1" x14ac:dyDescent="0.25">
      <c r="A998" s="289"/>
      <c r="F998" s="251"/>
      <c r="H998" s="251"/>
      <c r="I998" s="251"/>
      <c r="J998" s="289"/>
    </row>
    <row r="999" spans="1:10" ht="14.25" customHeight="1" x14ac:dyDescent="0.25">
      <c r="A999" s="289"/>
      <c r="F999" s="251"/>
      <c r="H999" s="251"/>
      <c r="I999" s="251"/>
      <c r="J999" s="289"/>
    </row>
    <row r="1000" spans="1:10" ht="14.25" customHeight="1" x14ac:dyDescent="0.25">
      <c r="A1000" s="289"/>
      <c r="F1000" s="251"/>
      <c r="H1000" s="251"/>
      <c r="I1000" s="251"/>
      <c r="J1000" s="289"/>
    </row>
    <row r="1001" spans="1:10" ht="14.25" customHeight="1" x14ac:dyDescent="0.25">
      <c r="A1001" s="289"/>
      <c r="F1001" s="251"/>
      <c r="H1001" s="251"/>
      <c r="I1001" s="251"/>
      <c r="J1001" s="289"/>
    </row>
    <row r="1002" spans="1:10" ht="14.25" customHeight="1" x14ac:dyDescent="0.25">
      <c r="A1002" s="289"/>
      <c r="F1002" s="251"/>
      <c r="H1002" s="251"/>
      <c r="I1002" s="251"/>
      <c r="J1002" s="289"/>
    </row>
    <row r="1003" spans="1:10" ht="14.25" customHeight="1" x14ac:dyDescent="0.25">
      <c r="A1003" s="289"/>
      <c r="F1003" s="251"/>
      <c r="H1003" s="251"/>
      <c r="I1003" s="251"/>
      <c r="J1003" s="289"/>
    </row>
    <row r="1004" spans="1:10" ht="14.25" customHeight="1" x14ac:dyDescent="0.25">
      <c r="A1004" s="289"/>
      <c r="F1004" s="251"/>
      <c r="H1004" s="251"/>
      <c r="I1004" s="251"/>
      <c r="J1004" s="289"/>
    </row>
    <row r="1005" spans="1:10" ht="14.25" customHeight="1" x14ac:dyDescent="0.25">
      <c r="A1005" s="289"/>
      <c r="F1005" s="251"/>
      <c r="H1005" s="251"/>
      <c r="I1005" s="251"/>
      <c r="J1005" s="289"/>
    </row>
    <row r="1006" spans="1:10" ht="14.25" customHeight="1" x14ac:dyDescent="0.25">
      <c r="A1006" s="289"/>
      <c r="F1006" s="251"/>
      <c r="H1006" s="251"/>
      <c r="I1006" s="251"/>
      <c r="J1006" s="289"/>
    </row>
    <row r="1007" spans="1:10" ht="14.25" customHeight="1" x14ac:dyDescent="0.25">
      <c r="A1007" s="289"/>
      <c r="F1007" s="251"/>
      <c r="H1007" s="251"/>
      <c r="I1007" s="251"/>
      <c r="J1007" s="289"/>
    </row>
    <row r="1008" spans="1:10" ht="14.25" customHeight="1" x14ac:dyDescent="0.25">
      <c r="A1008" s="289"/>
      <c r="F1008" s="251"/>
      <c r="H1008" s="251"/>
      <c r="I1008" s="251"/>
      <c r="J1008" s="289"/>
    </row>
    <row r="1009" spans="1:10" ht="14.25" customHeight="1" x14ac:dyDescent="0.25">
      <c r="A1009" s="289"/>
      <c r="F1009" s="251"/>
      <c r="H1009" s="251"/>
      <c r="I1009" s="251"/>
      <c r="J1009" s="289"/>
    </row>
    <row r="1010" spans="1:10" ht="14.25" customHeight="1" x14ac:dyDescent="0.25">
      <c r="A1010" s="289"/>
      <c r="F1010" s="251"/>
      <c r="H1010" s="251"/>
      <c r="I1010" s="251"/>
      <c r="J1010" s="289"/>
    </row>
    <row r="1011" spans="1:10" ht="14.25" customHeight="1" x14ac:dyDescent="0.25">
      <c r="A1011" s="289"/>
      <c r="F1011" s="251"/>
      <c r="H1011" s="251"/>
      <c r="I1011" s="251"/>
      <c r="J1011" s="289"/>
    </row>
  </sheetData>
  <autoFilter ref="A10:T1011" xr:uid="{1E78B0CF-4527-4C3B-87EB-C6D71FD221F1}"/>
  <mergeCells count="3">
    <mergeCell ref="A5:J5"/>
    <mergeCell ref="A7:J7"/>
    <mergeCell ref="B9:I9"/>
  </mergeCells>
  <pageMargins left="0.511811024" right="0.511811024" top="0.78740157499999996" bottom="0.78740157499999996" header="0" footer="0"/>
  <pageSetup paperSize="9" orientation="portrait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4C1B-724A-4035-9730-9A989F79BD22}">
  <sheetPr>
    <tabColor rgb="FFFF0000"/>
  </sheetPr>
  <dimension ref="A1:K83"/>
  <sheetViews>
    <sheetView showGridLines="0" topLeftCell="A13" zoomScale="85" zoomScaleNormal="85" zoomScaleSheetLayoutView="95" workbookViewId="0">
      <selection activeCell="G21" sqref="G21:G29"/>
    </sheetView>
  </sheetViews>
  <sheetFormatPr defaultColWidth="9.140625" defaultRowHeight="12.75" x14ac:dyDescent="0.25"/>
  <cols>
    <col min="1" max="1" width="47.42578125" style="1" customWidth="1"/>
    <col min="2" max="2" width="14" style="170" customWidth="1"/>
    <col min="3" max="3" width="7.5703125" style="171" customWidth="1"/>
    <col min="4" max="4" width="10.7109375" style="172" customWidth="1"/>
    <col min="5" max="5" width="15.85546875" style="1" customWidth="1"/>
    <col min="6" max="6" width="12.85546875" style="1" customWidth="1"/>
    <col min="7" max="7" width="17" style="1" customWidth="1"/>
    <col min="8" max="8" width="26.140625" style="1" customWidth="1"/>
    <col min="9" max="9" width="13.85546875" style="1" bestFit="1" customWidth="1"/>
    <col min="10" max="10" width="11" style="1" bestFit="1" customWidth="1"/>
    <col min="11" max="11" width="13.85546875" style="1" bestFit="1" customWidth="1"/>
    <col min="12" max="16384" width="9.140625" style="1"/>
  </cols>
  <sheetData>
    <row r="1" spans="1:9" x14ac:dyDescent="0.25">
      <c r="B1" s="2"/>
      <c r="C1" s="1"/>
      <c r="D1" s="1"/>
      <c r="G1" s="102"/>
      <c r="H1" s="102"/>
      <c r="I1" s="2"/>
    </row>
    <row r="2" spans="1:9" ht="12.75" customHeight="1" x14ac:dyDescent="0.25">
      <c r="A2" s="1049" t="s">
        <v>158</v>
      </c>
      <c r="B2" s="2"/>
      <c r="C2" s="1"/>
      <c r="D2" s="1"/>
      <c r="G2" s="103"/>
      <c r="H2" s="103"/>
      <c r="I2" s="2"/>
    </row>
    <row r="3" spans="1:9" ht="12.75" customHeight="1" x14ac:dyDescent="0.25">
      <c r="A3" s="1050"/>
      <c r="B3" s="2"/>
      <c r="C3" s="1"/>
      <c r="D3" s="1"/>
      <c r="G3" s="103"/>
      <c r="H3" s="103"/>
      <c r="I3" s="2"/>
    </row>
    <row r="4" spans="1:9" ht="12.75" customHeight="1" x14ac:dyDescent="0.25">
      <c r="A4" s="1050"/>
      <c r="B4" s="2"/>
      <c r="C4" s="1"/>
      <c r="D4" s="1"/>
      <c r="G4" s="103"/>
      <c r="H4" s="103"/>
      <c r="I4" s="2"/>
    </row>
    <row r="5" spans="1:9" ht="13.5" thickBot="1" x14ac:dyDescent="0.3">
      <c r="A5" s="104"/>
      <c r="B5" s="105"/>
      <c r="C5" s="105"/>
      <c r="D5" s="105"/>
      <c r="E5" s="105"/>
      <c r="F5" s="105"/>
      <c r="G5" s="106"/>
      <c r="H5" s="106"/>
      <c r="I5" s="2"/>
    </row>
    <row r="6" spans="1:9" x14ac:dyDescent="0.25">
      <c r="A6" s="107"/>
      <c r="B6" s="2"/>
      <c r="C6" s="1"/>
      <c r="D6" s="1"/>
      <c r="G6" s="102"/>
      <c r="H6" s="102"/>
      <c r="I6" s="2"/>
    </row>
    <row r="7" spans="1:9" x14ac:dyDescent="0.25">
      <c r="A7" s="108" t="s">
        <v>159</v>
      </c>
      <c r="B7" s="109" t="str">
        <f>DADOS_INICIAIS!B2</f>
        <v>BLUE HEAVEN</v>
      </c>
      <c r="C7" s="110"/>
      <c r="D7" s="110"/>
      <c r="E7" s="110"/>
      <c r="F7" s="110"/>
      <c r="G7" s="110"/>
      <c r="H7" s="111"/>
      <c r="I7" s="2"/>
    </row>
    <row r="8" spans="1:9" x14ac:dyDescent="0.25">
      <c r="A8" s="112" t="s">
        <v>0</v>
      </c>
      <c r="B8" s="109" t="str">
        <f>DADOS_INICIAIS!B1</f>
        <v>MONOLYT</v>
      </c>
      <c r="C8" s="113"/>
      <c r="D8" s="113"/>
      <c r="E8" s="113"/>
      <c r="F8" s="113"/>
      <c r="G8" s="113"/>
      <c r="H8" s="114"/>
      <c r="I8" s="2"/>
    </row>
    <row r="9" spans="1:9" ht="15" customHeight="1" x14ac:dyDescent="0.25">
      <c r="A9" s="115" t="s">
        <v>160</v>
      </c>
      <c r="B9" s="116">
        <v>45441</v>
      </c>
      <c r="C9" s="117"/>
      <c r="D9" s="117"/>
      <c r="E9" s="117"/>
      <c r="F9" s="117"/>
      <c r="G9" s="117"/>
      <c r="H9" s="118"/>
    </row>
    <row r="10" spans="1:9" x14ac:dyDescent="0.25">
      <c r="A10" s="119" t="s">
        <v>1</v>
      </c>
      <c r="B10" s="120" t="s">
        <v>161</v>
      </c>
      <c r="C10" s="121"/>
      <c r="D10" s="121"/>
      <c r="E10" s="121"/>
      <c r="F10" s="121"/>
      <c r="G10" s="121"/>
      <c r="H10" s="122"/>
    </row>
    <row r="12" spans="1:9" x14ac:dyDescent="0.25">
      <c r="A12" s="123" t="s">
        <v>1097</v>
      </c>
      <c r="B12" s="124"/>
      <c r="C12" s="125"/>
      <c r="D12" s="126"/>
      <c r="E12" s="127"/>
      <c r="F12" s="127"/>
      <c r="G12" s="127"/>
      <c r="H12" s="128"/>
    </row>
    <row r="13" spans="1:9" ht="15.95" customHeight="1" x14ac:dyDescent="0.25">
      <c r="A13" s="129"/>
      <c r="B13" s="130"/>
      <c r="C13" s="131"/>
      <c r="D13" s="132"/>
      <c r="E13" s="132"/>
      <c r="F13" s="132"/>
      <c r="H13" s="133"/>
    </row>
    <row r="14" spans="1:9" ht="15.95" customHeight="1" x14ac:dyDescent="0.25">
      <c r="A14" s="134" t="s">
        <v>14</v>
      </c>
      <c r="B14" s="1051" t="s">
        <v>18</v>
      </c>
      <c r="C14" s="1052"/>
      <c r="D14" s="1053" t="s">
        <v>5</v>
      </c>
      <c r="E14" s="1054"/>
      <c r="F14" s="135" t="s">
        <v>163</v>
      </c>
      <c r="G14" s="136" t="s">
        <v>16</v>
      </c>
      <c r="H14" s="133"/>
      <c r="I14" s="2"/>
    </row>
    <row r="15" spans="1:9" ht="15.95" customHeight="1" x14ac:dyDescent="0.25">
      <c r="A15" s="174" t="s">
        <v>172</v>
      </c>
      <c r="B15" s="970">
        <f>'Pintura Interna'!$B$15</f>
        <v>2584.4499999999998</v>
      </c>
      <c r="C15" s="143" t="s">
        <v>2</v>
      </c>
      <c r="D15" s="153">
        <v>28</v>
      </c>
      <c r="E15" s="144" t="s">
        <v>169</v>
      </c>
      <c r="F15" s="145" t="s">
        <v>164</v>
      </c>
      <c r="G15" s="146">
        <f>D15*B15*1.1</f>
        <v>79601.06</v>
      </c>
      <c r="H15" s="133"/>
    </row>
    <row r="16" spans="1:9" ht="15.95" customHeight="1" x14ac:dyDescent="0.25">
      <c r="A16" s="174" t="s">
        <v>173</v>
      </c>
      <c r="B16" s="970">
        <f>'Pintura Interna'!$B$16</f>
        <v>626.88999999999987</v>
      </c>
      <c r="C16" s="143" t="s">
        <v>2</v>
      </c>
      <c r="D16" s="153">
        <v>30</v>
      </c>
      <c r="E16" s="144" t="s">
        <v>169</v>
      </c>
      <c r="F16" s="145" t="s">
        <v>164</v>
      </c>
      <c r="G16" s="146">
        <f>D16*B16*1.1</f>
        <v>20687.37</v>
      </c>
      <c r="H16" s="133"/>
    </row>
    <row r="17" spans="1:11" ht="15.95" customHeight="1" x14ac:dyDescent="0.25">
      <c r="A17" s="175" t="s">
        <v>174</v>
      </c>
      <c r="B17" s="970">
        <f>'REVESTIMENTO PISO'!L11</f>
        <v>9592.09</v>
      </c>
      <c r="C17" s="143" t="s">
        <v>2</v>
      </c>
      <c r="D17" s="153">
        <f>B17/DADOS_INICIAIS!$E$11</f>
        <v>0.65281534183328316</v>
      </c>
      <c r="E17" s="144" t="s">
        <v>175</v>
      </c>
      <c r="F17" s="145" t="s">
        <v>164</v>
      </c>
      <c r="G17" s="146">
        <f>+B17*65*1.1</f>
        <v>685834.43500000006</v>
      </c>
      <c r="H17" s="133"/>
    </row>
    <row r="18" spans="1:11" ht="15.95" customHeight="1" x14ac:dyDescent="0.25">
      <c r="A18" s="188" t="s">
        <v>1367</v>
      </c>
      <c r="B18" s="970">
        <f>'REVESTIMENTO PISO'!L12</f>
        <v>5559.6700000000055</v>
      </c>
      <c r="C18" s="143" t="s">
        <v>2</v>
      </c>
      <c r="D18" s="153">
        <f>B18/DADOS_INICIAIS!$E$11</f>
        <v>0.3783782128326833</v>
      </c>
      <c r="E18" s="144" t="s">
        <v>175</v>
      </c>
      <c r="F18" s="145" t="s">
        <v>164</v>
      </c>
      <c r="G18" s="152">
        <f>+B18*25*1.1</f>
        <v>152890.92500000016</v>
      </c>
      <c r="H18" s="133"/>
    </row>
    <row r="19" spans="1:11" ht="15.95" customHeight="1" x14ac:dyDescent="0.25">
      <c r="A19" s="982" t="s">
        <v>1374</v>
      </c>
      <c r="B19" s="988">
        <f>6*1.83*1.95</f>
        <v>21.411000000000001</v>
      </c>
      <c r="C19" s="983" t="s">
        <v>2</v>
      </c>
      <c r="D19" s="984">
        <v>562.94579999999996</v>
      </c>
      <c r="E19" s="985" t="s">
        <v>35</v>
      </c>
      <c r="F19" s="986" t="s">
        <v>164</v>
      </c>
      <c r="G19" s="987">
        <f>+B19*D19*1.1*0</f>
        <v>0</v>
      </c>
      <c r="H19" s="989" t="s">
        <v>1379</v>
      </c>
    </row>
    <row r="20" spans="1:11" ht="15.95" customHeight="1" x14ac:dyDescent="0.25">
      <c r="A20" s="175" t="s">
        <v>186</v>
      </c>
      <c r="B20" s="936">
        <f>SUMIF('REVESTIMENTO PISO'!E:E,'Acabamentos de Piso'!A20,'REVESTIMENTO PISO'!I:I)</f>
        <v>0</v>
      </c>
      <c r="C20" s="937" t="s">
        <v>187</v>
      </c>
      <c r="D20" s="194">
        <v>130</v>
      </c>
      <c r="E20" s="149" t="s">
        <v>169</v>
      </c>
      <c r="F20" s="180" t="s">
        <v>164</v>
      </c>
      <c r="G20" s="203">
        <f t="shared" ref="G20:G27" si="0">+D20*B20*1.1</f>
        <v>0</v>
      </c>
      <c r="H20" s="133"/>
      <c r="I20" s="868"/>
      <c r="J20" s="173"/>
      <c r="K20" s="173"/>
    </row>
    <row r="21" spans="1:11" ht="15.95" customHeight="1" x14ac:dyDescent="0.25">
      <c r="A21" s="175" t="s">
        <v>188</v>
      </c>
      <c r="B21" s="185">
        <f>SUMIF('REVESTIMENTO PISO'!E:E,'Acabamentos de Piso'!A21,'REVESTIMENTO PISO'!I:I)</f>
        <v>77.760000000000005</v>
      </c>
      <c r="C21" s="178" t="s">
        <v>187</v>
      </c>
      <c r="D21" s="186">
        <v>250</v>
      </c>
      <c r="E21" s="149" t="s">
        <v>169</v>
      </c>
      <c r="F21" s="180" t="s">
        <v>164</v>
      </c>
      <c r="G21" s="152">
        <f t="shared" si="0"/>
        <v>21384</v>
      </c>
      <c r="H21" s="133"/>
      <c r="I21" s="187"/>
      <c r="J21" s="173"/>
      <c r="K21" s="173"/>
    </row>
    <row r="22" spans="1:11" ht="15.95" customHeight="1" x14ac:dyDescent="0.25">
      <c r="A22" s="175" t="s">
        <v>686</v>
      </c>
      <c r="B22" s="185">
        <f>SUMIF('REVESTIMENTO PISO'!E:E,'Acabamentos de Piso'!A22,'REVESTIMENTO PISO'!I:I)</f>
        <v>2122.9499999999985</v>
      </c>
      <c r="C22" s="178" t="s">
        <v>187</v>
      </c>
      <c r="D22" s="186">
        <f>392.8+45</f>
        <v>437.8</v>
      </c>
      <c r="E22" s="149" t="s">
        <v>169</v>
      </c>
      <c r="F22" s="180" t="s">
        <v>164</v>
      </c>
      <c r="G22" s="152">
        <f t="shared" si="0"/>
        <v>1022370.2609999994</v>
      </c>
      <c r="H22" s="133"/>
      <c r="I22" s="187"/>
      <c r="J22" s="173"/>
      <c r="K22" s="173"/>
    </row>
    <row r="23" spans="1:11" ht="15.95" customHeight="1" x14ac:dyDescent="0.25">
      <c r="A23" s="175" t="s">
        <v>1213</v>
      </c>
      <c r="B23" s="185">
        <f>SUMIF('REVESTIMENTO PISO'!E:E,'Acabamentos de Piso'!A23,'REVESTIMENTO PISO'!I:I)</f>
        <v>965.36</v>
      </c>
      <c r="C23" s="584" t="s">
        <v>187</v>
      </c>
      <c r="D23" s="186">
        <v>210</v>
      </c>
      <c r="E23" s="151" t="s">
        <v>169</v>
      </c>
      <c r="F23" s="585" t="s">
        <v>164</v>
      </c>
      <c r="G23" s="152">
        <f t="shared" si="0"/>
        <v>222998.16000000003</v>
      </c>
      <c r="H23" s="133" t="s">
        <v>712</v>
      </c>
      <c r="I23" s="187"/>
      <c r="J23" s="173"/>
      <c r="K23" s="173"/>
    </row>
    <row r="24" spans="1:11" ht="15.95" customHeight="1" x14ac:dyDescent="0.25">
      <c r="A24" s="175" t="s">
        <v>693</v>
      </c>
      <c r="B24" s="185">
        <f>SUMIF('REVESTIMENTO PISO'!E:E,'Acabamentos de Piso'!A24,'REVESTIMENTO PISO'!I:I)</f>
        <v>1341.17</v>
      </c>
      <c r="C24" s="178" t="s">
        <v>187</v>
      </c>
      <c r="D24" s="186">
        <v>300</v>
      </c>
      <c r="E24" s="151" t="s">
        <v>169</v>
      </c>
      <c r="F24" s="585" t="s">
        <v>164</v>
      </c>
      <c r="G24" s="152">
        <f t="shared" si="0"/>
        <v>442586.10000000003</v>
      </c>
      <c r="H24" s="133"/>
      <c r="I24" s="187"/>
      <c r="J24" s="173"/>
      <c r="K24" s="173"/>
    </row>
    <row r="25" spans="1:11" ht="15.95" customHeight="1" x14ac:dyDescent="0.25">
      <c r="A25" s="188" t="s">
        <v>694</v>
      </c>
      <c r="B25" s="185">
        <f>SUMIF('REVESTIMENTO PISO'!E:E,'Acabamentos de Piso'!A25,'REVESTIMENTO PISO'!I:I)</f>
        <v>830.40999999999985</v>
      </c>
      <c r="C25" s="584" t="s">
        <v>187</v>
      </c>
      <c r="D25" s="186">
        <f>D23</f>
        <v>210</v>
      </c>
      <c r="E25" s="151" t="s">
        <v>169</v>
      </c>
      <c r="F25" s="585" t="s">
        <v>164</v>
      </c>
      <c r="G25" s="152">
        <f t="shared" si="0"/>
        <v>191824.71</v>
      </c>
      <c r="H25" s="586" t="str">
        <f>H23</f>
        <v>Pedra rústica em cacos</v>
      </c>
      <c r="I25" s="189"/>
    </row>
    <row r="26" spans="1:11" ht="15.95" customHeight="1" x14ac:dyDescent="0.25">
      <c r="A26" s="175" t="s">
        <v>189</v>
      </c>
      <c r="B26" s="185">
        <f>SUMIF('REVESTIMENTO PISO'!E:E,'Acabamentos de Piso'!A26,'REVESTIMENTO PISO'!I:I)</f>
        <v>35.17</v>
      </c>
      <c r="C26" s="178" t="s">
        <v>187</v>
      </c>
      <c r="D26" s="186">
        <v>230</v>
      </c>
      <c r="E26" s="149" t="s">
        <v>169</v>
      </c>
      <c r="F26" s="180" t="s">
        <v>164</v>
      </c>
      <c r="G26" s="152">
        <f t="shared" si="0"/>
        <v>8898.01</v>
      </c>
      <c r="H26" s="133"/>
    </row>
    <row r="27" spans="1:11" ht="15.95" customHeight="1" x14ac:dyDescent="0.25">
      <c r="A27" s="175" t="s">
        <v>1269</v>
      </c>
      <c r="B27" s="185">
        <f>SUMIF('REVESTIMENTO PISO'!E:E,'Acabamentos de Piso'!A27,'REVESTIMENTO PISO'!I:I)</f>
        <v>171.49</v>
      </c>
      <c r="C27" s="178" t="s">
        <v>187</v>
      </c>
      <c r="D27" s="186">
        <v>135</v>
      </c>
      <c r="E27" s="149" t="s">
        <v>169</v>
      </c>
      <c r="F27" s="180" t="s">
        <v>164</v>
      </c>
      <c r="G27" s="152">
        <f t="shared" si="0"/>
        <v>25466.265000000003</v>
      </c>
      <c r="H27" s="133" t="s">
        <v>711</v>
      </c>
    </row>
    <row r="28" spans="1:11" ht="15.95" customHeight="1" x14ac:dyDescent="0.25">
      <c r="A28" s="188" t="s">
        <v>690</v>
      </c>
      <c r="B28" s="185">
        <v>1</v>
      </c>
      <c r="C28" s="178" t="s">
        <v>27</v>
      </c>
      <c r="D28" s="186">
        <f>ROUNDUP(D49,0)</f>
        <v>38</v>
      </c>
      <c r="E28" s="149" t="s">
        <v>6</v>
      </c>
      <c r="F28" s="180" t="s">
        <v>164</v>
      </c>
      <c r="G28" s="152">
        <f>D28*DADOS_INICIAIS!$E$11*1.1</f>
        <v>614184.95600000001</v>
      </c>
      <c r="H28" s="133"/>
    </row>
    <row r="29" spans="1:11" ht="15.95" customHeight="1" x14ac:dyDescent="0.25">
      <c r="A29" s="190" t="s">
        <v>191</v>
      </c>
      <c r="B29" s="185">
        <v>1</v>
      </c>
      <c r="C29" s="178" t="s">
        <v>27</v>
      </c>
      <c r="D29" s="186">
        <v>20</v>
      </c>
      <c r="E29" s="149" t="s">
        <v>6</v>
      </c>
      <c r="F29" s="180" t="s">
        <v>164</v>
      </c>
      <c r="G29" s="152">
        <f>D29*DADOS_INICIAIS!$E$11*1.1</f>
        <v>323255.24000000005</v>
      </c>
      <c r="H29" s="133"/>
    </row>
    <row r="30" spans="1:11" ht="15.95" customHeight="1" x14ac:dyDescent="0.25">
      <c r="A30" s="1074"/>
      <c r="B30" s="1075"/>
      <c r="C30" s="1075"/>
      <c r="D30" s="1075"/>
      <c r="E30" s="1075"/>
      <c r="F30" s="1075"/>
      <c r="G30" s="192">
        <f>SUM(G15:G29)</f>
        <v>3811981.4919999996</v>
      </c>
      <c r="H30" s="161"/>
    </row>
    <row r="31" spans="1:11" ht="15.95" customHeight="1" x14ac:dyDescent="0.25">
      <c r="A31" s="162"/>
      <c r="B31" s="163"/>
      <c r="C31" s="163"/>
      <c r="D31" s="163"/>
      <c r="E31" s="163"/>
      <c r="F31" s="163"/>
      <c r="G31" s="181"/>
      <c r="H31" s="165"/>
    </row>
    <row r="32" spans="1:11" ht="15.95" customHeight="1" x14ac:dyDescent="0.25">
      <c r="A32" s="162"/>
      <c r="B32" s="163"/>
      <c r="C32" s="163"/>
      <c r="D32" s="163"/>
      <c r="E32" s="163"/>
      <c r="F32" s="163"/>
      <c r="G32" s="181"/>
      <c r="H32" s="165"/>
    </row>
    <row r="33" spans="1:9" x14ac:dyDescent="0.25">
      <c r="A33" s="1047" t="s">
        <v>179</v>
      </c>
      <c r="B33" s="1047"/>
      <c r="C33" s="1047"/>
      <c r="D33" s="1047"/>
      <c r="E33" s="1047"/>
      <c r="F33" s="1047"/>
      <c r="G33" s="168">
        <f>SUM(G15:G18)</f>
        <v>939013.79000000015</v>
      </c>
      <c r="H33" s="169">
        <f>G33/DADOS_INICIAIS!$E$11</f>
        <v>63.907095148712834</v>
      </c>
    </row>
    <row r="34" spans="1:9" x14ac:dyDescent="0.25">
      <c r="A34" s="1047" t="s">
        <v>193</v>
      </c>
      <c r="B34" s="1047"/>
      <c r="C34" s="1047"/>
      <c r="D34" s="1047"/>
      <c r="E34" s="1047"/>
      <c r="F34" s="1047"/>
      <c r="G34" s="168">
        <f>SUM(G20:G29)</f>
        <v>2872967.7019999996</v>
      </c>
      <c r="H34" s="169">
        <f>G34/DADOS_INICIAIS!$E$11</f>
        <v>195.5275015619236</v>
      </c>
      <c r="I34" s="173">
        <f>G34+'Rev. Internos de Parede'!G24</f>
        <v>4311125.5016342858</v>
      </c>
    </row>
    <row r="35" spans="1:9" x14ac:dyDescent="0.25">
      <c r="A35" s="1047" t="s">
        <v>17</v>
      </c>
      <c r="B35" s="1047"/>
      <c r="C35" s="1047"/>
      <c r="D35" s="1047"/>
      <c r="E35" s="1047"/>
      <c r="F35" s="1047"/>
      <c r="G35" s="168">
        <f>G30</f>
        <v>3811981.4919999996</v>
      </c>
      <c r="H35" s="169">
        <f>G35/DADOS_INICIAIS!$E$11</f>
        <v>259.43459671063641</v>
      </c>
    </row>
    <row r="37" spans="1:9" ht="15" x14ac:dyDescent="0.25">
      <c r="D37"/>
      <c r="E37"/>
      <c r="F37"/>
      <c r="G37"/>
      <c r="H37"/>
    </row>
    <row r="38" spans="1:9" ht="15" x14ac:dyDescent="0.25">
      <c r="C38"/>
      <c r="D38"/>
      <c r="E38"/>
      <c r="F38"/>
      <c r="G38"/>
      <c r="H38"/>
    </row>
    <row r="39" spans="1:9" ht="15" x14ac:dyDescent="0.25">
      <c r="C39"/>
      <c r="D39"/>
      <c r="E39"/>
      <c r="F39"/>
      <c r="G39"/>
      <c r="H39"/>
    </row>
    <row r="40" spans="1:9" ht="14.45" customHeight="1" x14ac:dyDescent="0.25">
      <c r="A40" s="1073" t="s">
        <v>691</v>
      </c>
      <c r="B40" s="1073"/>
      <c r="C40" s="1073"/>
      <c r="D40" s="1073"/>
      <c r="E40" s="1073"/>
      <c r="F40" s="1073"/>
      <c r="G40" s="1073"/>
      <c r="H40" s="1073"/>
    </row>
    <row r="41" spans="1:9" ht="15" x14ac:dyDescent="0.25">
      <c r="C41"/>
      <c r="D41"/>
      <c r="E41"/>
      <c r="F41"/>
      <c r="G41"/>
      <c r="H41"/>
    </row>
    <row r="42" spans="1:9" ht="15" x14ac:dyDescent="0.25">
      <c r="B42"/>
      <c r="C42"/>
      <c r="D42"/>
      <c r="E42"/>
      <c r="F42"/>
      <c r="G42"/>
      <c r="H42"/>
    </row>
    <row r="43" spans="1:9" ht="15" x14ac:dyDescent="0.25">
      <c r="C43"/>
      <c r="D43"/>
      <c r="E43"/>
      <c r="F43"/>
      <c r="G43"/>
      <c r="H43"/>
    </row>
    <row r="44" spans="1:9" ht="15" x14ac:dyDescent="0.25">
      <c r="C44"/>
      <c r="D44"/>
      <c r="E44"/>
      <c r="F44"/>
      <c r="G44"/>
      <c r="H44"/>
    </row>
    <row r="45" spans="1:9" ht="15" x14ac:dyDescent="0.25">
      <c r="C45"/>
      <c r="D45"/>
      <c r="E45"/>
      <c r="F45"/>
      <c r="G45"/>
      <c r="H45"/>
    </row>
    <row r="46" spans="1:9" ht="15" x14ac:dyDescent="0.25">
      <c r="C46"/>
      <c r="D46"/>
      <c r="E46"/>
      <c r="F46"/>
      <c r="G46"/>
      <c r="H46"/>
    </row>
    <row r="47" spans="1:9" ht="15" x14ac:dyDescent="0.25">
      <c r="C47"/>
      <c r="D47">
        <f>1560.11+160.54+518.7871</f>
        <v>2239.4371000000001</v>
      </c>
      <c r="E47"/>
      <c r="F47"/>
      <c r="G47"/>
      <c r="H47"/>
    </row>
    <row r="48" spans="1:9" ht="15" x14ac:dyDescent="0.25">
      <c r="C48"/>
      <c r="D48">
        <f>(224.88+487.65+266.03+43.04)*82.84</f>
        <v>84629.343999999997</v>
      </c>
      <c r="E48"/>
      <c r="F48"/>
      <c r="G48"/>
      <c r="H48"/>
    </row>
    <row r="49" spans="2:8" ht="15" x14ac:dyDescent="0.25">
      <c r="C49"/>
      <c r="D49">
        <f>D48/D47</f>
        <v>37.79045368141842</v>
      </c>
      <c r="E49" s="193">
        <f>D49*DADOS_INICIAIS!E11</f>
        <v>555271.00793162698</v>
      </c>
      <c r="F49"/>
      <c r="G49"/>
      <c r="H49"/>
    </row>
    <row r="50" spans="2:8" ht="15" x14ac:dyDescent="0.25">
      <c r="C50"/>
      <c r="D50"/>
      <c r="E50"/>
      <c r="G50"/>
      <c r="H50"/>
    </row>
    <row r="51" spans="2:8" ht="15" x14ac:dyDescent="0.25">
      <c r="C51"/>
      <c r="D51"/>
      <c r="E51"/>
      <c r="F51"/>
      <c r="G51"/>
      <c r="H51"/>
    </row>
    <row r="52" spans="2:8" ht="15" x14ac:dyDescent="0.25">
      <c r="C52"/>
      <c r="D52"/>
      <c r="E52"/>
      <c r="F52"/>
      <c r="G52"/>
      <c r="H52"/>
    </row>
    <row r="53" spans="2:8" ht="15" x14ac:dyDescent="0.25">
      <c r="C53"/>
      <c r="D53"/>
      <c r="E53"/>
      <c r="F53"/>
      <c r="G53"/>
      <c r="H53"/>
    </row>
    <row r="54" spans="2:8" ht="15" x14ac:dyDescent="0.25">
      <c r="C54"/>
      <c r="D54"/>
      <c r="E54"/>
      <c r="F54"/>
      <c r="G54"/>
      <c r="H54"/>
    </row>
    <row r="55" spans="2:8" ht="15" x14ac:dyDescent="0.25">
      <c r="B55"/>
      <c r="C55"/>
      <c r="D55"/>
      <c r="E55"/>
      <c r="F55"/>
      <c r="G55"/>
      <c r="H55"/>
    </row>
    <row r="56" spans="2:8" ht="15" x14ac:dyDescent="0.25">
      <c r="C56"/>
      <c r="D56"/>
      <c r="E56"/>
      <c r="F56"/>
      <c r="G56"/>
      <c r="H56"/>
    </row>
    <row r="57" spans="2:8" ht="15" x14ac:dyDescent="0.25">
      <c r="C57"/>
      <c r="D57"/>
      <c r="E57"/>
      <c r="F57"/>
      <c r="G57"/>
      <c r="H57"/>
    </row>
    <row r="58" spans="2:8" ht="15" x14ac:dyDescent="0.25">
      <c r="C58"/>
      <c r="D58"/>
      <c r="E58"/>
      <c r="F58"/>
      <c r="G58"/>
      <c r="H58"/>
    </row>
    <row r="59" spans="2:8" ht="15" x14ac:dyDescent="0.25">
      <c r="C59"/>
      <c r="D59"/>
      <c r="E59"/>
      <c r="F59"/>
      <c r="G59"/>
      <c r="H59"/>
    </row>
    <row r="60" spans="2:8" ht="15" x14ac:dyDescent="0.25">
      <c r="C60"/>
      <c r="D60"/>
      <c r="E60"/>
      <c r="F60"/>
      <c r="G60"/>
      <c r="H60"/>
    </row>
    <row r="61" spans="2:8" ht="15" x14ac:dyDescent="0.25">
      <c r="B61"/>
      <c r="C61"/>
      <c r="D61"/>
      <c r="E61"/>
      <c r="F61"/>
      <c r="G61"/>
      <c r="H61"/>
    </row>
    <row r="62" spans="2:8" ht="15" x14ac:dyDescent="0.25">
      <c r="C62"/>
      <c r="D62"/>
      <c r="E62"/>
      <c r="F62"/>
      <c r="G62"/>
      <c r="H62"/>
    </row>
    <row r="63" spans="2:8" ht="15" x14ac:dyDescent="0.25">
      <c r="C63"/>
      <c r="D63"/>
      <c r="E63"/>
      <c r="F63"/>
      <c r="G63"/>
      <c r="H63"/>
    </row>
    <row r="64" spans="2:8" ht="15" x14ac:dyDescent="0.25">
      <c r="C64"/>
      <c r="D64"/>
      <c r="E64"/>
      <c r="F64"/>
      <c r="G64"/>
      <c r="H64"/>
    </row>
    <row r="65" spans="2:8" ht="15" x14ac:dyDescent="0.25">
      <c r="C65"/>
      <c r="D65"/>
      <c r="E65"/>
      <c r="F65"/>
      <c r="G65"/>
      <c r="H65"/>
    </row>
    <row r="66" spans="2:8" ht="15" x14ac:dyDescent="0.25">
      <c r="B66"/>
      <c r="C66"/>
      <c r="D66"/>
      <c r="E66"/>
      <c r="F66"/>
      <c r="G66"/>
      <c r="H66"/>
    </row>
    <row r="67" spans="2:8" ht="15" x14ac:dyDescent="0.25">
      <c r="C67"/>
      <c r="D67"/>
      <c r="E67"/>
      <c r="F67"/>
      <c r="G67"/>
      <c r="H67"/>
    </row>
    <row r="68" spans="2:8" ht="15" x14ac:dyDescent="0.25">
      <c r="B68"/>
      <c r="C68"/>
      <c r="D68"/>
      <c r="E68"/>
      <c r="F68"/>
      <c r="G68"/>
      <c r="H68"/>
    </row>
    <row r="69" spans="2:8" ht="15" x14ac:dyDescent="0.25">
      <c r="C69"/>
      <c r="D69"/>
      <c r="E69"/>
      <c r="F69"/>
      <c r="G69"/>
      <c r="H69"/>
    </row>
    <row r="70" spans="2:8" ht="15" x14ac:dyDescent="0.25">
      <c r="C70"/>
      <c r="D70"/>
      <c r="E70"/>
      <c r="F70"/>
      <c r="G70"/>
      <c r="H70"/>
    </row>
    <row r="71" spans="2:8" ht="15" x14ac:dyDescent="0.25">
      <c r="C71"/>
      <c r="D71"/>
      <c r="E71"/>
      <c r="F71"/>
      <c r="G71"/>
      <c r="H71"/>
    </row>
    <row r="72" spans="2:8" ht="15" x14ac:dyDescent="0.25">
      <c r="C72"/>
      <c r="D72"/>
      <c r="E72"/>
      <c r="F72"/>
      <c r="G72"/>
      <c r="H72"/>
    </row>
    <row r="73" spans="2:8" ht="15" x14ac:dyDescent="0.25">
      <c r="B73"/>
      <c r="C73"/>
      <c r="D73"/>
      <c r="E73"/>
      <c r="F73"/>
      <c r="G73"/>
      <c r="H73"/>
    </row>
    <row r="74" spans="2:8" ht="15" x14ac:dyDescent="0.25">
      <c r="C74"/>
      <c r="D74"/>
      <c r="E74"/>
      <c r="F74"/>
      <c r="G74"/>
      <c r="H74"/>
    </row>
    <row r="75" spans="2:8" ht="15" x14ac:dyDescent="0.25">
      <c r="C75"/>
      <c r="D75"/>
      <c r="E75"/>
      <c r="F75"/>
      <c r="G75"/>
      <c r="H75"/>
    </row>
    <row r="76" spans="2:8" ht="15" x14ac:dyDescent="0.25">
      <c r="C76"/>
      <c r="D76"/>
      <c r="E76"/>
      <c r="F76"/>
      <c r="G76"/>
      <c r="H76"/>
    </row>
    <row r="77" spans="2:8" ht="15" x14ac:dyDescent="0.25">
      <c r="C77"/>
      <c r="D77"/>
      <c r="E77"/>
      <c r="F77"/>
      <c r="G77"/>
      <c r="H77"/>
    </row>
    <row r="78" spans="2:8" ht="15" x14ac:dyDescent="0.25">
      <c r="B78"/>
      <c r="C78"/>
      <c r="D78"/>
      <c r="E78"/>
      <c r="F78"/>
      <c r="G78"/>
      <c r="H78"/>
    </row>
    <row r="79" spans="2:8" ht="15" x14ac:dyDescent="0.25">
      <c r="C79"/>
      <c r="D79"/>
      <c r="E79"/>
      <c r="F79"/>
      <c r="G79"/>
      <c r="H79"/>
    </row>
    <row r="80" spans="2:8" ht="15" x14ac:dyDescent="0.25">
      <c r="C80"/>
      <c r="D80"/>
      <c r="E80"/>
      <c r="F80"/>
      <c r="G80"/>
      <c r="H80"/>
    </row>
    <row r="81" spans="3:8" ht="15" x14ac:dyDescent="0.25">
      <c r="C81"/>
      <c r="D81"/>
      <c r="E81"/>
      <c r="F81"/>
      <c r="G81"/>
      <c r="H81"/>
    </row>
    <row r="82" spans="3:8" ht="15" x14ac:dyDescent="0.25">
      <c r="C82"/>
      <c r="D82"/>
      <c r="E82"/>
      <c r="F82"/>
      <c r="G82"/>
      <c r="H82"/>
    </row>
    <row r="83" spans="3:8" ht="15" x14ac:dyDescent="0.25">
      <c r="C83"/>
      <c r="D83"/>
      <c r="E83"/>
      <c r="F83"/>
      <c r="G83"/>
      <c r="H83"/>
    </row>
  </sheetData>
  <mergeCells count="8">
    <mergeCell ref="A40:H40"/>
    <mergeCell ref="A2:A4"/>
    <mergeCell ref="B14:C14"/>
    <mergeCell ref="D14:E14"/>
    <mergeCell ref="A30:F30"/>
    <mergeCell ref="A35:F35"/>
    <mergeCell ref="A34:F34"/>
    <mergeCell ref="A33:F33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8B4B7-7A81-4CB1-8E7A-31C2D215B530}">
  <sheetPr>
    <tabColor rgb="FFFF0000"/>
  </sheetPr>
  <dimension ref="A1:O43"/>
  <sheetViews>
    <sheetView showGridLines="0" topLeftCell="A7" zoomScale="85" zoomScaleNormal="85" zoomScaleSheetLayoutView="95" workbookViewId="0">
      <selection activeCell="D19" sqref="D19"/>
    </sheetView>
  </sheetViews>
  <sheetFormatPr defaultColWidth="9.140625" defaultRowHeight="12.75" x14ac:dyDescent="0.25"/>
  <cols>
    <col min="1" max="1" width="45" style="1" bestFit="1" customWidth="1"/>
    <col min="2" max="2" width="14" style="170" customWidth="1"/>
    <col min="3" max="3" width="15.5703125" style="171" customWidth="1"/>
    <col min="4" max="4" width="10.7109375" style="172" customWidth="1"/>
    <col min="5" max="5" width="15.85546875" style="1" customWidth="1"/>
    <col min="6" max="6" width="15.140625" style="1" customWidth="1"/>
    <col min="7" max="7" width="17.7109375" style="1" customWidth="1"/>
    <col min="8" max="8" width="14.28515625" style="1" bestFit="1" customWidth="1"/>
    <col min="9" max="9" width="9.140625" style="1"/>
    <col min="10" max="10" width="22.140625" style="1" customWidth="1"/>
    <col min="11" max="11" width="12.85546875" style="1" customWidth="1"/>
    <col min="12" max="12" width="15.7109375" style="1" customWidth="1"/>
    <col min="13" max="14" width="9.140625" style="1"/>
    <col min="15" max="15" width="10.7109375" style="1" bestFit="1" customWidth="1"/>
    <col min="16" max="16384" width="9.140625" style="1"/>
  </cols>
  <sheetData>
    <row r="1" spans="1:15" x14ac:dyDescent="0.25">
      <c r="B1" s="2"/>
      <c r="C1" s="1"/>
      <c r="D1" s="1"/>
      <c r="G1" s="102"/>
      <c r="H1" s="102"/>
      <c r="I1" s="2"/>
    </row>
    <row r="2" spans="1:15" ht="12.75" customHeight="1" x14ac:dyDescent="0.25">
      <c r="A2" s="1049" t="s">
        <v>158</v>
      </c>
      <c r="B2" s="2"/>
      <c r="C2" s="1"/>
      <c r="D2" s="1"/>
      <c r="G2" s="103"/>
      <c r="H2" s="103"/>
      <c r="I2" s="2"/>
    </row>
    <row r="3" spans="1:15" ht="12.75" customHeight="1" x14ac:dyDescent="0.25">
      <c r="A3" s="1050"/>
      <c r="B3" s="2"/>
      <c r="C3" s="1"/>
      <c r="D3" s="1"/>
      <c r="G3" s="103"/>
      <c r="H3" s="103"/>
      <c r="I3" s="2"/>
    </row>
    <row r="4" spans="1:15" ht="12.75" customHeight="1" x14ac:dyDescent="0.25">
      <c r="A4" s="1050"/>
      <c r="B4" s="2"/>
      <c r="C4" s="1"/>
      <c r="D4" s="1"/>
      <c r="G4" s="103"/>
      <c r="H4" s="103"/>
      <c r="I4" s="2"/>
    </row>
    <row r="5" spans="1:15" ht="13.5" thickBot="1" x14ac:dyDescent="0.3">
      <c r="A5" s="104"/>
      <c r="B5" s="105"/>
      <c r="C5" s="105"/>
      <c r="D5" s="105"/>
      <c r="E5" s="105"/>
      <c r="F5" s="105"/>
      <c r="G5" s="106"/>
      <c r="H5" s="106"/>
      <c r="I5" s="2"/>
      <c r="O5" s="173">
        <f>(Alvenaria!B15+Alvenaria!B16)*2</f>
        <v>25844.007000000001</v>
      </c>
    </row>
    <row r="6" spans="1:15" x14ac:dyDescent="0.25">
      <c r="A6" s="107"/>
      <c r="B6" s="2"/>
      <c r="C6" s="1"/>
      <c r="D6" s="1"/>
      <c r="G6" s="102"/>
      <c r="H6" s="102"/>
      <c r="I6" s="2"/>
      <c r="O6" s="173">
        <f>B16+B17+FACHADA!I11+FACHADA!I12+FACHADA!I13</f>
        <v>31215.193537793588</v>
      </c>
    </row>
    <row r="7" spans="1:15" ht="15" customHeight="1" x14ac:dyDescent="0.25">
      <c r="A7" s="108" t="s">
        <v>159</v>
      </c>
      <c r="B7" s="109" t="str">
        <f>DADOS_INICIAIS!B2</f>
        <v>BLUE HEAVEN</v>
      </c>
      <c r="C7" s="110"/>
      <c r="D7" s="110"/>
      <c r="E7" s="110"/>
      <c r="F7" s="110"/>
      <c r="G7" s="110"/>
      <c r="H7" s="111"/>
      <c r="I7" s="2"/>
      <c r="O7" s="173"/>
    </row>
    <row r="8" spans="1:15" ht="15" customHeight="1" x14ac:dyDescent="0.25">
      <c r="A8" s="112" t="s">
        <v>0</v>
      </c>
      <c r="B8" s="109" t="str">
        <f>DADOS_INICIAIS!B1</f>
        <v>MONOLYT</v>
      </c>
      <c r="C8" s="113"/>
      <c r="D8" s="113"/>
      <c r="E8" s="113"/>
      <c r="F8" s="113"/>
      <c r="G8" s="113"/>
      <c r="H8" s="114"/>
      <c r="I8" s="2"/>
    </row>
    <row r="9" spans="1:15" ht="15" customHeight="1" x14ac:dyDescent="0.25">
      <c r="A9" s="115" t="s">
        <v>160</v>
      </c>
      <c r="B9" s="116"/>
      <c r="C9" s="117"/>
      <c r="D9" s="117"/>
      <c r="E9" s="117"/>
      <c r="F9" s="117"/>
      <c r="G9" s="117"/>
      <c r="H9" s="118"/>
    </row>
    <row r="10" spans="1:15" ht="15" customHeight="1" x14ac:dyDescent="0.25">
      <c r="A10" s="119" t="s">
        <v>1</v>
      </c>
      <c r="B10" s="120" t="s">
        <v>161</v>
      </c>
      <c r="C10" s="121"/>
      <c r="D10" s="121"/>
      <c r="E10" s="121"/>
      <c r="F10" s="121"/>
      <c r="G10" s="121"/>
      <c r="H10" s="122"/>
    </row>
    <row r="12" spans="1:15" ht="19.899999999999999" customHeight="1" x14ac:dyDescent="0.25">
      <c r="A12" s="123" t="s">
        <v>933</v>
      </c>
      <c r="B12" s="124"/>
      <c r="C12" s="125"/>
      <c r="D12" s="126"/>
      <c r="E12" s="127"/>
      <c r="F12" s="127"/>
      <c r="G12" s="127"/>
      <c r="H12" s="128"/>
    </row>
    <row r="13" spans="1:15" ht="15.95" customHeight="1" x14ac:dyDescent="0.25">
      <c r="A13" s="129"/>
      <c r="B13" s="130"/>
      <c r="C13" s="131"/>
      <c r="D13" s="132"/>
      <c r="E13" s="132"/>
      <c r="F13" s="132"/>
      <c r="H13" s="133"/>
      <c r="J13" s="173"/>
      <c r="K13" s="173"/>
    </row>
    <row r="14" spans="1:15" ht="15.95" customHeight="1" x14ac:dyDescent="0.25">
      <c r="A14" s="134" t="s">
        <v>14</v>
      </c>
      <c r="B14" s="1051" t="s">
        <v>18</v>
      </c>
      <c r="C14" s="1052"/>
      <c r="D14" s="1053" t="s">
        <v>5</v>
      </c>
      <c r="E14" s="1054"/>
      <c r="F14" s="135" t="s">
        <v>163</v>
      </c>
      <c r="G14" s="136" t="s">
        <v>16</v>
      </c>
      <c r="H14" s="133"/>
      <c r="J14" s="173"/>
      <c r="K14" s="173"/>
    </row>
    <row r="15" spans="1:15" ht="21.6" customHeight="1" x14ac:dyDescent="0.25">
      <c r="A15" s="176" t="s">
        <v>177</v>
      </c>
      <c r="B15" s="177">
        <f>DADOS_INICIAIS!E11*'Rev. Internos de Parede'!D15</f>
        <v>12280.934684943586</v>
      </c>
      <c r="C15" s="178" t="s">
        <v>2</v>
      </c>
      <c r="D15" s="179">
        <f>2.1*Alvenaria!$J$35</f>
        <v>0.83581185897793608</v>
      </c>
      <c r="E15" s="149" t="s">
        <v>175</v>
      </c>
      <c r="F15" s="180" t="s">
        <v>164</v>
      </c>
      <c r="G15" s="146">
        <f>+B15*5*1.1</f>
        <v>67545.140767189718</v>
      </c>
      <c r="H15" s="140" t="s">
        <v>1106</v>
      </c>
    </row>
    <row r="16" spans="1:15" ht="21.6" customHeight="1" x14ac:dyDescent="0.25">
      <c r="A16" s="175" t="s">
        <v>178</v>
      </c>
      <c r="B16" s="177">
        <f>DADOS_INICIAIS!E11*'Rev. Internos de Parede'!D16</f>
        <v>12280.934684943586</v>
      </c>
      <c r="C16" s="178" t="s">
        <v>2</v>
      </c>
      <c r="D16" s="179">
        <f>2.1*Alvenaria!$J$35</f>
        <v>0.83581185897793608</v>
      </c>
      <c r="E16" s="149" t="s">
        <v>175</v>
      </c>
      <c r="F16" s="180" t="s">
        <v>164</v>
      </c>
      <c r="G16" s="146">
        <f>50*B16*1.1</f>
        <v>675451.40767189732</v>
      </c>
      <c r="H16" s="140" t="s">
        <v>1106</v>
      </c>
    </row>
    <row r="17" spans="1:14" ht="21.6" customHeight="1" x14ac:dyDescent="0.25">
      <c r="A17" s="175" t="s">
        <v>182</v>
      </c>
      <c r="B17" s="177">
        <f>DADOS_INICIAIS!E21+DADOS_INICIAIS!F21</f>
        <v>3904.14</v>
      </c>
      <c r="C17" s="178" t="s">
        <v>37</v>
      </c>
      <c r="D17" s="179">
        <f>542.84/772</f>
        <v>0.70316062176165806</v>
      </c>
      <c r="E17" s="149" t="s">
        <v>1163</v>
      </c>
      <c r="F17" s="180" t="s">
        <v>164</v>
      </c>
      <c r="G17" s="146">
        <f>B17*D17*24*1.1</f>
        <v>72474.270259896381</v>
      </c>
      <c r="H17" s="140"/>
    </row>
    <row r="18" spans="1:14" ht="21.6" customHeight="1" x14ac:dyDescent="0.25">
      <c r="A18" s="188" t="s">
        <v>694</v>
      </c>
      <c r="B18" s="185">
        <f>SUMIF('REVESTIMENTO PAREDE PISCINA'!E:E,A18,'REVESTIMENTO PAREDE PISCINA'!J:J)</f>
        <v>677.34799999999973</v>
      </c>
      <c r="C18" s="584" t="s">
        <v>187</v>
      </c>
      <c r="D18" s="186">
        <v>210</v>
      </c>
      <c r="E18" s="151" t="s">
        <v>169</v>
      </c>
      <c r="F18" s="585" t="s">
        <v>164</v>
      </c>
      <c r="G18" s="152">
        <f>+D18*B18*1.1</f>
        <v>156467.38799999995</v>
      </c>
      <c r="H18" s="586" t="s">
        <v>712</v>
      </c>
      <c r="I18" s="189"/>
    </row>
    <row r="19" spans="1:14" ht="21.6" customHeight="1" x14ac:dyDescent="0.25">
      <c r="A19" s="191" t="s">
        <v>192</v>
      </c>
      <c r="B19" s="936">
        <v>1</v>
      </c>
      <c r="C19" s="1000" t="s">
        <v>27</v>
      </c>
      <c r="D19" s="194">
        <f>D43</f>
        <v>79.298972021878797</v>
      </c>
      <c r="E19" s="151" t="s">
        <v>6</v>
      </c>
      <c r="F19" s="585" t="s">
        <v>164</v>
      </c>
      <c r="G19" s="203">
        <f>D19*DADOS_INICIAIS!$E$11*1.1</f>
        <v>1281690.4116342859</v>
      </c>
      <c r="H19" s="140"/>
    </row>
    <row r="20" spans="1:14" ht="15" customHeight="1" x14ac:dyDescent="0.25">
      <c r="A20" s="1055" t="s">
        <v>17</v>
      </c>
      <c r="B20" s="1056"/>
      <c r="C20" s="1056"/>
      <c r="D20" s="1056"/>
      <c r="E20" s="1056"/>
      <c r="F20" s="1056"/>
      <c r="G20" s="160">
        <f>SUM(G15:G19)</f>
        <v>2253628.6183332694</v>
      </c>
      <c r="H20" s="161"/>
    </row>
    <row r="21" spans="1:14" ht="15.95" customHeight="1" x14ac:dyDescent="0.25">
      <c r="A21" s="1057"/>
      <c r="B21" s="1058"/>
      <c r="C21" s="1058"/>
      <c r="D21" s="1058"/>
      <c r="E21" s="1058"/>
      <c r="F21" s="1058"/>
      <c r="G21" s="181"/>
      <c r="H21" s="165"/>
    </row>
    <row r="23" spans="1:14" x14ac:dyDescent="0.25">
      <c r="A23" s="1047" t="s">
        <v>179</v>
      </c>
      <c r="B23" s="1047"/>
      <c r="C23" s="1047"/>
      <c r="D23" s="1047"/>
      <c r="E23" s="1047"/>
      <c r="F23" s="1047"/>
      <c r="G23" s="168">
        <f>SUM(G15:G17)</f>
        <v>815470.81869898341</v>
      </c>
      <c r="H23" s="169">
        <f>G23/DADOS_INICIAIS!$E$11</f>
        <v>55.499047784585443</v>
      </c>
      <c r="J23" s="173"/>
      <c r="K23" s="173"/>
    </row>
    <row r="24" spans="1:14" x14ac:dyDescent="0.25">
      <c r="A24" s="1047" t="s">
        <v>193</v>
      </c>
      <c r="B24" s="1047"/>
      <c r="C24" s="1047"/>
      <c r="D24" s="1047"/>
      <c r="E24" s="1047"/>
      <c r="F24" s="1047"/>
      <c r="G24" s="168">
        <f>SUM(G18:G19)</f>
        <v>1438157.799634286</v>
      </c>
      <c r="H24" s="169">
        <f>G24/DADOS_INICIAIS!$E$11</f>
        <v>97.877675832739143</v>
      </c>
      <c r="J24" s="173"/>
      <c r="K24" s="173"/>
    </row>
    <row r="25" spans="1:14" ht="17.45" customHeight="1" x14ac:dyDescent="0.25">
      <c r="A25" s="1047" t="s">
        <v>1098</v>
      </c>
      <c r="B25" s="1047"/>
      <c r="C25" s="1047"/>
      <c r="D25" s="1047"/>
      <c r="E25" s="1047"/>
      <c r="F25" s="1047"/>
      <c r="G25" s="168">
        <f>G20</f>
        <v>2253628.6183332694</v>
      </c>
      <c r="H25" s="169">
        <f>G25/DADOS_INICIAIS!E11</f>
        <v>153.37672361732459</v>
      </c>
      <c r="J25" s="173"/>
      <c r="K25" s="173"/>
    </row>
    <row r="27" spans="1:14" x14ac:dyDescent="0.25">
      <c r="G27" s="628"/>
    </row>
    <row r="30" spans="1:14" ht="15" x14ac:dyDescent="0.25">
      <c r="B30" s="1076" t="s">
        <v>1101</v>
      </c>
      <c r="C30" s="1076"/>
      <c r="D30" s="1076"/>
      <c r="E30" s="1076"/>
      <c r="F30" s="1076"/>
      <c r="J30" s="1076" t="s">
        <v>1270</v>
      </c>
      <c r="K30" s="1076"/>
      <c r="L30" s="1076"/>
      <c r="M30" s="1076"/>
      <c r="N30" s="1076"/>
    </row>
    <row r="31" spans="1:14" x14ac:dyDescent="0.25">
      <c r="B31" s="170" t="s">
        <v>706</v>
      </c>
      <c r="C31" s="171" t="s">
        <v>16</v>
      </c>
      <c r="J31" s="170" t="s">
        <v>706</v>
      </c>
      <c r="K31" s="170"/>
      <c r="L31" s="171" t="s">
        <v>16</v>
      </c>
    </row>
    <row r="32" spans="1:14" x14ac:dyDescent="0.25">
      <c r="A32" s="206" t="s">
        <v>1103</v>
      </c>
      <c r="B32" s="170">
        <f>3856.77</f>
        <v>3856.77</v>
      </c>
      <c r="C32" s="171">
        <v>216873.88</v>
      </c>
      <c r="E32" s="1" t="s">
        <v>1104</v>
      </c>
      <c r="I32" s="206" t="s">
        <v>1103</v>
      </c>
      <c r="J32" s="170">
        <f>3856.77</f>
        <v>3856.77</v>
      </c>
      <c r="K32" s="170">
        <v>175</v>
      </c>
      <c r="L32" s="171">
        <f>J32*K32</f>
        <v>674934.75</v>
      </c>
    </row>
    <row r="33" spans="1:12" x14ac:dyDescent="0.25">
      <c r="A33" s="206" t="s">
        <v>1103</v>
      </c>
      <c r="B33" s="170">
        <v>28.9</v>
      </c>
      <c r="C33" s="171">
        <v>440.95</v>
      </c>
      <c r="E33" s="170">
        <f>280859.09+2140564.22-437026.95-(31147.02*40)</f>
        <v>738515.56</v>
      </c>
      <c r="I33" s="206" t="s">
        <v>1103</v>
      </c>
      <c r="J33" s="170">
        <v>28.9</v>
      </c>
      <c r="K33" s="170">
        <v>175</v>
      </c>
      <c r="L33" s="171">
        <f t="shared" ref="L33:L34" si="0">J33*K33</f>
        <v>5057.5</v>
      </c>
    </row>
    <row r="34" spans="1:12" x14ac:dyDescent="0.25">
      <c r="A34" s="206" t="s">
        <v>1103</v>
      </c>
      <c r="B34" s="170">
        <v>49</v>
      </c>
      <c r="C34" s="171">
        <v>32181</v>
      </c>
      <c r="E34" s="1">
        <v>14888.46</v>
      </c>
      <c r="F34" s="1" t="s">
        <v>8</v>
      </c>
      <c r="I34" s="206" t="s">
        <v>1103</v>
      </c>
      <c r="J34" s="170">
        <v>49</v>
      </c>
      <c r="K34" s="170">
        <v>559.25</v>
      </c>
      <c r="L34" s="171">
        <f t="shared" si="0"/>
        <v>27403.25</v>
      </c>
    </row>
    <row r="35" spans="1:12" x14ac:dyDescent="0.25">
      <c r="A35" s="206" t="s">
        <v>1103</v>
      </c>
      <c r="B35" s="170">
        <f>SUM(B32:B34)</f>
        <v>3934.67</v>
      </c>
      <c r="C35" s="171">
        <v>327403.25</v>
      </c>
      <c r="E35" s="173">
        <f>E33/E34</f>
        <v>49.603220212164324</v>
      </c>
      <c r="G35" s="1">
        <v>228</v>
      </c>
      <c r="I35" s="206" t="s">
        <v>1103</v>
      </c>
      <c r="J35" s="170">
        <f>SUM(J32:J34)</f>
        <v>3934.67</v>
      </c>
      <c r="K35" s="170"/>
      <c r="L35" s="171">
        <v>327403.25</v>
      </c>
    </row>
    <row r="36" spans="1:12" x14ac:dyDescent="0.25">
      <c r="A36" s="206" t="s">
        <v>1103</v>
      </c>
      <c r="C36" s="171">
        <f>2410564.22-(31147.02*50)</f>
        <v>853213.2200000002</v>
      </c>
      <c r="I36" s="206" t="s">
        <v>1103</v>
      </c>
      <c r="J36" s="170"/>
      <c r="K36" s="170"/>
      <c r="L36" s="171">
        <f>2410564.22-(31147.02*50)</f>
        <v>853213.2200000002</v>
      </c>
    </row>
    <row r="37" spans="1:12" x14ac:dyDescent="0.25">
      <c r="A37" s="206" t="s">
        <v>1105</v>
      </c>
      <c r="B37" s="703">
        <f>SUM(B32:B36)</f>
        <v>7869.34</v>
      </c>
      <c r="C37" s="703">
        <f>SUM(C32:C36)</f>
        <v>1430112.3000000003</v>
      </c>
      <c r="I37" s="206" t="s">
        <v>1105</v>
      </c>
      <c r="J37" s="703">
        <f>SUM(J32:J36)</f>
        <v>7869.34</v>
      </c>
      <c r="K37" s="703"/>
      <c r="L37" s="703">
        <f>SUM(L32:L36)</f>
        <v>1888011.9700000002</v>
      </c>
    </row>
    <row r="38" spans="1:12" x14ac:dyDescent="0.25">
      <c r="A38" s="206" t="s">
        <v>1102</v>
      </c>
      <c r="B38" s="704">
        <v>175</v>
      </c>
      <c r="C38" s="703">
        <v>175</v>
      </c>
      <c r="I38" s="206" t="s">
        <v>1102</v>
      </c>
      <c r="J38" s="704">
        <v>175</v>
      </c>
      <c r="K38" s="704"/>
      <c r="L38" s="703">
        <v>175</v>
      </c>
    </row>
    <row r="39" spans="1:12" x14ac:dyDescent="0.25">
      <c r="B39" s="170">
        <f>B37/B38</f>
        <v>44.967657142857142</v>
      </c>
      <c r="C39" s="170">
        <f>C37/C38</f>
        <v>8172.0702857142869</v>
      </c>
      <c r="J39" s="170">
        <f>J37/J38</f>
        <v>44.967657142857142</v>
      </c>
      <c r="K39" s="170"/>
      <c r="L39" s="170">
        <f>L37/L38</f>
        <v>10788.639828571429</v>
      </c>
    </row>
    <row r="42" spans="1:12" x14ac:dyDescent="0.25">
      <c r="B42" s="170">
        <v>108</v>
      </c>
      <c r="C42" s="171">
        <v>108</v>
      </c>
    </row>
    <row r="43" spans="1:12" x14ac:dyDescent="0.25">
      <c r="B43" s="170">
        <f>B42*B39</f>
        <v>4856.506971428571</v>
      </c>
      <c r="C43" s="170">
        <f>C42*L39</f>
        <v>1165173.1014857143</v>
      </c>
      <c r="D43" s="172">
        <f>C43/DADOS_INICIAIS!E11</f>
        <v>79.298972021878797</v>
      </c>
    </row>
  </sheetData>
  <mergeCells count="10">
    <mergeCell ref="J30:N30"/>
    <mergeCell ref="B30:F30"/>
    <mergeCell ref="A25:F25"/>
    <mergeCell ref="A2:A4"/>
    <mergeCell ref="B14:C14"/>
    <mergeCell ref="D14:E14"/>
    <mergeCell ref="A20:F20"/>
    <mergeCell ref="A21:F21"/>
    <mergeCell ref="A23:F23"/>
    <mergeCell ref="A24:F24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B87D3-5B62-44EC-B099-23B268370DA4}">
  <sheetPr>
    <tabColor rgb="FF0070C0"/>
  </sheetPr>
  <dimension ref="A1:J21"/>
  <sheetViews>
    <sheetView showGridLines="0" topLeftCell="A9" zoomScale="91" zoomScaleNormal="91" zoomScaleSheetLayoutView="95" workbookViewId="0">
      <selection activeCell="D25" sqref="D25"/>
    </sheetView>
  </sheetViews>
  <sheetFormatPr defaultColWidth="9.140625" defaultRowHeight="12.75" x14ac:dyDescent="0.25"/>
  <cols>
    <col min="1" max="1" width="41.42578125" style="1" customWidth="1"/>
    <col min="2" max="2" width="14.85546875" style="170" customWidth="1"/>
    <col min="3" max="3" width="7.5703125" style="171" customWidth="1"/>
    <col min="4" max="4" width="10.7109375" style="172" customWidth="1"/>
    <col min="5" max="5" width="15.85546875" style="1" customWidth="1"/>
    <col min="6" max="6" width="12.85546875" style="1" customWidth="1"/>
    <col min="7" max="7" width="17.42578125" style="1" customWidth="1"/>
    <col min="8" max="8" width="10.28515625" style="1" customWidth="1"/>
    <col min="9" max="9" width="11.28515625" style="1" bestFit="1" customWidth="1"/>
    <col min="10" max="16384" width="9.140625" style="1"/>
  </cols>
  <sheetData>
    <row r="1" spans="1:10" x14ac:dyDescent="0.25">
      <c r="B1" s="2"/>
      <c r="C1" s="1"/>
      <c r="D1" s="1"/>
      <c r="G1" s="102"/>
      <c r="H1" s="102"/>
      <c r="J1" s="2"/>
    </row>
    <row r="2" spans="1:10" ht="12.75" customHeight="1" x14ac:dyDescent="0.25">
      <c r="A2" s="1049" t="s">
        <v>158</v>
      </c>
      <c r="B2" s="2"/>
      <c r="C2" s="1"/>
      <c r="D2" s="1"/>
      <c r="G2" s="103"/>
      <c r="H2" s="103"/>
      <c r="J2" s="2"/>
    </row>
    <row r="3" spans="1:10" ht="12.75" customHeight="1" x14ac:dyDescent="0.25">
      <c r="A3" s="1050"/>
      <c r="B3" s="2"/>
      <c r="C3" s="1"/>
      <c r="D3" s="1"/>
      <c r="G3" s="103"/>
      <c r="H3" s="103"/>
      <c r="J3" s="2"/>
    </row>
    <row r="4" spans="1:10" ht="12.75" customHeight="1" x14ac:dyDescent="0.25">
      <c r="A4" s="1050"/>
      <c r="B4" s="2"/>
      <c r="C4" s="1"/>
      <c r="D4" s="1"/>
      <c r="G4" s="103"/>
      <c r="H4" s="103"/>
      <c r="J4" s="2"/>
    </row>
    <row r="5" spans="1:10" ht="13.5" thickBot="1" x14ac:dyDescent="0.3">
      <c r="A5" s="104"/>
      <c r="B5" s="105"/>
      <c r="C5" s="105"/>
      <c r="D5" s="105"/>
      <c r="E5" s="105"/>
      <c r="F5" s="105"/>
      <c r="G5" s="106"/>
      <c r="H5" s="106"/>
      <c r="J5" s="2"/>
    </row>
    <row r="6" spans="1:10" x14ac:dyDescent="0.25">
      <c r="A6" s="107"/>
      <c r="B6" s="2"/>
      <c r="C6" s="1"/>
      <c r="D6" s="1"/>
      <c r="G6" s="102"/>
      <c r="H6" s="102"/>
      <c r="J6" s="2"/>
    </row>
    <row r="7" spans="1:10" x14ac:dyDescent="0.25">
      <c r="A7" s="108" t="s">
        <v>159</v>
      </c>
      <c r="B7" s="109" t="str">
        <f>DADOS_INICIAIS!B2</f>
        <v>BLUE HEAVEN</v>
      </c>
      <c r="C7" s="110"/>
      <c r="D7" s="110"/>
      <c r="E7" s="110"/>
      <c r="F7" s="110"/>
      <c r="G7" s="110"/>
      <c r="H7" s="111"/>
      <c r="J7" s="2"/>
    </row>
    <row r="8" spans="1:10" x14ac:dyDescent="0.25">
      <c r="A8" s="112" t="s">
        <v>0</v>
      </c>
      <c r="B8" s="109" t="str">
        <f>DADOS_INICIAIS!B1</f>
        <v>MONOLYT</v>
      </c>
      <c r="C8" s="113"/>
      <c r="D8" s="113"/>
      <c r="E8" s="113"/>
      <c r="F8" s="113"/>
      <c r="G8" s="113"/>
      <c r="H8" s="114"/>
      <c r="J8" s="2"/>
    </row>
    <row r="9" spans="1:10" ht="15" customHeight="1" x14ac:dyDescent="0.25">
      <c r="A9" s="115" t="s">
        <v>160</v>
      </c>
      <c r="B9" s="116"/>
      <c r="C9" s="117"/>
      <c r="D9" s="117"/>
      <c r="E9" s="117"/>
      <c r="F9" s="117"/>
      <c r="G9" s="117"/>
      <c r="H9" s="118"/>
    </row>
    <row r="10" spans="1:10" x14ac:dyDescent="0.25">
      <c r="A10" s="119" t="s">
        <v>1</v>
      </c>
      <c r="B10" s="120" t="s">
        <v>161</v>
      </c>
      <c r="C10" s="121"/>
      <c r="D10" s="121"/>
      <c r="E10" s="121"/>
      <c r="F10" s="121"/>
      <c r="G10" s="121"/>
      <c r="H10" s="122"/>
    </row>
    <row r="12" spans="1:10" x14ac:dyDescent="0.25">
      <c r="A12" s="123" t="s">
        <v>180</v>
      </c>
      <c r="B12" s="124"/>
      <c r="C12" s="125"/>
      <c r="D12" s="126"/>
      <c r="E12" s="127"/>
      <c r="F12" s="127"/>
      <c r="G12" s="127"/>
      <c r="H12" s="128"/>
    </row>
    <row r="13" spans="1:10" ht="15.95" customHeight="1" x14ac:dyDescent="0.25">
      <c r="A13" s="129"/>
      <c r="B13" s="166"/>
      <c r="C13" s="131"/>
      <c r="D13" s="132"/>
      <c r="E13" s="132"/>
      <c r="F13" s="132"/>
      <c r="H13" s="133"/>
    </row>
    <row r="14" spans="1:10" ht="15.95" customHeight="1" x14ac:dyDescent="0.25">
      <c r="A14" s="134" t="s">
        <v>14</v>
      </c>
      <c r="B14" s="1051" t="s">
        <v>18</v>
      </c>
      <c r="C14" s="1052"/>
      <c r="D14" s="1053" t="s">
        <v>5</v>
      </c>
      <c r="E14" s="1054"/>
      <c r="F14" s="135" t="s">
        <v>163</v>
      </c>
      <c r="G14" s="136" t="s">
        <v>16</v>
      </c>
      <c r="H14" s="133"/>
    </row>
    <row r="15" spans="1:10" ht="15.95" customHeight="1" x14ac:dyDescent="0.25">
      <c r="A15" s="1001" t="s">
        <v>687</v>
      </c>
      <c r="B15" s="1002">
        <f>D15*DADOS_INICIAIS!$E$11</f>
        <v>8816.0519999999997</v>
      </c>
      <c r="C15" s="940" t="s">
        <v>2</v>
      </c>
      <c r="D15" s="939">
        <v>0.6</v>
      </c>
      <c r="E15" s="1003" t="s">
        <v>35</v>
      </c>
      <c r="F15" s="1004" t="s">
        <v>164</v>
      </c>
      <c r="G15" s="1005">
        <f>+B15*140*1.1</f>
        <v>1357672.0080000001</v>
      </c>
      <c r="H15" s="513" t="s">
        <v>1381</v>
      </c>
    </row>
    <row r="16" spans="1:10" ht="15.95" customHeight="1" x14ac:dyDescent="0.25">
      <c r="A16" s="990" t="s">
        <v>181</v>
      </c>
      <c r="B16" s="991">
        <f>B15*1.2</f>
        <v>10579.2624</v>
      </c>
      <c r="C16" s="709" t="s">
        <v>4</v>
      </c>
      <c r="D16" s="992">
        <f>B16/DADOS_INICIAIS!E11</f>
        <v>0.72</v>
      </c>
      <c r="E16" s="993" t="s">
        <v>1384</v>
      </c>
      <c r="F16" s="994" t="s">
        <v>164</v>
      </c>
      <c r="G16" s="711">
        <f>+B16*25*1.1</f>
        <v>290929.71600000001</v>
      </c>
      <c r="H16" s="133"/>
      <c r="J16" s="2"/>
    </row>
    <row r="17" spans="1:10" ht="15.95" customHeight="1" x14ac:dyDescent="0.25">
      <c r="A17" s="1006" t="s">
        <v>182</v>
      </c>
      <c r="B17" s="1007">
        <f>D17*DADOS_INICIAIS!$E$11</f>
        <v>4408.0259999999998</v>
      </c>
      <c r="C17" s="940" t="s">
        <v>2</v>
      </c>
      <c r="D17" s="1008">
        <v>0.3</v>
      </c>
      <c r="E17" s="1003" t="s">
        <v>35</v>
      </c>
      <c r="F17" s="1009" t="s">
        <v>164</v>
      </c>
      <c r="G17" s="943">
        <f>B17*24*1.1</f>
        <v>116371.8864</v>
      </c>
      <c r="H17" s="513" t="s">
        <v>1380</v>
      </c>
      <c r="J17" s="2"/>
    </row>
    <row r="18" spans="1:10" ht="15.95" customHeight="1" x14ac:dyDescent="0.25">
      <c r="A18" s="1055" t="s">
        <v>17</v>
      </c>
      <c r="B18" s="1056"/>
      <c r="C18" s="1056"/>
      <c r="D18" s="1056"/>
      <c r="E18" s="1056"/>
      <c r="F18" s="1056"/>
      <c r="G18" s="160">
        <f>SUM(G15:G17)</f>
        <v>1764973.6104000001</v>
      </c>
      <c r="H18" s="161"/>
    </row>
    <row r="19" spans="1:10" ht="15.95" customHeight="1" x14ac:dyDescent="0.25">
      <c r="A19" s="1057"/>
      <c r="B19" s="1058"/>
      <c r="C19" s="1058"/>
      <c r="D19" s="1058"/>
      <c r="E19" s="1058"/>
      <c r="F19" s="1058"/>
      <c r="G19" s="181"/>
      <c r="H19" s="165"/>
    </row>
    <row r="21" spans="1:10" x14ac:dyDescent="0.25">
      <c r="A21" s="1047" t="s">
        <v>184</v>
      </c>
      <c r="B21" s="1047"/>
      <c r="C21" s="1047"/>
      <c r="D21" s="1047"/>
      <c r="E21" s="1047"/>
      <c r="F21" s="1047"/>
      <c r="G21" s="168">
        <f>G18</f>
        <v>1764973.6104000001</v>
      </c>
      <c r="H21" s="169">
        <f>G21/DADOS_INICIAIS!E11</f>
        <v>120.12</v>
      </c>
    </row>
  </sheetData>
  <mergeCells count="6">
    <mergeCell ref="A21:F21"/>
    <mergeCell ref="A2:A4"/>
    <mergeCell ref="B14:C14"/>
    <mergeCell ref="D14:E14"/>
    <mergeCell ref="A18:F18"/>
    <mergeCell ref="A19:F19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4B744-EBCB-4B3D-A95D-D5AD501AF221}">
  <sheetPr>
    <tabColor rgb="FF0070C0"/>
  </sheetPr>
  <dimension ref="A1:U1011"/>
  <sheetViews>
    <sheetView showGridLines="0" topLeftCell="A4" zoomScale="85" zoomScaleNormal="85" workbookViewId="0">
      <selection activeCell="F27" sqref="F27"/>
    </sheetView>
  </sheetViews>
  <sheetFormatPr defaultColWidth="14.42578125" defaultRowHeight="15" customHeight="1" x14ac:dyDescent="0.25"/>
  <cols>
    <col min="1" max="1" width="12.28515625" customWidth="1"/>
    <col min="2" max="3" width="14.5703125" customWidth="1"/>
    <col min="4" max="4" width="31" customWidth="1"/>
    <col min="5" max="5" width="19.85546875" customWidth="1"/>
    <col min="6" max="6" width="19.7109375" customWidth="1"/>
    <col min="7" max="7" width="15.7109375" customWidth="1"/>
    <col min="8" max="8" width="8.85546875" customWidth="1"/>
    <col min="9" max="10" width="20.7109375" customWidth="1"/>
    <col min="11" max="11" width="22.5703125" customWidth="1"/>
    <col min="12" max="21" width="8.7109375" customWidth="1"/>
  </cols>
  <sheetData>
    <row r="1" spans="1:21" ht="15" customHeight="1" x14ac:dyDescent="0.25">
      <c r="A1" s="214" t="s">
        <v>0</v>
      </c>
      <c r="B1" s="399"/>
      <c r="C1" s="518"/>
      <c r="D1" s="400"/>
      <c r="E1" s="402"/>
      <c r="F1" s="401"/>
      <c r="G1" s="401"/>
      <c r="H1" s="402"/>
      <c r="I1" s="402"/>
      <c r="J1" s="401"/>
      <c r="K1" s="551"/>
    </row>
    <row r="2" spans="1:21" ht="15" customHeight="1" x14ac:dyDescent="0.25">
      <c r="A2" s="219" t="s">
        <v>113</v>
      </c>
      <c r="B2" s="404"/>
      <c r="C2" s="519"/>
      <c r="D2" s="405"/>
      <c r="E2" s="407"/>
      <c r="F2" s="406"/>
      <c r="G2" s="406"/>
      <c r="H2" s="407"/>
      <c r="I2" s="407"/>
      <c r="J2" s="406"/>
      <c r="K2" s="552"/>
    </row>
    <row r="3" spans="1:21" ht="15" customHeight="1" x14ac:dyDescent="0.25">
      <c r="A3" s="219" t="s">
        <v>1</v>
      </c>
      <c r="B3" s="404"/>
      <c r="C3" s="519"/>
      <c r="D3" s="405"/>
      <c r="E3" s="407"/>
      <c r="F3" s="406"/>
      <c r="G3" s="406"/>
      <c r="H3" s="407"/>
      <c r="I3" s="407"/>
      <c r="J3" s="406"/>
      <c r="K3" s="552"/>
    </row>
    <row r="4" spans="1:21" ht="15" customHeight="1" x14ac:dyDescent="0.25">
      <c r="A4" s="409" t="s">
        <v>160</v>
      </c>
      <c r="B4" s="410"/>
      <c r="C4" s="520"/>
      <c r="D4" s="405"/>
      <c r="E4" s="412"/>
      <c r="F4" s="411"/>
      <c r="G4" s="411"/>
      <c r="H4" s="412"/>
      <c r="I4" s="412"/>
      <c r="J4" s="411"/>
      <c r="K4" s="552"/>
    </row>
    <row r="5" spans="1:21" ht="26.25" customHeight="1" x14ac:dyDescent="0.25">
      <c r="A5" s="1061" t="s">
        <v>283</v>
      </c>
      <c r="B5" s="1062"/>
      <c r="C5" s="1062"/>
      <c r="D5" s="1062"/>
      <c r="E5" s="1062"/>
      <c r="F5" s="1062"/>
      <c r="G5" s="1062"/>
      <c r="H5" s="1062"/>
      <c r="I5" s="1062"/>
      <c r="J5" s="1062"/>
      <c r="K5" s="1063"/>
    </row>
    <row r="6" spans="1:21" ht="14.25" customHeight="1" x14ac:dyDescent="0.25">
      <c r="A6" s="284"/>
      <c r="B6" s="289"/>
      <c r="C6" s="289"/>
      <c r="D6" s="289"/>
      <c r="E6" s="289"/>
      <c r="F6" s="413"/>
      <c r="G6" s="413"/>
      <c r="H6" s="289"/>
      <c r="I6" s="289"/>
      <c r="J6" s="413"/>
      <c r="K6" s="285"/>
    </row>
    <row r="7" spans="1:21" ht="26.25" customHeight="1" x14ac:dyDescent="0.25">
      <c r="A7" s="1064" t="s">
        <v>1167</v>
      </c>
      <c r="B7" s="1062"/>
      <c r="C7" s="1062"/>
      <c r="D7" s="1062"/>
      <c r="E7" s="1062"/>
      <c r="F7" s="1062"/>
      <c r="G7" s="1062"/>
      <c r="H7" s="1062"/>
      <c r="I7" s="1062"/>
      <c r="J7" s="1062"/>
      <c r="K7" s="1063"/>
    </row>
    <row r="8" spans="1:21" ht="14.25" customHeight="1" thickBot="1" x14ac:dyDescent="0.3">
      <c r="A8" s="284"/>
      <c r="B8" s="289"/>
      <c r="C8" s="289"/>
      <c r="D8" s="289"/>
      <c r="E8" s="289"/>
      <c r="F8" s="413"/>
      <c r="G8" s="413"/>
      <c r="H8" s="289"/>
      <c r="I8" s="289"/>
      <c r="J8" s="413"/>
      <c r="K8" s="285"/>
      <c r="L8" s="289"/>
      <c r="M8" s="289"/>
      <c r="N8" s="289"/>
      <c r="O8" s="289"/>
      <c r="P8" s="289"/>
      <c r="Q8" s="289"/>
      <c r="R8" s="289"/>
      <c r="S8" s="289"/>
      <c r="T8" s="289"/>
      <c r="U8" s="289"/>
    </row>
    <row r="9" spans="1:21" ht="14.25" customHeight="1" thickBot="1" x14ac:dyDescent="0.3">
      <c r="A9" s="284"/>
      <c r="B9" s="1065" t="s">
        <v>521</v>
      </c>
      <c r="C9" s="1066"/>
      <c r="D9" s="1067"/>
      <c r="E9" s="1067"/>
      <c r="F9" s="1067"/>
      <c r="G9" s="1060"/>
      <c r="H9" s="289"/>
      <c r="I9" s="1068" t="s">
        <v>1170</v>
      </c>
      <c r="J9" s="1069"/>
      <c r="K9" s="285"/>
    </row>
    <row r="10" spans="1:21" ht="14.25" customHeight="1" x14ac:dyDescent="0.25">
      <c r="A10" s="284"/>
      <c r="B10" s="525" t="s">
        <v>522</v>
      </c>
      <c r="C10" s="521" t="s">
        <v>700</v>
      </c>
      <c r="D10" s="415" t="s">
        <v>528</v>
      </c>
      <c r="E10" s="415" t="s">
        <v>1168</v>
      </c>
      <c r="F10" s="435" t="s">
        <v>1169</v>
      </c>
      <c r="G10" s="526" t="s">
        <v>1179</v>
      </c>
      <c r="H10" s="289"/>
      <c r="I10" s="545" t="s">
        <v>14</v>
      </c>
      <c r="J10" s="546" t="s">
        <v>1178</v>
      </c>
      <c r="K10" s="285"/>
    </row>
    <row r="11" spans="1:21" ht="14.25" customHeight="1" x14ac:dyDescent="0.25">
      <c r="A11" s="284"/>
      <c r="B11" s="527" t="s">
        <v>607</v>
      </c>
      <c r="C11" s="522" t="s">
        <v>635</v>
      </c>
      <c r="D11" s="420" t="s">
        <v>608</v>
      </c>
      <c r="E11" s="420"/>
      <c r="F11" s="437"/>
      <c r="G11" s="528"/>
      <c r="H11" s="289"/>
      <c r="I11" s="540" t="s">
        <v>1171</v>
      </c>
      <c r="J11" s="547">
        <f>COUNTIF(E:E,"Sim")</f>
        <v>132</v>
      </c>
      <c r="K11" s="285"/>
    </row>
    <row r="12" spans="1:21" ht="14.25" customHeight="1" thickBot="1" x14ac:dyDescent="0.3">
      <c r="A12" s="284"/>
      <c r="B12" s="529" t="s">
        <v>607</v>
      </c>
      <c r="C12" s="523" t="s">
        <v>635</v>
      </c>
      <c r="D12" s="426" t="s">
        <v>609</v>
      </c>
      <c r="E12" s="426"/>
      <c r="F12" s="440"/>
      <c r="G12" s="530"/>
      <c r="H12" s="289"/>
      <c r="I12" s="541" t="s">
        <v>1172</v>
      </c>
      <c r="J12" s="548">
        <f>COUNTIF(F:F,"Sim")</f>
        <v>12</v>
      </c>
      <c r="K12" s="285"/>
    </row>
    <row r="13" spans="1:21" ht="14.25" customHeight="1" thickBot="1" x14ac:dyDescent="0.3">
      <c r="A13" s="284"/>
      <c r="B13" s="529" t="s">
        <v>607</v>
      </c>
      <c r="C13" s="523" t="s">
        <v>635</v>
      </c>
      <c r="D13" s="426" t="s">
        <v>610</v>
      </c>
      <c r="E13" s="426"/>
      <c r="F13" s="440"/>
      <c r="G13" s="530"/>
      <c r="H13" s="289"/>
      <c r="I13" s="549"/>
      <c r="J13" s="550"/>
      <c r="K13" s="285"/>
    </row>
    <row r="14" spans="1:21" ht="14.25" customHeight="1" thickBot="1" x14ac:dyDescent="0.3">
      <c r="A14" s="284"/>
      <c r="B14" s="529" t="s">
        <v>607</v>
      </c>
      <c r="C14" s="523" t="s">
        <v>635</v>
      </c>
      <c r="D14" s="426" t="s">
        <v>611</v>
      </c>
      <c r="E14" s="426"/>
      <c r="F14" s="440"/>
      <c r="G14" s="530"/>
      <c r="H14" s="289"/>
      <c r="I14" s="1059"/>
      <c r="J14" s="1060"/>
      <c r="K14" s="285"/>
    </row>
    <row r="15" spans="1:21" ht="14.25" customHeight="1" x14ac:dyDescent="0.25">
      <c r="A15" s="284"/>
      <c r="B15" s="529" t="s">
        <v>612</v>
      </c>
      <c r="C15" s="523" t="s">
        <v>613</v>
      </c>
      <c r="D15" s="426" t="s">
        <v>614</v>
      </c>
      <c r="E15" s="426" t="s">
        <v>701</v>
      </c>
      <c r="F15" s="440"/>
      <c r="G15" s="530"/>
      <c r="H15" s="289"/>
      <c r="I15" s="542" t="s">
        <v>529</v>
      </c>
      <c r="J15" s="526" t="s">
        <v>525</v>
      </c>
      <c r="K15" s="285"/>
    </row>
    <row r="16" spans="1:21" ht="14.25" customHeight="1" x14ac:dyDescent="0.25">
      <c r="A16" s="284" t="str">
        <f>IF(C15="*&amp;APTO&amp;*","OK","")</f>
        <v/>
      </c>
      <c r="B16" s="529" t="s">
        <v>612</v>
      </c>
      <c r="C16" s="523" t="s">
        <v>613</v>
      </c>
      <c r="D16" s="426" t="s">
        <v>615</v>
      </c>
      <c r="E16" s="426"/>
      <c r="F16" s="440"/>
      <c r="G16" s="530"/>
      <c r="H16" s="289"/>
      <c r="I16" s="543"/>
      <c r="J16" s="539">
        <f t="shared" ref="J16:J33" si="0">SUMIF(E:E,I16,G:G)</f>
        <v>0</v>
      </c>
      <c r="K16" s="285"/>
    </row>
    <row r="17" spans="1:11" ht="14.25" customHeight="1" x14ac:dyDescent="0.25">
      <c r="A17" s="284"/>
      <c r="B17" s="529" t="s">
        <v>612</v>
      </c>
      <c r="C17" s="523" t="s">
        <v>613</v>
      </c>
      <c r="D17" s="426" t="s">
        <v>616</v>
      </c>
      <c r="E17" s="426"/>
      <c r="F17" s="440"/>
      <c r="G17" s="530" t="s">
        <v>701</v>
      </c>
      <c r="H17" s="289"/>
      <c r="I17" s="544"/>
      <c r="J17" s="530">
        <f t="shared" si="0"/>
        <v>0</v>
      </c>
      <c r="K17" s="285"/>
    </row>
    <row r="18" spans="1:11" ht="14.25" customHeight="1" x14ac:dyDescent="0.25">
      <c r="A18" s="284"/>
      <c r="B18" s="529" t="s">
        <v>612</v>
      </c>
      <c r="C18" s="523" t="s">
        <v>613</v>
      </c>
      <c r="D18" s="426" t="s">
        <v>618</v>
      </c>
      <c r="E18" s="426"/>
      <c r="F18" s="440"/>
      <c r="G18" s="530"/>
      <c r="H18" s="289"/>
      <c r="I18" s="544"/>
      <c r="J18" s="530">
        <f t="shared" si="0"/>
        <v>0</v>
      </c>
      <c r="K18" s="285"/>
    </row>
    <row r="19" spans="1:11" ht="14.25" customHeight="1" x14ac:dyDescent="0.25">
      <c r="A19" s="284"/>
      <c r="B19" s="529" t="s">
        <v>612</v>
      </c>
      <c r="C19" s="523" t="s">
        <v>613</v>
      </c>
      <c r="D19" s="426" t="s">
        <v>689</v>
      </c>
      <c r="E19" s="426"/>
      <c r="F19" s="440"/>
      <c r="G19" s="530"/>
      <c r="H19" s="289"/>
      <c r="I19" s="544"/>
      <c r="J19" s="530">
        <f t="shared" si="0"/>
        <v>0</v>
      </c>
      <c r="K19" s="285"/>
    </row>
    <row r="20" spans="1:11" ht="14.25" customHeight="1" x14ac:dyDescent="0.25">
      <c r="A20" s="284"/>
      <c r="B20" s="529" t="s">
        <v>612</v>
      </c>
      <c r="C20" s="523" t="s">
        <v>613</v>
      </c>
      <c r="D20" s="426" t="s">
        <v>619</v>
      </c>
      <c r="E20" s="426"/>
      <c r="F20" s="440"/>
      <c r="G20" s="530"/>
      <c r="H20" s="289"/>
      <c r="I20" s="544"/>
      <c r="J20" s="530">
        <f t="shared" si="0"/>
        <v>0</v>
      </c>
      <c r="K20" s="285"/>
    </row>
    <row r="21" spans="1:11" ht="14.25" customHeight="1" x14ac:dyDescent="0.25">
      <c r="A21" s="284"/>
      <c r="B21" s="529" t="s">
        <v>612</v>
      </c>
      <c r="C21" s="523" t="s">
        <v>613</v>
      </c>
      <c r="D21" s="426" t="s">
        <v>620</v>
      </c>
      <c r="E21" s="426"/>
      <c r="F21" s="440"/>
      <c r="G21" s="530"/>
      <c r="H21" s="289"/>
      <c r="I21" s="544"/>
      <c r="J21" s="530">
        <f t="shared" si="0"/>
        <v>0</v>
      </c>
      <c r="K21" s="285"/>
    </row>
    <row r="22" spans="1:11" ht="14.25" customHeight="1" x14ac:dyDescent="0.25">
      <c r="A22" s="284"/>
      <c r="B22" s="529" t="s">
        <v>612</v>
      </c>
      <c r="C22" s="523" t="s">
        <v>613</v>
      </c>
      <c r="D22" s="426" t="s">
        <v>621</v>
      </c>
      <c r="E22" s="426"/>
      <c r="F22" s="440"/>
      <c r="G22" s="530" t="s">
        <v>701</v>
      </c>
      <c r="H22" s="289"/>
      <c r="I22" s="544"/>
      <c r="J22" s="530">
        <f t="shared" si="0"/>
        <v>0</v>
      </c>
      <c r="K22" s="285"/>
    </row>
    <row r="23" spans="1:11" ht="14.25" customHeight="1" x14ac:dyDescent="0.25">
      <c r="A23" s="284"/>
      <c r="B23" s="529" t="s">
        <v>612</v>
      </c>
      <c r="C23" s="523" t="s">
        <v>613</v>
      </c>
      <c r="D23" s="426" t="s">
        <v>617</v>
      </c>
      <c r="E23" s="426"/>
      <c r="F23" s="440"/>
      <c r="G23" s="530"/>
      <c r="H23" s="289"/>
      <c r="I23" s="544"/>
      <c r="J23" s="530">
        <f t="shared" si="0"/>
        <v>0</v>
      </c>
      <c r="K23" s="285"/>
    </row>
    <row r="24" spans="1:11" ht="14.25" customHeight="1" x14ac:dyDescent="0.25">
      <c r="A24" s="284"/>
      <c r="B24" s="529" t="s">
        <v>612</v>
      </c>
      <c r="C24" s="523" t="s">
        <v>613</v>
      </c>
      <c r="D24" s="426" t="s">
        <v>622</v>
      </c>
      <c r="E24" s="426" t="s">
        <v>701</v>
      </c>
      <c r="F24" s="440"/>
      <c r="G24" s="530"/>
      <c r="H24" s="289"/>
      <c r="I24" s="544"/>
      <c r="J24" s="530">
        <f t="shared" si="0"/>
        <v>0</v>
      </c>
      <c r="K24" s="285"/>
    </row>
    <row r="25" spans="1:11" ht="14.25" customHeight="1" x14ac:dyDescent="0.25">
      <c r="A25" s="284"/>
      <c r="B25" s="529" t="s">
        <v>612</v>
      </c>
      <c r="C25" s="523" t="s">
        <v>613</v>
      </c>
      <c r="D25" s="426" t="s">
        <v>623</v>
      </c>
      <c r="E25" s="426"/>
      <c r="F25" s="440"/>
      <c r="G25" s="530" t="s">
        <v>701</v>
      </c>
      <c r="H25" s="289"/>
      <c r="I25" s="544"/>
      <c r="J25" s="530">
        <f t="shared" si="0"/>
        <v>0</v>
      </c>
      <c r="K25" s="285"/>
    </row>
    <row r="26" spans="1:11" ht="14.25" customHeight="1" x14ac:dyDescent="0.25">
      <c r="A26" s="284"/>
      <c r="B26" s="529" t="s">
        <v>612</v>
      </c>
      <c r="C26" s="523" t="s">
        <v>613</v>
      </c>
      <c r="D26" s="426" t="s">
        <v>624</v>
      </c>
      <c r="E26" s="426" t="s">
        <v>701</v>
      </c>
      <c r="F26" s="440"/>
      <c r="G26" s="530"/>
      <c r="H26" s="289"/>
      <c r="I26" s="544"/>
      <c r="J26" s="530">
        <f t="shared" si="0"/>
        <v>0</v>
      </c>
      <c r="K26" s="285"/>
    </row>
    <row r="27" spans="1:11" ht="14.25" customHeight="1" x14ac:dyDescent="0.25">
      <c r="A27" s="284"/>
      <c r="B27" s="529" t="s">
        <v>612</v>
      </c>
      <c r="C27" s="523" t="s">
        <v>613</v>
      </c>
      <c r="D27" s="426" t="s">
        <v>625</v>
      </c>
      <c r="E27" s="426"/>
      <c r="F27" s="440"/>
      <c r="G27" s="530" t="s">
        <v>701</v>
      </c>
      <c r="H27" s="289"/>
      <c r="I27" s="544"/>
      <c r="J27" s="530">
        <f t="shared" si="0"/>
        <v>0</v>
      </c>
      <c r="K27" s="285"/>
    </row>
    <row r="28" spans="1:11" ht="14.25" customHeight="1" x14ac:dyDescent="0.25">
      <c r="A28" s="284"/>
      <c r="B28" s="529" t="s">
        <v>612</v>
      </c>
      <c r="C28" s="523" t="s">
        <v>613</v>
      </c>
      <c r="D28" s="426" t="s">
        <v>626</v>
      </c>
      <c r="E28" s="426" t="s">
        <v>701</v>
      </c>
      <c r="F28" s="440"/>
      <c r="G28" s="530"/>
      <c r="H28" s="289"/>
      <c r="I28" s="544"/>
      <c r="J28" s="530">
        <f t="shared" si="0"/>
        <v>0</v>
      </c>
      <c r="K28" s="285"/>
    </row>
    <row r="29" spans="1:11" ht="14.25" customHeight="1" x14ac:dyDescent="0.25">
      <c r="A29" s="284"/>
      <c r="B29" s="529" t="s">
        <v>612</v>
      </c>
      <c r="C29" s="523" t="s">
        <v>613</v>
      </c>
      <c r="D29" s="426" t="s">
        <v>627</v>
      </c>
      <c r="E29" s="426"/>
      <c r="F29" s="440"/>
      <c r="G29" s="530" t="s">
        <v>701</v>
      </c>
      <c r="H29" s="289"/>
      <c r="I29" s="544"/>
      <c r="J29" s="530">
        <f t="shared" si="0"/>
        <v>0</v>
      </c>
      <c r="K29" s="285"/>
    </row>
    <row r="30" spans="1:11" ht="14.25" customHeight="1" x14ac:dyDescent="0.25">
      <c r="A30" s="284"/>
      <c r="B30" s="529" t="s">
        <v>612</v>
      </c>
      <c r="C30" s="523" t="s">
        <v>635</v>
      </c>
      <c r="D30" s="426" t="s">
        <v>628</v>
      </c>
      <c r="E30" s="426"/>
      <c r="F30" s="440"/>
      <c r="G30" s="530"/>
      <c r="H30" s="289"/>
      <c r="I30" s="544"/>
      <c r="J30" s="530">
        <f t="shared" si="0"/>
        <v>0</v>
      </c>
      <c r="K30" s="285"/>
    </row>
    <row r="31" spans="1:11" ht="14.25" customHeight="1" x14ac:dyDescent="0.25">
      <c r="A31" s="284"/>
      <c r="B31" s="529" t="s">
        <v>612</v>
      </c>
      <c r="C31" s="523" t="s">
        <v>632</v>
      </c>
      <c r="D31" s="426" t="s">
        <v>614</v>
      </c>
      <c r="E31" s="426" t="s">
        <v>701</v>
      </c>
      <c r="F31" s="440"/>
      <c r="G31" s="530"/>
      <c r="H31" s="289"/>
      <c r="I31" s="544"/>
      <c r="J31" s="530">
        <f t="shared" si="0"/>
        <v>0</v>
      </c>
      <c r="K31" s="285"/>
    </row>
    <row r="32" spans="1:11" ht="14.25" customHeight="1" x14ac:dyDescent="0.25">
      <c r="A32" s="284"/>
      <c r="B32" s="529" t="s">
        <v>612</v>
      </c>
      <c r="C32" s="523" t="s">
        <v>632</v>
      </c>
      <c r="D32" s="426" t="s">
        <v>615</v>
      </c>
      <c r="E32" s="426"/>
      <c r="F32" s="440"/>
      <c r="G32" s="530"/>
      <c r="H32" s="289"/>
      <c r="I32" s="544"/>
      <c r="J32" s="530">
        <f t="shared" si="0"/>
        <v>0</v>
      </c>
      <c r="K32" s="285"/>
    </row>
    <row r="33" spans="1:11" ht="14.25" customHeight="1" x14ac:dyDescent="0.25">
      <c r="A33" s="284"/>
      <c r="B33" s="529" t="s">
        <v>612</v>
      </c>
      <c r="C33" s="523" t="s">
        <v>632</v>
      </c>
      <c r="D33" s="426" t="s">
        <v>616</v>
      </c>
      <c r="E33" s="426"/>
      <c r="F33" s="440"/>
      <c r="G33" s="530" t="s">
        <v>701</v>
      </c>
      <c r="H33" s="289"/>
      <c r="I33" s="544"/>
      <c r="J33" s="530">
        <f t="shared" si="0"/>
        <v>0</v>
      </c>
      <c r="K33" s="285"/>
    </row>
    <row r="34" spans="1:11" ht="14.25" customHeight="1" x14ac:dyDescent="0.25">
      <c r="A34" s="284"/>
      <c r="B34" s="529" t="s">
        <v>612</v>
      </c>
      <c r="C34" s="523" t="s">
        <v>632</v>
      </c>
      <c r="D34" s="426" t="s">
        <v>618</v>
      </c>
      <c r="E34" s="426"/>
      <c r="F34" s="440"/>
      <c r="G34" s="530"/>
      <c r="H34" s="289"/>
      <c r="I34" s="540"/>
      <c r="J34" s="530"/>
      <c r="K34" s="285"/>
    </row>
    <row r="35" spans="1:11" ht="14.25" customHeight="1" x14ac:dyDescent="0.25">
      <c r="A35" s="284"/>
      <c r="B35" s="529" t="s">
        <v>612</v>
      </c>
      <c r="C35" s="523" t="s">
        <v>632</v>
      </c>
      <c r="D35" s="426" t="s">
        <v>689</v>
      </c>
      <c r="E35" s="426"/>
      <c r="F35" s="440"/>
      <c r="G35" s="530"/>
      <c r="H35" s="289"/>
      <c r="I35" s="540"/>
      <c r="J35" s="530"/>
      <c r="K35" s="285"/>
    </row>
    <row r="36" spans="1:11" ht="14.25" customHeight="1" x14ac:dyDescent="0.25">
      <c r="A36" s="284"/>
      <c r="B36" s="529" t="s">
        <v>612</v>
      </c>
      <c r="C36" s="523" t="s">
        <v>632</v>
      </c>
      <c r="D36" s="426" t="s">
        <v>619</v>
      </c>
      <c r="E36" s="426"/>
      <c r="F36" s="440"/>
      <c r="G36" s="530"/>
      <c r="H36" s="289"/>
      <c r="I36" s="540"/>
      <c r="J36" s="530"/>
      <c r="K36" s="285"/>
    </row>
    <row r="37" spans="1:11" ht="14.25" customHeight="1" x14ac:dyDescent="0.25">
      <c r="A37" s="284"/>
      <c r="B37" s="529" t="s">
        <v>612</v>
      </c>
      <c r="C37" s="523" t="s">
        <v>632</v>
      </c>
      <c r="D37" s="426" t="s">
        <v>629</v>
      </c>
      <c r="E37" s="426"/>
      <c r="F37" s="440"/>
      <c r="G37" s="530"/>
      <c r="H37" s="289"/>
      <c r="I37" s="540"/>
      <c r="J37" s="530"/>
      <c r="K37" s="285"/>
    </row>
    <row r="38" spans="1:11" ht="14.25" customHeight="1" x14ac:dyDescent="0.25">
      <c r="A38" s="284"/>
      <c r="B38" s="529" t="s">
        <v>612</v>
      </c>
      <c r="C38" s="523" t="s">
        <v>632</v>
      </c>
      <c r="D38" s="426" t="s">
        <v>620</v>
      </c>
      <c r="E38" s="426"/>
      <c r="F38" s="440"/>
      <c r="G38" s="530"/>
      <c r="H38" s="289"/>
      <c r="I38" s="540"/>
      <c r="J38" s="530"/>
      <c r="K38" s="285"/>
    </row>
    <row r="39" spans="1:11" ht="14.25" customHeight="1" x14ac:dyDescent="0.25">
      <c r="A39" s="284"/>
      <c r="B39" s="529" t="s">
        <v>612</v>
      </c>
      <c r="C39" s="523" t="s">
        <v>632</v>
      </c>
      <c r="D39" s="426" t="s">
        <v>640</v>
      </c>
      <c r="E39" s="426" t="s">
        <v>701</v>
      </c>
      <c r="F39" s="440"/>
      <c r="G39" s="530"/>
      <c r="H39" s="289"/>
      <c r="I39" s="540"/>
      <c r="J39" s="530"/>
      <c r="K39" s="285"/>
    </row>
    <row r="40" spans="1:11" ht="14.25" customHeight="1" x14ac:dyDescent="0.25">
      <c r="A40" s="284"/>
      <c r="B40" s="529" t="s">
        <v>612</v>
      </c>
      <c r="C40" s="523" t="s">
        <v>632</v>
      </c>
      <c r="D40" s="426" t="s">
        <v>621</v>
      </c>
      <c r="E40" s="426"/>
      <c r="F40" s="440"/>
      <c r="G40" s="530" t="s">
        <v>701</v>
      </c>
      <c r="H40" s="289"/>
      <c r="I40" s="540"/>
      <c r="J40" s="530"/>
      <c r="K40" s="285"/>
    </row>
    <row r="41" spans="1:11" ht="14.25" customHeight="1" x14ac:dyDescent="0.25">
      <c r="A41" s="284"/>
      <c r="B41" s="529" t="s">
        <v>612</v>
      </c>
      <c r="C41" s="523" t="s">
        <v>632</v>
      </c>
      <c r="D41" s="426" t="s">
        <v>617</v>
      </c>
      <c r="E41" s="426"/>
      <c r="F41" s="440"/>
      <c r="G41" s="530"/>
      <c r="H41" s="289"/>
      <c r="I41" s="540"/>
      <c r="J41" s="530"/>
      <c r="K41" s="285"/>
    </row>
    <row r="42" spans="1:11" ht="14.25" customHeight="1" x14ac:dyDescent="0.25">
      <c r="A42" s="284"/>
      <c r="B42" s="529" t="s">
        <v>612</v>
      </c>
      <c r="C42" s="523" t="s">
        <v>632</v>
      </c>
      <c r="D42" s="426" t="s">
        <v>622</v>
      </c>
      <c r="E42" s="426" t="s">
        <v>701</v>
      </c>
      <c r="F42" s="440"/>
      <c r="G42" s="530"/>
      <c r="H42" s="289"/>
      <c r="I42" s="540"/>
      <c r="J42" s="530"/>
      <c r="K42" s="285"/>
    </row>
    <row r="43" spans="1:11" ht="14.25" customHeight="1" x14ac:dyDescent="0.25">
      <c r="A43" s="782"/>
      <c r="B43" s="783" t="s">
        <v>612</v>
      </c>
      <c r="C43" s="784" t="s">
        <v>632</v>
      </c>
      <c r="D43" s="759" t="s">
        <v>623</v>
      </c>
      <c r="E43" s="759"/>
      <c r="F43" s="440"/>
      <c r="G43" s="530" t="s">
        <v>701</v>
      </c>
      <c r="H43" s="289"/>
      <c r="I43" s="540"/>
      <c r="J43" s="530"/>
      <c r="K43" s="285"/>
    </row>
    <row r="44" spans="1:11" ht="14.25" customHeight="1" x14ac:dyDescent="0.25">
      <c r="A44" s="782"/>
      <c r="B44" s="783" t="s">
        <v>612</v>
      </c>
      <c r="C44" s="784" t="s">
        <v>632</v>
      </c>
      <c r="D44" s="759" t="s">
        <v>630</v>
      </c>
      <c r="E44" s="759" t="s">
        <v>701</v>
      </c>
      <c r="F44" s="440"/>
      <c r="G44" s="530"/>
      <c r="H44" s="289"/>
      <c r="I44" s="540"/>
      <c r="J44" s="530"/>
      <c r="K44" s="285"/>
    </row>
    <row r="45" spans="1:11" ht="14.25" customHeight="1" x14ac:dyDescent="0.25">
      <c r="A45" s="284"/>
      <c r="B45" s="529" t="s">
        <v>612</v>
      </c>
      <c r="C45" s="523" t="s">
        <v>632</v>
      </c>
      <c r="D45" s="426" t="s">
        <v>631</v>
      </c>
      <c r="E45" s="426"/>
      <c r="F45" s="440"/>
      <c r="G45" s="530" t="s">
        <v>701</v>
      </c>
      <c r="H45" s="289"/>
      <c r="I45" s="540"/>
      <c r="J45" s="530"/>
      <c r="K45" s="285"/>
    </row>
    <row r="46" spans="1:11" ht="14.25" customHeight="1" x14ac:dyDescent="0.25">
      <c r="A46" s="284"/>
      <c r="B46" s="529" t="s">
        <v>612</v>
      </c>
      <c r="C46" s="523" t="s">
        <v>632</v>
      </c>
      <c r="D46" s="426" t="s">
        <v>624</v>
      </c>
      <c r="E46" s="426" t="s">
        <v>701</v>
      </c>
      <c r="F46" s="440"/>
      <c r="G46" s="530"/>
      <c r="H46" s="289"/>
      <c r="I46" s="540"/>
      <c r="J46" s="530"/>
      <c r="K46" s="285"/>
    </row>
    <row r="47" spans="1:11" ht="14.25" customHeight="1" x14ac:dyDescent="0.25">
      <c r="A47" s="284"/>
      <c r="B47" s="529" t="s">
        <v>612</v>
      </c>
      <c r="C47" s="523" t="s">
        <v>632</v>
      </c>
      <c r="D47" s="426" t="s">
        <v>625</v>
      </c>
      <c r="E47" s="426"/>
      <c r="F47" s="440"/>
      <c r="G47" s="530" t="s">
        <v>701</v>
      </c>
      <c r="H47" s="289"/>
      <c r="I47" s="540"/>
      <c r="J47" s="530"/>
      <c r="K47" s="285"/>
    </row>
    <row r="48" spans="1:11" ht="14.25" customHeight="1" x14ac:dyDescent="0.25">
      <c r="A48" s="284"/>
      <c r="B48" s="529" t="s">
        <v>612</v>
      </c>
      <c r="C48" s="523" t="s">
        <v>632</v>
      </c>
      <c r="D48" s="426" t="s">
        <v>626</v>
      </c>
      <c r="E48" s="426" t="s">
        <v>701</v>
      </c>
      <c r="F48" s="440"/>
      <c r="G48" s="530"/>
      <c r="H48" s="289"/>
      <c r="I48" s="540"/>
      <c r="J48" s="530"/>
      <c r="K48" s="285"/>
    </row>
    <row r="49" spans="1:11" ht="14.25" customHeight="1" x14ac:dyDescent="0.25">
      <c r="A49" s="284"/>
      <c r="B49" s="529" t="s">
        <v>612</v>
      </c>
      <c r="C49" s="523" t="s">
        <v>632</v>
      </c>
      <c r="D49" s="426" t="s">
        <v>627</v>
      </c>
      <c r="E49" s="426"/>
      <c r="F49" s="440"/>
      <c r="G49" s="530" t="s">
        <v>701</v>
      </c>
      <c r="H49" s="289"/>
      <c r="I49" s="540"/>
      <c r="J49" s="530"/>
      <c r="K49" s="285"/>
    </row>
    <row r="50" spans="1:11" ht="14.25" customHeight="1" x14ac:dyDescent="0.25">
      <c r="A50" s="284"/>
      <c r="B50" s="529" t="s">
        <v>612</v>
      </c>
      <c r="C50" s="523" t="s">
        <v>633</v>
      </c>
      <c r="D50" s="426" t="s">
        <v>614</v>
      </c>
      <c r="E50" s="426" t="s">
        <v>701</v>
      </c>
      <c r="F50" s="440"/>
      <c r="G50" s="530"/>
      <c r="H50" s="289"/>
      <c r="I50" s="540"/>
      <c r="J50" s="530"/>
      <c r="K50" s="285"/>
    </row>
    <row r="51" spans="1:11" ht="14.25" customHeight="1" x14ac:dyDescent="0.25">
      <c r="A51" s="284"/>
      <c r="B51" s="529" t="s">
        <v>612</v>
      </c>
      <c r="C51" s="523" t="s">
        <v>633</v>
      </c>
      <c r="D51" s="426" t="s">
        <v>615</v>
      </c>
      <c r="E51" s="426"/>
      <c r="F51" s="440"/>
      <c r="G51" s="530"/>
      <c r="H51" s="289"/>
      <c r="I51" s="540"/>
      <c r="J51" s="530"/>
      <c r="K51" s="285"/>
    </row>
    <row r="52" spans="1:11" ht="14.25" customHeight="1" x14ac:dyDescent="0.25">
      <c r="A52" s="284"/>
      <c r="B52" s="529" t="s">
        <v>612</v>
      </c>
      <c r="C52" s="523" t="s">
        <v>633</v>
      </c>
      <c r="D52" s="426" t="s">
        <v>616</v>
      </c>
      <c r="E52" s="426"/>
      <c r="F52" s="440"/>
      <c r="G52" s="530" t="s">
        <v>701</v>
      </c>
      <c r="H52" s="289"/>
      <c r="I52" s="540"/>
      <c r="J52" s="530"/>
      <c r="K52" s="285"/>
    </row>
    <row r="53" spans="1:11" ht="14.25" customHeight="1" x14ac:dyDescent="0.25">
      <c r="A53" s="284"/>
      <c r="B53" s="529" t="s">
        <v>612</v>
      </c>
      <c r="C53" s="523" t="s">
        <v>633</v>
      </c>
      <c r="D53" s="426" t="s">
        <v>618</v>
      </c>
      <c r="E53" s="426"/>
      <c r="F53" s="440"/>
      <c r="G53" s="530"/>
      <c r="H53" s="289"/>
      <c r="I53" s="540"/>
      <c r="J53" s="530"/>
      <c r="K53" s="285"/>
    </row>
    <row r="54" spans="1:11" ht="14.25" customHeight="1" x14ac:dyDescent="0.25">
      <c r="A54" s="284"/>
      <c r="B54" s="529" t="s">
        <v>612</v>
      </c>
      <c r="C54" s="523" t="s">
        <v>633</v>
      </c>
      <c r="D54" s="426" t="s">
        <v>689</v>
      </c>
      <c r="E54" s="426"/>
      <c r="F54" s="440"/>
      <c r="G54" s="530"/>
      <c r="H54" s="289"/>
      <c r="I54" s="540"/>
      <c r="J54" s="530"/>
      <c r="K54" s="285"/>
    </row>
    <row r="55" spans="1:11" ht="14.25" customHeight="1" x14ac:dyDescent="0.25">
      <c r="A55" s="284"/>
      <c r="B55" s="529" t="s">
        <v>612</v>
      </c>
      <c r="C55" s="523" t="s">
        <v>633</v>
      </c>
      <c r="D55" s="426" t="s">
        <v>619</v>
      </c>
      <c r="E55" s="426"/>
      <c r="F55" s="440"/>
      <c r="G55" s="530"/>
      <c r="H55" s="289"/>
      <c r="I55" s="540"/>
      <c r="J55" s="530"/>
      <c r="K55" s="285"/>
    </row>
    <row r="56" spans="1:11" ht="14.25" customHeight="1" x14ac:dyDescent="0.25">
      <c r="A56" s="284"/>
      <c r="B56" s="529" t="s">
        <v>612</v>
      </c>
      <c r="C56" s="523" t="s">
        <v>633</v>
      </c>
      <c r="D56" s="426" t="s">
        <v>620</v>
      </c>
      <c r="E56" s="426"/>
      <c r="F56" s="440"/>
      <c r="G56" s="530"/>
      <c r="H56" s="289"/>
      <c r="I56" s="540"/>
      <c r="J56" s="530"/>
      <c r="K56" s="285"/>
    </row>
    <row r="57" spans="1:11" ht="14.25" customHeight="1" x14ac:dyDescent="0.25">
      <c r="A57" s="284"/>
      <c r="B57" s="529" t="s">
        <v>612</v>
      </c>
      <c r="C57" s="523" t="s">
        <v>633</v>
      </c>
      <c r="D57" s="426" t="s">
        <v>621</v>
      </c>
      <c r="E57" s="426"/>
      <c r="F57" s="440"/>
      <c r="G57" s="530" t="s">
        <v>701</v>
      </c>
      <c r="H57" s="289"/>
      <c r="I57" s="540"/>
      <c r="J57" s="530"/>
      <c r="K57" s="285"/>
    </row>
    <row r="58" spans="1:11" ht="14.25" customHeight="1" x14ac:dyDescent="0.25">
      <c r="A58" s="284"/>
      <c r="B58" s="529" t="s">
        <v>612</v>
      </c>
      <c r="C58" s="523" t="s">
        <v>633</v>
      </c>
      <c r="D58" s="426" t="s">
        <v>617</v>
      </c>
      <c r="E58" s="426"/>
      <c r="F58" s="440"/>
      <c r="G58" s="530"/>
      <c r="H58" s="289"/>
      <c r="I58" s="540"/>
      <c r="J58" s="530"/>
      <c r="K58" s="285"/>
    </row>
    <row r="59" spans="1:11" ht="14.25" customHeight="1" x14ac:dyDescent="0.25">
      <c r="A59" s="284"/>
      <c r="B59" s="529" t="s">
        <v>612</v>
      </c>
      <c r="C59" s="523" t="s">
        <v>633</v>
      </c>
      <c r="D59" s="426" t="s">
        <v>622</v>
      </c>
      <c r="E59" s="426" t="s">
        <v>701</v>
      </c>
      <c r="F59" s="440"/>
      <c r="G59" s="530"/>
      <c r="H59" s="289"/>
      <c r="I59" s="540"/>
      <c r="J59" s="530"/>
      <c r="K59" s="285"/>
    </row>
    <row r="60" spans="1:11" ht="14.25" customHeight="1" x14ac:dyDescent="0.25">
      <c r="A60" s="284"/>
      <c r="B60" s="529" t="s">
        <v>612</v>
      </c>
      <c r="C60" s="523" t="s">
        <v>633</v>
      </c>
      <c r="D60" s="426" t="s">
        <v>623</v>
      </c>
      <c r="E60" s="426"/>
      <c r="F60" s="440"/>
      <c r="G60" s="530" t="s">
        <v>701</v>
      </c>
      <c r="H60" s="289"/>
      <c r="I60" s="540"/>
      <c r="J60" s="530"/>
      <c r="K60" s="285"/>
    </row>
    <row r="61" spans="1:11" ht="14.25" customHeight="1" x14ac:dyDescent="0.25">
      <c r="A61" s="284"/>
      <c r="B61" s="529" t="s">
        <v>612</v>
      </c>
      <c r="C61" s="523" t="s">
        <v>633</v>
      </c>
      <c r="D61" s="426" t="s">
        <v>624</v>
      </c>
      <c r="E61" s="426" t="s">
        <v>701</v>
      </c>
      <c r="F61" s="440"/>
      <c r="G61" s="530"/>
      <c r="H61" s="289"/>
      <c r="I61" s="540"/>
      <c r="J61" s="530"/>
      <c r="K61" s="285"/>
    </row>
    <row r="62" spans="1:11" ht="14.25" customHeight="1" x14ac:dyDescent="0.25">
      <c r="A62" s="284"/>
      <c r="B62" s="529" t="s">
        <v>612</v>
      </c>
      <c r="C62" s="523" t="s">
        <v>633</v>
      </c>
      <c r="D62" s="426" t="s">
        <v>625</v>
      </c>
      <c r="E62" s="426"/>
      <c r="F62" s="440"/>
      <c r="G62" s="530" t="s">
        <v>701</v>
      </c>
      <c r="H62" s="289"/>
      <c r="I62" s="540"/>
      <c r="J62" s="530"/>
      <c r="K62" s="285"/>
    </row>
    <row r="63" spans="1:11" ht="14.25" customHeight="1" x14ac:dyDescent="0.25">
      <c r="A63" s="284"/>
      <c r="B63" s="529" t="s">
        <v>612</v>
      </c>
      <c r="C63" s="523" t="s">
        <v>633</v>
      </c>
      <c r="D63" s="426" t="s">
        <v>626</v>
      </c>
      <c r="E63" s="426" t="s">
        <v>701</v>
      </c>
      <c r="F63" s="440"/>
      <c r="G63" s="530"/>
      <c r="H63" s="289"/>
      <c r="I63" s="540"/>
      <c r="J63" s="530"/>
      <c r="K63" s="285"/>
    </row>
    <row r="64" spans="1:11" ht="14.25" customHeight="1" x14ac:dyDescent="0.25">
      <c r="A64" s="284"/>
      <c r="B64" s="529" t="s">
        <v>612</v>
      </c>
      <c r="C64" s="523" t="s">
        <v>633</v>
      </c>
      <c r="D64" s="426" t="s">
        <v>627</v>
      </c>
      <c r="E64" s="426"/>
      <c r="F64" s="440"/>
      <c r="G64" s="530" t="s">
        <v>701</v>
      </c>
      <c r="H64" s="289"/>
      <c r="I64" s="540"/>
      <c r="J64" s="530"/>
      <c r="K64" s="285"/>
    </row>
    <row r="65" spans="1:11" ht="14.25" customHeight="1" x14ac:dyDescent="0.25">
      <c r="A65" s="284"/>
      <c r="B65" s="529" t="s">
        <v>612</v>
      </c>
      <c r="C65" s="523" t="s">
        <v>634</v>
      </c>
      <c r="D65" s="426" t="s">
        <v>614</v>
      </c>
      <c r="E65" s="426" t="s">
        <v>701</v>
      </c>
      <c r="F65" s="440"/>
      <c r="G65" s="530"/>
      <c r="H65" s="289"/>
      <c r="I65" s="540"/>
      <c r="J65" s="530"/>
      <c r="K65" s="285"/>
    </row>
    <row r="66" spans="1:11" ht="14.25" customHeight="1" x14ac:dyDescent="0.25">
      <c r="A66" s="284"/>
      <c r="B66" s="529" t="s">
        <v>612</v>
      </c>
      <c r="C66" s="523" t="s">
        <v>634</v>
      </c>
      <c r="D66" s="426" t="s">
        <v>615</v>
      </c>
      <c r="E66" s="426"/>
      <c r="F66" s="440"/>
      <c r="G66" s="530"/>
      <c r="H66" s="289"/>
      <c r="I66" s="540"/>
      <c r="J66" s="530"/>
      <c r="K66" s="285"/>
    </row>
    <row r="67" spans="1:11" ht="14.25" customHeight="1" x14ac:dyDescent="0.25">
      <c r="A67" s="284"/>
      <c r="B67" s="529" t="s">
        <v>612</v>
      </c>
      <c r="C67" s="523" t="s">
        <v>634</v>
      </c>
      <c r="D67" s="426" t="s">
        <v>616</v>
      </c>
      <c r="E67" s="426"/>
      <c r="F67" s="440"/>
      <c r="G67" s="530" t="s">
        <v>701</v>
      </c>
      <c r="H67" s="289"/>
      <c r="I67" s="540"/>
      <c r="J67" s="530"/>
      <c r="K67" s="285"/>
    </row>
    <row r="68" spans="1:11" ht="14.25" customHeight="1" x14ac:dyDescent="0.25">
      <c r="A68" s="284"/>
      <c r="B68" s="529" t="s">
        <v>612</v>
      </c>
      <c r="C68" s="523" t="s">
        <v>634</v>
      </c>
      <c r="D68" s="426" t="s">
        <v>618</v>
      </c>
      <c r="E68" s="426"/>
      <c r="F68" s="440"/>
      <c r="G68" s="530"/>
      <c r="H68" s="289"/>
      <c r="I68" s="540"/>
      <c r="J68" s="530"/>
      <c r="K68" s="285"/>
    </row>
    <row r="69" spans="1:11" ht="14.25" customHeight="1" x14ac:dyDescent="0.25">
      <c r="A69" s="284"/>
      <c r="B69" s="529" t="s">
        <v>612</v>
      </c>
      <c r="C69" s="523" t="s">
        <v>634</v>
      </c>
      <c r="D69" s="426" t="s">
        <v>689</v>
      </c>
      <c r="E69" s="426"/>
      <c r="F69" s="440"/>
      <c r="G69" s="530"/>
      <c r="H69" s="289"/>
      <c r="I69" s="540"/>
      <c r="J69" s="530"/>
      <c r="K69" s="285"/>
    </row>
    <row r="70" spans="1:11" ht="14.25" customHeight="1" x14ac:dyDescent="0.25">
      <c r="A70" s="284"/>
      <c r="B70" s="529" t="s">
        <v>612</v>
      </c>
      <c r="C70" s="523" t="s">
        <v>634</v>
      </c>
      <c r="D70" s="426" t="s">
        <v>619</v>
      </c>
      <c r="E70" s="426"/>
      <c r="F70" s="440"/>
      <c r="G70" s="530"/>
      <c r="H70" s="289"/>
      <c r="I70" s="540"/>
      <c r="J70" s="530"/>
      <c r="K70" s="285"/>
    </row>
    <row r="71" spans="1:11" ht="14.25" customHeight="1" x14ac:dyDescent="0.25">
      <c r="A71" s="284"/>
      <c r="B71" s="529" t="s">
        <v>612</v>
      </c>
      <c r="C71" s="523" t="s">
        <v>634</v>
      </c>
      <c r="D71" s="426" t="s">
        <v>620</v>
      </c>
      <c r="E71" s="426"/>
      <c r="F71" s="440"/>
      <c r="G71" s="530"/>
      <c r="H71" s="289"/>
      <c r="I71" s="540"/>
      <c r="J71" s="530"/>
      <c r="K71" s="285"/>
    </row>
    <row r="72" spans="1:11" ht="14.25" customHeight="1" x14ac:dyDescent="0.25">
      <c r="A72" s="284"/>
      <c r="B72" s="529" t="s">
        <v>612</v>
      </c>
      <c r="C72" s="523" t="s">
        <v>634</v>
      </c>
      <c r="D72" s="426" t="s">
        <v>640</v>
      </c>
      <c r="E72" s="426" t="s">
        <v>701</v>
      </c>
      <c r="F72" s="440"/>
      <c r="G72" s="530"/>
      <c r="H72" s="289"/>
      <c r="I72" s="540"/>
      <c r="J72" s="530"/>
      <c r="K72" s="285"/>
    </row>
    <row r="73" spans="1:11" ht="14.25" customHeight="1" x14ac:dyDescent="0.25">
      <c r="A73" s="284"/>
      <c r="B73" s="529" t="s">
        <v>612</v>
      </c>
      <c r="C73" s="523" t="s">
        <v>634</v>
      </c>
      <c r="D73" s="426" t="s">
        <v>621</v>
      </c>
      <c r="E73" s="426"/>
      <c r="F73" s="440"/>
      <c r="G73" s="530" t="s">
        <v>701</v>
      </c>
      <c r="H73" s="289"/>
      <c r="I73" s="540"/>
      <c r="J73" s="530"/>
      <c r="K73" s="285"/>
    </row>
    <row r="74" spans="1:11" ht="14.25" customHeight="1" x14ac:dyDescent="0.25">
      <c r="A74" s="284"/>
      <c r="B74" s="529" t="s">
        <v>612</v>
      </c>
      <c r="C74" s="523" t="s">
        <v>634</v>
      </c>
      <c r="D74" s="426" t="s">
        <v>617</v>
      </c>
      <c r="E74" s="426"/>
      <c r="F74" s="440"/>
      <c r="G74" s="530"/>
      <c r="H74" s="289"/>
      <c r="I74" s="540"/>
      <c r="J74" s="530"/>
      <c r="K74" s="285"/>
    </row>
    <row r="75" spans="1:11" ht="14.25" customHeight="1" x14ac:dyDescent="0.25">
      <c r="A75" s="284"/>
      <c r="B75" s="529" t="s">
        <v>612</v>
      </c>
      <c r="C75" s="523" t="s">
        <v>634</v>
      </c>
      <c r="D75" s="426" t="s">
        <v>622</v>
      </c>
      <c r="E75" s="426" t="s">
        <v>701</v>
      </c>
      <c r="F75" s="440"/>
      <c r="G75" s="530"/>
      <c r="H75" s="289"/>
      <c r="I75" s="540"/>
      <c r="J75" s="530"/>
      <c r="K75" s="285"/>
    </row>
    <row r="76" spans="1:11" ht="14.25" customHeight="1" x14ac:dyDescent="0.25">
      <c r="A76" s="284"/>
      <c r="B76" s="529" t="s">
        <v>612</v>
      </c>
      <c r="C76" s="523" t="s">
        <v>634</v>
      </c>
      <c r="D76" s="426" t="s">
        <v>623</v>
      </c>
      <c r="E76" s="426"/>
      <c r="F76" s="440"/>
      <c r="G76" s="530" t="s">
        <v>701</v>
      </c>
      <c r="H76" s="289"/>
      <c r="I76" s="540"/>
      <c r="J76" s="530"/>
      <c r="K76" s="285"/>
    </row>
    <row r="77" spans="1:11" ht="14.25" customHeight="1" x14ac:dyDescent="0.25">
      <c r="A77" s="284"/>
      <c r="B77" s="529" t="s">
        <v>612</v>
      </c>
      <c r="C77" s="523" t="s">
        <v>634</v>
      </c>
      <c r="D77" s="426" t="s">
        <v>630</v>
      </c>
      <c r="E77" s="426" t="s">
        <v>701</v>
      </c>
      <c r="F77" s="440"/>
      <c r="G77" s="530"/>
      <c r="H77" s="289"/>
      <c r="I77" s="540"/>
      <c r="J77" s="530"/>
      <c r="K77" s="285"/>
    </row>
    <row r="78" spans="1:11" ht="14.25" customHeight="1" x14ac:dyDescent="0.25">
      <c r="A78" s="284"/>
      <c r="B78" s="529" t="s">
        <v>612</v>
      </c>
      <c r="C78" s="523" t="s">
        <v>634</v>
      </c>
      <c r="D78" s="426" t="s">
        <v>631</v>
      </c>
      <c r="E78" s="426"/>
      <c r="F78" s="440"/>
      <c r="G78" s="530" t="s">
        <v>701</v>
      </c>
      <c r="H78" s="289"/>
      <c r="I78" s="540"/>
      <c r="J78" s="530"/>
      <c r="K78" s="285"/>
    </row>
    <row r="79" spans="1:11" ht="14.25" customHeight="1" x14ac:dyDescent="0.25">
      <c r="A79" s="284"/>
      <c r="B79" s="529" t="s">
        <v>612</v>
      </c>
      <c r="C79" s="523" t="s">
        <v>634</v>
      </c>
      <c r="D79" s="426" t="s">
        <v>624</v>
      </c>
      <c r="E79" s="426" t="s">
        <v>701</v>
      </c>
      <c r="F79" s="440"/>
      <c r="G79" s="530"/>
      <c r="H79" s="289"/>
      <c r="I79" s="540"/>
      <c r="J79" s="530"/>
      <c r="K79" s="285"/>
    </row>
    <row r="80" spans="1:11" ht="14.25" customHeight="1" x14ac:dyDescent="0.25">
      <c r="A80" s="284"/>
      <c r="B80" s="529" t="s">
        <v>612</v>
      </c>
      <c r="C80" s="523" t="s">
        <v>634</v>
      </c>
      <c r="D80" s="426" t="s">
        <v>625</v>
      </c>
      <c r="E80" s="426"/>
      <c r="F80" s="440"/>
      <c r="G80" s="530" t="s">
        <v>701</v>
      </c>
      <c r="H80" s="289"/>
      <c r="I80" s="540"/>
      <c r="J80" s="530"/>
      <c r="K80" s="285"/>
    </row>
    <row r="81" spans="1:11" ht="14.25" customHeight="1" x14ac:dyDescent="0.25">
      <c r="A81" s="284"/>
      <c r="B81" s="529" t="s">
        <v>612</v>
      </c>
      <c r="C81" s="523" t="s">
        <v>634</v>
      </c>
      <c r="D81" s="426" t="s">
        <v>626</v>
      </c>
      <c r="E81" s="426" t="s">
        <v>701</v>
      </c>
      <c r="F81" s="440"/>
      <c r="G81" s="530"/>
      <c r="H81" s="289"/>
      <c r="I81" s="540"/>
      <c r="J81" s="530"/>
      <c r="K81" s="285"/>
    </row>
    <row r="82" spans="1:11" ht="14.25" customHeight="1" x14ac:dyDescent="0.25">
      <c r="A82" s="284"/>
      <c r="B82" s="529" t="s">
        <v>612</v>
      </c>
      <c r="C82" s="523" t="s">
        <v>634</v>
      </c>
      <c r="D82" s="426" t="s">
        <v>627</v>
      </c>
      <c r="E82" s="426"/>
      <c r="F82" s="440"/>
      <c r="G82" s="530" t="s">
        <v>701</v>
      </c>
      <c r="H82" s="289"/>
      <c r="I82" s="540"/>
      <c r="J82" s="530"/>
      <c r="K82" s="285"/>
    </row>
    <row r="83" spans="1:11" ht="14.25" customHeight="1" x14ac:dyDescent="0.25">
      <c r="A83" s="284"/>
      <c r="B83" s="529" t="s">
        <v>612</v>
      </c>
      <c r="C83" s="523" t="s">
        <v>635</v>
      </c>
      <c r="D83" s="426" t="s">
        <v>611</v>
      </c>
      <c r="E83" s="426"/>
      <c r="F83" s="440"/>
      <c r="G83" s="530"/>
      <c r="H83" s="289"/>
      <c r="I83" s="540"/>
      <c r="J83" s="530"/>
      <c r="K83" s="285"/>
    </row>
    <row r="84" spans="1:11" ht="14.25" customHeight="1" x14ac:dyDescent="0.25">
      <c r="A84" s="284"/>
      <c r="B84" s="529" t="s">
        <v>612</v>
      </c>
      <c r="C84" s="523" t="s">
        <v>635</v>
      </c>
      <c r="D84" s="426" t="s">
        <v>637</v>
      </c>
      <c r="E84" s="426"/>
      <c r="F84" s="440"/>
      <c r="G84" s="530"/>
      <c r="H84" s="289"/>
      <c r="I84" s="540"/>
      <c r="J84" s="530"/>
      <c r="K84" s="285"/>
    </row>
    <row r="85" spans="1:11" ht="14.25" customHeight="1" x14ac:dyDescent="0.25">
      <c r="A85" s="284"/>
      <c r="B85" s="529" t="s">
        <v>612</v>
      </c>
      <c r="C85" s="523" t="s">
        <v>635</v>
      </c>
      <c r="D85" s="426" t="s">
        <v>638</v>
      </c>
      <c r="E85" s="426"/>
      <c r="F85" s="440"/>
      <c r="G85" s="530"/>
      <c r="H85" s="289"/>
      <c r="I85" s="540"/>
      <c r="J85" s="530"/>
      <c r="K85" s="285"/>
    </row>
    <row r="86" spans="1:11" ht="14.25" customHeight="1" x14ac:dyDescent="0.25">
      <c r="A86" s="284"/>
      <c r="B86" s="529" t="s">
        <v>612</v>
      </c>
      <c r="C86" s="523" t="s">
        <v>635</v>
      </c>
      <c r="D86" s="426" t="s">
        <v>610</v>
      </c>
      <c r="E86" s="426"/>
      <c r="F86" s="440"/>
      <c r="G86" s="530"/>
      <c r="H86" s="289"/>
      <c r="I86" s="540"/>
      <c r="J86" s="530"/>
      <c r="K86" s="285"/>
    </row>
    <row r="87" spans="1:11" ht="14.25" customHeight="1" x14ac:dyDescent="0.25">
      <c r="A87" s="284"/>
      <c r="B87" s="529" t="s">
        <v>612</v>
      </c>
      <c r="C87" s="523" t="s">
        <v>635</v>
      </c>
      <c r="D87" s="426" t="s">
        <v>689</v>
      </c>
      <c r="E87" s="426"/>
      <c r="F87" s="440"/>
      <c r="G87" s="530"/>
      <c r="H87" s="289"/>
      <c r="I87" s="540"/>
      <c r="J87" s="530"/>
      <c r="K87" s="285"/>
    </row>
    <row r="88" spans="1:11" ht="14.25" customHeight="1" x14ac:dyDescent="0.25">
      <c r="A88" s="284"/>
      <c r="B88" s="529" t="s">
        <v>612</v>
      </c>
      <c r="C88" s="523" t="s">
        <v>635</v>
      </c>
      <c r="D88" s="426" t="s">
        <v>609</v>
      </c>
      <c r="E88" s="426"/>
      <c r="F88" s="440"/>
      <c r="G88" s="530"/>
      <c r="H88" s="289"/>
      <c r="I88" s="540"/>
      <c r="J88" s="530"/>
      <c r="K88" s="285"/>
    </row>
    <row r="89" spans="1:11" ht="14.25" customHeight="1" x14ac:dyDescent="0.25">
      <c r="A89" s="284"/>
      <c r="B89" s="529" t="s">
        <v>612</v>
      </c>
      <c r="C89" s="523" t="s">
        <v>635</v>
      </c>
      <c r="D89" s="426" t="s">
        <v>636</v>
      </c>
      <c r="E89" s="426" t="s">
        <v>701</v>
      </c>
      <c r="F89" s="440" t="s">
        <v>701</v>
      </c>
      <c r="G89" s="530"/>
      <c r="H89" s="289"/>
      <c r="I89" s="540"/>
      <c r="J89" s="530"/>
      <c r="K89" s="285"/>
    </row>
    <row r="90" spans="1:11" ht="14.25" customHeight="1" x14ac:dyDescent="0.25">
      <c r="A90" s="284"/>
      <c r="B90" s="529" t="s">
        <v>612</v>
      </c>
      <c r="C90" s="523" t="s">
        <v>613</v>
      </c>
      <c r="D90" s="426" t="s">
        <v>614</v>
      </c>
      <c r="E90" s="426" t="s">
        <v>701</v>
      </c>
      <c r="F90" s="440"/>
      <c r="G90" s="530"/>
      <c r="H90" s="289"/>
      <c r="I90" s="540"/>
      <c r="J90" s="530"/>
      <c r="K90" s="285"/>
    </row>
    <row r="91" spans="1:11" ht="14.25" customHeight="1" x14ac:dyDescent="0.25">
      <c r="A91" s="284"/>
      <c r="B91" s="529" t="s">
        <v>612</v>
      </c>
      <c r="C91" s="523" t="s">
        <v>613</v>
      </c>
      <c r="D91" s="426" t="s">
        <v>615</v>
      </c>
      <c r="E91" s="426"/>
      <c r="F91" s="440"/>
      <c r="G91" s="530"/>
      <c r="H91" s="289"/>
      <c r="I91" s="540"/>
      <c r="J91" s="530"/>
      <c r="K91" s="285"/>
    </row>
    <row r="92" spans="1:11" ht="14.25" customHeight="1" x14ac:dyDescent="0.25">
      <c r="A92" s="284"/>
      <c r="B92" s="529" t="s">
        <v>612</v>
      </c>
      <c r="C92" s="523" t="s">
        <v>613</v>
      </c>
      <c r="D92" s="426" t="s">
        <v>616</v>
      </c>
      <c r="E92" s="426"/>
      <c r="F92" s="440"/>
      <c r="G92" s="530" t="s">
        <v>701</v>
      </c>
      <c r="H92" s="289"/>
      <c r="I92" s="540"/>
      <c r="J92" s="530"/>
      <c r="K92" s="285"/>
    </row>
    <row r="93" spans="1:11" ht="14.25" customHeight="1" x14ac:dyDescent="0.25">
      <c r="A93" s="284"/>
      <c r="B93" s="529" t="s">
        <v>612</v>
      </c>
      <c r="C93" s="523" t="s">
        <v>613</v>
      </c>
      <c r="D93" s="426" t="s">
        <v>618</v>
      </c>
      <c r="E93" s="426"/>
      <c r="F93" s="440"/>
      <c r="G93" s="530"/>
      <c r="H93" s="289"/>
      <c r="I93" s="540"/>
      <c r="J93" s="530"/>
      <c r="K93" s="285"/>
    </row>
    <row r="94" spans="1:11" ht="14.25" customHeight="1" x14ac:dyDescent="0.25">
      <c r="A94" s="284"/>
      <c r="B94" s="529" t="s">
        <v>612</v>
      </c>
      <c r="C94" s="523" t="s">
        <v>613</v>
      </c>
      <c r="D94" s="426" t="s">
        <v>689</v>
      </c>
      <c r="E94" s="426"/>
      <c r="F94" s="440"/>
      <c r="G94" s="530"/>
      <c r="H94" s="289"/>
      <c r="I94" s="540"/>
      <c r="J94" s="530"/>
      <c r="K94" s="285"/>
    </row>
    <row r="95" spans="1:11" ht="14.25" customHeight="1" x14ac:dyDescent="0.25">
      <c r="A95" s="284"/>
      <c r="B95" s="529" t="s">
        <v>612</v>
      </c>
      <c r="C95" s="523" t="s">
        <v>613</v>
      </c>
      <c r="D95" s="426" t="s">
        <v>619</v>
      </c>
      <c r="E95" s="426"/>
      <c r="F95" s="440"/>
      <c r="G95" s="530"/>
      <c r="H95" s="289"/>
      <c r="I95" s="540"/>
      <c r="J95" s="530"/>
      <c r="K95" s="285"/>
    </row>
    <row r="96" spans="1:11" ht="14.25" customHeight="1" x14ac:dyDescent="0.25">
      <c r="A96" s="284"/>
      <c r="B96" s="529" t="s">
        <v>612</v>
      </c>
      <c r="C96" s="523" t="s">
        <v>613</v>
      </c>
      <c r="D96" s="426" t="s">
        <v>620</v>
      </c>
      <c r="E96" s="426"/>
      <c r="F96" s="440"/>
      <c r="G96" s="530"/>
      <c r="H96" s="289"/>
      <c r="I96" s="540"/>
      <c r="J96" s="530"/>
      <c r="K96" s="285"/>
    </row>
    <row r="97" spans="1:11" ht="14.25" customHeight="1" x14ac:dyDescent="0.25">
      <c r="A97" s="284"/>
      <c r="B97" s="529" t="s">
        <v>612</v>
      </c>
      <c r="C97" s="523" t="s">
        <v>613</v>
      </c>
      <c r="D97" s="426" t="s">
        <v>621</v>
      </c>
      <c r="E97" s="426"/>
      <c r="F97" s="440"/>
      <c r="G97" s="530" t="s">
        <v>701</v>
      </c>
      <c r="H97" s="289"/>
      <c r="I97" s="540"/>
      <c r="J97" s="530"/>
      <c r="K97" s="285"/>
    </row>
    <row r="98" spans="1:11" ht="14.25" customHeight="1" x14ac:dyDescent="0.25">
      <c r="A98" s="284"/>
      <c r="B98" s="529" t="s">
        <v>612</v>
      </c>
      <c r="C98" s="523" t="s">
        <v>613</v>
      </c>
      <c r="D98" s="426" t="s">
        <v>617</v>
      </c>
      <c r="E98" s="426"/>
      <c r="F98" s="440"/>
      <c r="G98" s="530"/>
      <c r="H98" s="289"/>
      <c r="I98" s="540"/>
      <c r="J98" s="530"/>
      <c r="K98" s="285"/>
    </row>
    <row r="99" spans="1:11" ht="14.25" customHeight="1" x14ac:dyDescent="0.25">
      <c r="A99" s="284"/>
      <c r="B99" s="529" t="s">
        <v>612</v>
      </c>
      <c r="C99" s="523" t="s">
        <v>613</v>
      </c>
      <c r="D99" s="426" t="s">
        <v>622</v>
      </c>
      <c r="E99" s="426" t="s">
        <v>701</v>
      </c>
      <c r="F99" s="440"/>
      <c r="G99" s="530"/>
      <c r="H99" s="289"/>
      <c r="I99" s="540"/>
      <c r="J99" s="530"/>
      <c r="K99" s="285"/>
    </row>
    <row r="100" spans="1:11" ht="14.25" customHeight="1" x14ac:dyDescent="0.25">
      <c r="A100" s="284"/>
      <c r="B100" s="529" t="s">
        <v>612</v>
      </c>
      <c r="C100" s="523" t="s">
        <v>613</v>
      </c>
      <c r="D100" s="426" t="s">
        <v>623</v>
      </c>
      <c r="E100" s="426"/>
      <c r="F100" s="440"/>
      <c r="G100" s="530" t="s">
        <v>701</v>
      </c>
      <c r="H100" s="289"/>
      <c r="I100" s="540"/>
      <c r="J100" s="530"/>
      <c r="K100" s="285"/>
    </row>
    <row r="101" spans="1:11" ht="14.25" customHeight="1" x14ac:dyDescent="0.25">
      <c r="A101" s="284"/>
      <c r="B101" s="529" t="s">
        <v>612</v>
      </c>
      <c r="C101" s="523" t="s">
        <v>613</v>
      </c>
      <c r="D101" s="426" t="s">
        <v>624</v>
      </c>
      <c r="E101" s="426" t="s">
        <v>701</v>
      </c>
      <c r="F101" s="440"/>
      <c r="G101" s="530"/>
      <c r="H101" s="289"/>
      <c r="I101" s="540"/>
      <c r="J101" s="530"/>
      <c r="K101" s="285"/>
    </row>
    <row r="102" spans="1:11" ht="14.25" customHeight="1" x14ac:dyDescent="0.25">
      <c r="A102" s="284"/>
      <c r="B102" s="529" t="s">
        <v>612</v>
      </c>
      <c r="C102" s="523" t="s">
        <v>613</v>
      </c>
      <c r="D102" s="426" t="s">
        <v>625</v>
      </c>
      <c r="E102" s="426"/>
      <c r="F102" s="440"/>
      <c r="G102" s="530" t="s">
        <v>701</v>
      </c>
      <c r="H102" s="289"/>
      <c r="I102" s="540"/>
      <c r="J102" s="530"/>
      <c r="K102" s="285"/>
    </row>
    <row r="103" spans="1:11" ht="14.25" customHeight="1" x14ac:dyDescent="0.25">
      <c r="A103" s="284"/>
      <c r="B103" s="529" t="s">
        <v>612</v>
      </c>
      <c r="C103" s="523" t="s">
        <v>613</v>
      </c>
      <c r="D103" s="426" t="s">
        <v>626</v>
      </c>
      <c r="E103" s="426" t="s">
        <v>701</v>
      </c>
      <c r="F103" s="440"/>
      <c r="G103" s="530"/>
      <c r="H103" s="289"/>
      <c r="I103" s="540"/>
      <c r="J103" s="530"/>
      <c r="K103" s="285"/>
    </row>
    <row r="104" spans="1:11" ht="14.25" customHeight="1" x14ac:dyDescent="0.25">
      <c r="A104" s="284"/>
      <c r="B104" s="529" t="s">
        <v>612</v>
      </c>
      <c r="C104" s="523" t="s">
        <v>613</v>
      </c>
      <c r="D104" s="426" t="s">
        <v>627</v>
      </c>
      <c r="E104" s="426"/>
      <c r="F104" s="440"/>
      <c r="G104" s="530" t="s">
        <v>701</v>
      </c>
      <c r="H104" s="289"/>
      <c r="I104" s="540"/>
      <c r="J104" s="530"/>
      <c r="K104" s="285"/>
    </row>
    <row r="105" spans="1:11" ht="14.25" customHeight="1" x14ac:dyDescent="0.25">
      <c r="A105" s="284"/>
      <c r="B105" s="529" t="s">
        <v>612</v>
      </c>
      <c r="C105" s="523" t="s">
        <v>634</v>
      </c>
      <c r="D105" s="426" t="s">
        <v>614</v>
      </c>
      <c r="E105" s="426" t="s">
        <v>701</v>
      </c>
      <c r="F105" s="440"/>
      <c r="G105" s="530"/>
      <c r="H105" s="289"/>
      <c r="I105" s="540"/>
      <c r="J105" s="530"/>
      <c r="K105" s="285"/>
    </row>
    <row r="106" spans="1:11" ht="14.25" customHeight="1" x14ac:dyDescent="0.25">
      <c r="A106" s="284"/>
      <c r="B106" s="529" t="s">
        <v>612</v>
      </c>
      <c r="C106" s="523" t="s">
        <v>634</v>
      </c>
      <c r="D106" s="426" t="s">
        <v>615</v>
      </c>
      <c r="E106" s="426"/>
      <c r="F106" s="440"/>
      <c r="G106" s="530"/>
      <c r="H106" s="289"/>
      <c r="I106" s="540"/>
      <c r="J106" s="530"/>
      <c r="K106" s="285"/>
    </row>
    <row r="107" spans="1:11" ht="14.25" customHeight="1" x14ac:dyDescent="0.25">
      <c r="A107" s="284"/>
      <c r="B107" s="529" t="s">
        <v>612</v>
      </c>
      <c r="C107" s="523" t="s">
        <v>634</v>
      </c>
      <c r="D107" s="426" t="s">
        <v>616</v>
      </c>
      <c r="E107" s="426"/>
      <c r="F107" s="440"/>
      <c r="G107" s="530" t="s">
        <v>701</v>
      </c>
      <c r="H107" s="289"/>
      <c r="I107" s="540"/>
      <c r="J107" s="530"/>
      <c r="K107" s="285"/>
    </row>
    <row r="108" spans="1:11" ht="14.25" customHeight="1" x14ac:dyDescent="0.25">
      <c r="A108" s="284"/>
      <c r="B108" s="529" t="s">
        <v>612</v>
      </c>
      <c r="C108" s="523" t="s">
        <v>634</v>
      </c>
      <c r="D108" s="426" t="s">
        <v>618</v>
      </c>
      <c r="E108" s="426"/>
      <c r="F108" s="440"/>
      <c r="G108" s="530"/>
      <c r="H108" s="289"/>
      <c r="I108" s="540"/>
      <c r="J108" s="530"/>
      <c r="K108" s="285"/>
    </row>
    <row r="109" spans="1:11" ht="14.25" customHeight="1" x14ac:dyDescent="0.25">
      <c r="A109" s="284"/>
      <c r="B109" s="529" t="s">
        <v>612</v>
      </c>
      <c r="C109" s="523" t="s">
        <v>634</v>
      </c>
      <c r="D109" s="426" t="s">
        <v>689</v>
      </c>
      <c r="E109" s="426"/>
      <c r="F109" s="440"/>
      <c r="G109" s="530"/>
      <c r="H109" s="289"/>
      <c r="I109" s="540"/>
      <c r="J109" s="530"/>
      <c r="K109" s="285"/>
    </row>
    <row r="110" spans="1:11" ht="14.25" customHeight="1" x14ac:dyDescent="0.25">
      <c r="A110" s="284"/>
      <c r="B110" s="529" t="s">
        <v>612</v>
      </c>
      <c r="C110" s="523" t="s">
        <v>634</v>
      </c>
      <c r="D110" s="426" t="s">
        <v>619</v>
      </c>
      <c r="E110" s="426"/>
      <c r="F110" s="440"/>
      <c r="G110" s="530"/>
      <c r="H110" s="289"/>
      <c r="I110" s="540"/>
      <c r="J110" s="530"/>
      <c r="K110" s="285"/>
    </row>
    <row r="111" spans="1:11" ht="14.25" customHeight="1" x14ac:dyDescent="0.25">
      <c r="A111" s="284"/>
      <c r="B111" s="529" t="s">
        <v>612</v>
      </c>
      <c r="C111" s="523" t="s">
        <v>634</v>
      </c>
      <c r="D111" s="426" t="s">
        <v>620</v>
      </c>
      <c r="E111" s="426"/>
      <c r="F111" s="440"/>
      <c r="G111" s="530"/>
      <c r="H111" s="289"/>
      <c r="I111" s="540"/>
      <c r="J111" s="530"/>
      <c r="K111" s="285"/>
    </row>
    <row r="112" spans="1:11" ht="14.25" customHeight="1" x14ac:dyDescent="0.25">
      <c r="A112" s="284"/>
      <c r="B112" s="529" t="s">
        <v>612</v>
      </c>
      <c r="C112" s="523" t="s">
        <v>634</v>
      </c>
      <c r="D112" s="426" t="s">
        <v>639</v>
      </c>
      <c r="E112" s="426"/>
      <c r="F112" s="440"/>
      <c r="G112" s="530" t="s">
        <v>701</v>
      </c>
      <c r="H112" s="289"/>
      <c r="I112" s="540"/>
      <c r="J112" s="530"/>
      <c r="K112" s="285"/>
    </row>
    <row r="113" spans="1:11" ht="14.25" customHeight="1" x14ac:dyDescent="0.25">
      <c r="A113" s="284"/>
      <c r="B113" s="529" t="s">
        <v>612</v>
      </c>
      <c r="C113" s="523" t="s">
        <v>634</v>
      </c>
      <c r="D113" s="426" t="s">
        <v>640</v>
      </c>
      <c r="E113" s="426" t="s">
        <v>701</v>
      </c>
      <c r="F113" s="440"/>
      <c r="G113" s="530"/>
      <c r="H113" s="289"/>
      <c r="I113" s="540"/>
      <c r="J113" s="530"/>
      <c r="K113" s="285"/>
    </row>
    <row r="114" spans="1:11" ht="14.25" customHeight="1" x14ac:dyDescent="0.25">
      <c r="A114" s="284"/>
      <c r="B114" s="529" t="s">
        <v>612</v>
      </c>
      <c r="C114" s="523" t="s">
        <v>634</v>
      </c>
      <c r="D114" s="426" t="s">
        <v>617</v>
      </c>
      <c r="E114" s="426"/>
      <c r="F114" s="440"/>
      <c r="G114" s="530"/>
      <c r="H114" s="289"/>
      <c r="I114" s="540"/>
      <c r="J114" s="530"/>
      <c r="K114" s="285"/>
    </row>
    <row r="115" spans="1:11" ht="14.25" customHeight="1" x14ac:dyDescent="0.25">
      <c r="A115" s="284"/>
      <c r="B115" s="529" t="s">
        <v>612</v>
      </c>
      <c r="C115" s="523" t="s">
        <v>634</v>
      </c>
      <c r="D115" s="426" t="s">
        <v>626</v>
      </c>
      <c r="E115" s="426" t="s">
        <v>701</v>
      </c>
      <c r="F115" s="440"/>
      <c r="G115" s="530"/>
      <c r="H115" s="289"/>
      <c r="I115" s="540"/>
      <c r="J115" s="530"/>
      <c r="K115" s="285"/>
    </row>
    <row r="116" spans="1:11" ht="14.25" customHeight="1" x14ac:dyDescent="0.25">
      <c r="A116" s="284"/>
      <c r="B116" s="529" t="s">
        <v>612</v>
      </c>
      <c r="C116" s="523" t="s">
        <v>634</v>
      </c>
      <c r="D116" s="426" t="s">
        <v>627</v>
      </c>
      <c r="E116" s="426"/>
      <c r="F116" s="440"/>
      <c r="G116" s="530" t="s">
        <v>701</v>
      </c>
      <c r="H116" s="289"/>
      <c r="I116" s="540"/>
      <c r="J116" s="530"/>
      <c r="K116" s="285"/>
    </row>
    <row r="117" spans="1:11" ht="14.25" customHeight="1" x14ac:dyDescent="0.25">
      <c r="A117" s="284"/>
      <c r="B117" s="529" t="s">
        <v>641</v>
      </c>
      <c r="C117" s="523" t="s">
        <v>658</v>
      </c>
      <c r="D117" s="426" t="s">
        <v>614</v>
      </c>
      <c r="E117" s="426" t="s">
        <v>701</v>
      </c>
      <c r="F117" s="440"/>
      <c r="G117" s="530"/>
      <c r="H117" s="289"/>
      <c r="I117" s="540"/>
      <c r="J117" s="530"/>
      <c r="K117" s="285"/>
    </row>
    <row r="118" spans="1:11" ht="14.25" customHeight="1" x14ac:dyDescent="0.25">
      <c r="A118" s="284"/>
      <c r="B118" s="529" t="s">
        <v>641</v>
      </c>
      <c r="C118" s="523" t="s">
        <v>658</v>
      </c>
      <c r="D118" s="426" t="s">
        <v>615</v>
      </c>
      <c r="E118" s="426"/>
      <c r="F118" s="440"/>
      <c r="G118" s="530"/>
      <c r="H118" s="289"/>
      <c r="I118" s="540"/>
      <c r="J118" s="530"/>
      <c r="K118" s="285"/>
    </row>
    <row r="119" spans="1:11" ht="14.25" customHeight="1" x14ac:dyDescent="0.25">
      <c r="A119" s="284"/>
      <c r="B119" s="529" t="s">
        <v>641</v>
      </c>
      <c r="C119" s="523" t="s">
        <v>658</v>
      </c>
      <c r="D119" s="426" t="s">
        <v>616</v>
      </c>
      <c r="E119" s="426"/>
      <c r="F119" s="440"/>
      <c r="G119" s="530" t="s">
        <v>701</v>
      </c>
      <c r="H119" s="289"/>
      <c r="I119" s="540"/>
      <c r="J119" s="530"/>
      <c r="K119" s="285"/>
    </row>
    <row r="120" spans="1:11" ht="14.25" customHeight="1" x14ac:dyDescent="0.25">
      <c r="A120" s="284"/>
      <c r="B120" s="529" t="s">
        <v>641</v>
      </c>
      <c r="C120" s="523" t="s">
        <v>658</v>
      </c>
      <c r="D120" s="426" t="s">
        <v>618</v>
      </c>
      <c r="E120" s="426"/>
      <c r="F120" s="440"/>
      <c r="G120" s="530"/>
      <c r="H120" s="289"/>
      <c r="I120" s="540"/>
      <c r="J120" s="530"/>
      <c r="K120" s="285"/>
    </row>
    <row r="121" spans="1:11" ht="14.25" customHeight="1" x14ac:dyDescent="0.25">
      <c r="A121" s="284"/>
      <c r="B121" s="529" t="s">
        <v>641</v>
      </c>
      <c r="C121" s="523" t="s">
        <v>658</v>
      </c>
      <c r="D121" s="426" t="s">
        <v>689</v>
      </c>
      <c r="E121" s="426"/>
      <c r="F121" s="440"/>
      <c r="G121" s="530"/>
      <c r="H121" s="289"/>
      <c r="I121" s="540"/>
      <c r="J121" s="530"/>
      <c r="K121" s="285"/>
    </row>
    <row r="122" spans="1:11" ht="14.25" customHeight="1" x14ac:dyDescent="0.25">
      <c r="A122" s="284"/>
      <c r="B122" s="529" t="s">
        <v>641</v>
      </c>
      <c r="C122" s="523" t="s">
        <v>658</v>
      </c>
      <c r="D122" s="426" t="s">
        <v>619</v>
      </c>
      <c r="E122" s="426"/>
      <c r="F122" s="440"/>
      <c r="G122" s="530"/>
      <c r="H122" s="289"/>
      <c r="I122" s="540"/>
      <c r="J122" s="530"/>
      <c r="K122" s="285"/>
    </row>
    <row r="123" spans="1:11" ht="14.25" customHeight="1" x14ac:dyDescent="0.25">
      <c r="A123" s="284"/>
      <c r="B123" s="529" t="s">
        <v>641</v>
      </c>
      <c r="C123" s="523" t="s">
        <v>658</v>
      </c>
      <c r="D123" s="426" t="s">
        <v>620</v>
      </c>
      <c r="E123" s="426"/>
      <c r="F123" s="440"/>
      <c r="G123" s="530"/>
      <c r="H123" s="289"/>
      <c r="I123" s="540"/>
      <c r="J123" s="530"/>
      <c r="K123" s="285"/>
    </row>
    <row r="124" spans="1:11" ht="14.25" customHeight="1" x14ac:dyDescent="0.25">
      <c r="A124" s="284"/>
      <c r="B124" s="529" t="s">
        <v>641</v>
      </c>
      <c r="C124" s="523" t="s">
        <v>658</v>
      </c>
      <c r="D124" s="426" t="s">
        <v>621</v>
      </c>
      <c r="E124" s="426"/>
      <c r="F124" s="440"/>
      <c r="G124" s="530" t="s">
        <v>701</v>
      </c>
      <c r="H124" s="289"/>
      <c r="I124" s="540"/>
      <c r="J124" s="530"/>
      <c r="K124" s="285"/>
    </row>
    <row r="125" spans="1:11" ht="14.25" customHeight="1" x14ac:dyDescent="0.25">
      <c r="A125" s="284"/>
      <c r="B125" s="529" t="s">
        <v>641</v>
      </c>
      <c r="C125" s="523" t="s">
        <v>658</v>
      </c>
      <c r="D125" s="426" t="s">
        <v>617</v>
      </c>
      <c r="E125" s="426"/>
      <c r="F125" s="440"/>
      <c r="G125" s="530"/>
      <c r="H125" s="289"/>
      <c r="I125" s="540"/>
      <c r="J125" s="530"/>
      <c r="K125" s="285"/>
    </row>
    <row r="126" spans="1:11" ht="14.25" customHeight="1" x14ac:dyDescent="0.25">
      <c r="A126" s="284"/>
      <c r="B126" s="529" t="s">
        <v>641</v>
      </c>
      <c r="C126" s="523" t="s">
        <v>658</v>
      </c>
      <c r="D126" s="426" t="s">
        <v>622</v>
      </c>
      <c r="E126" s="426" t="s">
        <v>701</v>
      </c>
      <c r="F126" s="440"/>
      <c r="G126" s="530"/>
      <c r="H126" s="289"/>
      <c r="I126" s="540"/>
      <c r="J126" s="530"/>
      <c r="K126" s="285"/>
    </row>
    <row r="127" spans="1:11" ht="14.25" customHeight="1" x14ac:dyDescent="0.25">
      <c r="A127" s="284"/>
      <c r="B127" s="529" t="s">
        <v>641</v>
      </c>
      <c r="C127" s="523" t="s">
        <v>658</v>
      </c>
      <c r="D127" s="426" t="s">
        <v>623</v>
      </c>
      <c r="E127" s="426"/>
      <c r="F127" s="440"/>
      <c r="G127" s="530" t="s">
        <v>701</v>
      </c>
      <c r="H127" s="289"/>
      <c r="I127" s="540"/>
      <c r="J127" s="530"/>
      <c r="K127" s="285"/>
    </row>
    <row r="128" spans="1:11" ht="14.25" customHeight="1" x14ac:dyDescent="0.25">
      <c r="A128" s="284"/>
      <c r="B128" s="529" t="s">
        <v>641</v>
      </c>
      <c r="C128" s="523" t="s">
        <v>658</v>
      </c>
      <c r="D128" s="426" t="s">
        <v>624</v>
      </c>
      <c r="E128" s="426" t="s">
        <v>701</v>
      </c>
      <c r="F128" s="440"/>
      <c r="G128" s="530"/>
      <c r="H128" s="289"/>
      <c r="I128" s="540"/>
      <c r="J128" s="530"/>
      <c r="K128" s="285"/>
    </row>
    <row r="129" spans="1:11" ht="14.25" customHeight="1" x14ac:dyDescent="0.25">
      <c r="A129" s="284"/>
      <c r="B129" s="529" t="s">
        <v>641</v>
      </c>
      <c r="C129" s="523" t="s">
        <v>658</v>
      </c>
      <c r="D129" s="426" t="s">
        <v>625</v>
      </c>
      <c r="E129" s="426"/>
      <c r="F129" s="440"/>
      <c r="G129" s="530" t="s">
        <v>701</v>
      </c>
      <c r="H129" s="289"/>
      <c r="I129" s="540"/>
      <c r="J129" s="530"/>
      <c r="K129" s="285"/>
    </row>
    <row r="130" spans="1:11" ht="14.25" customHeight="1" x14ac:dyDescent="0.25">
      <c r="A130" s="284"/>
      <c r="B130" s="529" t="s">
        <v>641</v>
      </c>
      <c r="C130" s="523" t="s">
        <v>658</v>
      </c>
      <c r="D130" s="426" t="s">
        <v>626</v>
      </c>
      <c r="E130" s="426" t="s">
        <v>701</v>
      </c>
      <c r="F130" s="440"/>
      <c r="G130" s="530"/>
      <c r="H130" s="289"/>
      <c r="I130" s="540"/>
      <c r="J130" s="530"/>
      <c r="K130" s="285"/>
    </row>
    <row r="131" spans="1:11" ht="14.25" customHeight="1" x14ac:dyDescent="0.25">
      <c r="A131" s="284"/>
      <c r="B131" s="529" t="s">
        <v>641</v>
      </c>
      <c r="C131" s="523" t="s">
        <v>658</v>
      </c>
      <c r="D131" s="426" t="s">
        <v>627</v>
      </c>
      <c r="E131" s="426"/>
      <c r="F131" s="440"/>
      <c r="G131" s="530" t="s">
        <v>701</v>
      </c>
      <c r="H131" s="289"/>
      <c r="I131" s="540"/>
      <c r="J131" s="530"/>
      <c r="K131" s="285"/>
    </row>
    <row r="132" spans="1:11" ht="14.25" customHeight="1" x14ac:dyDescent="0.25">
      <c r="A132" s="284"/>
      <c r="B132" s="529" t="s">
        <v>641</v>
      </c>
      <c r="C132" s="523" t="s">
        <v>635</v>
      </c>
      <c r="D132" s="426" t="s">
        <v>628</v>
      </c>
      <c r="E132" s="426"/>
      <c r="F132" s="440"/>
      <c r="G132" s="530"/>
      <c r="H132" s="289"/>
      <c r="I132" s="540"/>
      <c r="J132" s="530"/>
      <c r="K132" s="285"/>
    </row>
    <row r="133" spans="1:11" ht="14.25" customHeight="1" x14ac:dyDescent="0.25">
      <c r="A133" s="284"/>
      <c r="B133" s="529" t="s">
        <v>641</v>
      </c>
      <c r="C133" s="523" t="s">
        <v>635</v>
      </c>
      <c r="D133" s="426" t="s">
        <v>642</v>
      </c>
      <c r="E133" s="426"/>
      <c r="F133" s="440"/>
      <c r="G133" s="530"/>
      <c r="H133" s="289"/>
      <c r="I133" s="540"/>
      <c r="J133" s="530"/>
      <c r="K133" s="285"/>
    </row>
    <row r="134" spans="1:11" ht="14.25" customHeight="1" x14ac:dyDescent="0.25">
      <c r="A134" s="284"/>
      <c r="B134" s="529" t="s">
        <v>641</v>
      </c>
      <c r="C134" s="523" t="s">
        <v>635</v>
      </c>
      <c r="D134" s="426" t="s">
        <v>643</v>
      </c>
      <c r="E134" s="426"/>
      <c r="F134" s="440"/>
      <c r="G134" s="530" t="s">
        <v>701</v>
      </c>
      <c r="H134" s="289"/>
      <c r="I134" s="540"/>
      <c r="J134" s="530"/>
      <c r="K134" s="285"/>
    </row>
    <row r="135" spans="1:11" ht="14.25" customHeight="1" x14ac:dyDescent="0.25">
      <c r="A135" s="284"/>
      <c r="B135" s="529" t="s">
        <v>641</v>
      </c>
      <c r="C135" s="523" t="s">
        <v>635</v>
      </c>
      <c r="D135" s="426" t="s">
        <v>644</v>
      </c>
      <c r="E135" s="426"/>
      <c r="F135" s="440"/>
      <c r="G135" s="530"/>
      <c r="H135" s="289"/>
      <c r="I135" s="540"/>
      <c r="J135" s="530"/>
      <c r="K135" s="285"/>
    </row>
    <row r="136" spans="1:11" ht="14.25" customHeight="1" x14ac:dyDescent="0.25">
      <c r="A136" s="284"/>
      <c r="B136" s="529" t="s">
        <v>641</v>
      </c>
      <c r="C136" s="523" t="s">
        <v>635</v>
      </c>
      <c r="D136" s="426" t="s">
        <v>655</v>
      </c>
      <c r="E136" s="426" t="s">
        <v>701</v>
      </c>
      <c r="F136" s="440" t="s">
        <v>701</v>
      </c>
      <c r="G136" s="530"/>
      <c r="H136" s="289"/>
      <c r="I136" s="540"/>
      <c r="J136" s="530"/>
      <c r="K136" s="285"/>
    </row>
    <row r="137" spans="1:11" ht="14.25" customHeight="1" x14ac:dyDescent="0.25">
      <c r="A137" s="284"/>
      <c r="B137" s="529" t="s">
        <v>641</v>
      </c>
      <c r="C137" s="523" t="s">
        <v>635</v>
      </c>
      <c r="D137" s="426" t="s">
        <v>643</v>
      </c>
      <c r="E137" s="426"/>
      <c r="F137" s="440"/>
      <c r="G137" s="530" t="s">
        <v>701</v>
      </c>
      <c r="H137" s="289"/>
      <c r="I137" s="540"/>
      <c r="J137" s="530"/>
      <c r="K137" s="285"/>
    </row>
    <row r="138" spans="1:11" ht="14.25" customHeight="1" x14ac:dyDescent="0.25">
      <c r="A138" s="284"/>
      <c r="B138" s="529" t="s">
        <v>641</v>
      </c>
      <c r="C138" s="523" t="s">
        <v>635</v>
      </c>
      <c r="D138" s="426" t="s">
        <v>645</v>
      </c>
      <c r="E138" s="426"/>
      <c r="F138" s="440"/>
      <c r="G138" s="530"/>
      <c r="H138" s="289"/>
      <c r="I138" s="540"/>
      <c r="J138" s="530"/>
      <c r="K138" s="285"/>
    </row>
    <row r="139" spans="1:11" ht="14.25" customHeight="1" x14ac:dyDescent="0.25">
      <c r="A139" s="284"/>
      <c r="B139" s="529" t="s">
        <v>641</v>
      </c>
      <c r="C139" s="523" t="s">
        <v>657</v>
      </c>
      <c r="D139" s="426" t="s">
        <v>614</v>
      </c>
      <c r="E139" s="426" t="s">
        <v>701</v>
      </c>
      <c r="F139" s="440"/>
      <c r="G139" s="530"/>
      <c r="H139" s="289"/>
      <c r="I139" s="540"/>
      <c r="J139" s="530"/>
      <c r="K139" s="285"/>
    </row>
    <row r="140" spans="1:11" ht="14.25" customHeight="1" x14ac:dyDescent="0.25">
      <c r="A140" s="284"/>
      <c r="B140" s="529" t="s">
        <v>641</v>
      </c>
      <c r="C140" s="523" t="s">
        <v>657</v>
      </c>
      <c r="D140" s="426" t="s">
        <v>615</v>
      </c>
      <c r="E140" s="426"/>
      <c r="F140" s="440"/>
      <c r="G140" s="530"/>
      <c r="H140" s="289"/>
      <c r="I140" s="540"/>
      <c r="J140" s="530"/>
      <c r="K140" s="285"/>
    </row>
    <row r="141" spans="1:11" ht="14.25" customHeight="1" x14ac:dyDescent="0.25">
      <c r="A141" s="284"/>
      <c r="B141" s="529" t="s">
        <v>641</v>
      </c>
      <c r="C141" s="523" t="s">
        <v>657</v>
      </c>
      <c r="D141" s="426" t="s">
        <v>616</v>
      </c>
      <c r="E141" s="426"/>
      <c r="F141" s="440"/>
      <c r="G141" s="530" t="s">
        <v>701</v>
      </c>
      <c r="H141" s="289"/>
      <c r="I141" s="540"/>
      <c r="J141" s="530"/>
      <c r="K141" s="285"/>
    </row>
    <row r="142" spans="1:11" ht="14.25" customHeight="1" x14ac:dyDescent="0.25">
      <c r="A142" s="284"/>
      <c r="B142" s="529" t="s">
        <v>641</v>
      </c>
      <c r="C142" s="523" t="s">
        <v>657</v>
      </c>
      <c r="D142" s="426" t="s">
        <v>618</v>
      </c>
      <c r="E142" s="426"/>
      <c r="F142" s="440"/>
      <c r="G142" s="530"/>
      <c r="H142" s="289"/>
      <c r="I142" s="540"/>
      <c r="J142" s="530"/>
      <c r="K142" s="285"/>
    </row>
    <row r="143" spans="1:11" ht="14.25" customHeight="1" x14ac:dyDescent="0.25">
      <c r="A143" s="284"/>
      <c r="B143" s="529" t="s">
        <v>641</v>
      </c>
      <c r="C143" s="523" t="s">
        <v>657</v>
      </c>
      <c r="D143" s="426" t="s">
        <v>689</v>
      </c>
      <c r="E143" s="426"/>
      <c r="F143" s="440"/>
      <c r="G143" s="530"/>
      <c r="H143" s="289"/>
      <c r="I143" s="540"/>
      <c r="J143" s="530"/>
      <c r="K143" s="285"/>
    </row>
    <row r="144" spans="1:11" ht="14.25" customHeight="1" x14ac:dyDescent="0.25">
      <c r="A144" s="284"/>
      <c r="B144" s="529" t="s">
        <v>641</v>
      </c>
      <c r="C144" s="523" t="s">
        <v>657</v>
      </c>
      <c r="D144" s="426" t="s">
        <v>619</v>
      </c>
      <c r="E144" s="426"/>
      <c r="F144" s="440"/>
      <c r="G144" s="530"/>
      <c r="H144" s="289"/>
      <c r="I144" s="540"/>
      <c r="J144" s="530"/>
      <c r="K144" s="285"/>
    </row>
    <row r="145" spans="1:11" ht="14.25" customHeight="1" x14ac:dyDescent="0.25">
      <c r="A145" s="284"/>
      <c r="B145" s="529" t="s">
        <v>641</v>
      </c>
      <c r="C145" s="523" t="s">
        <v>657</v>
      </c>
      <c r="D145" s="426" t="s">
        <v>620</v>
      </c>
      <c r="E145" s="426"/>
      <c r="F145" s="440"/>
      <c r="G145" s="530"/>
      <c r="H145" s="289"/>
      <c r="I145" s="540"/>
      <c r="J145" s="530"/>
      <c r="K145" s="285"/>
    </row>
    <row r="146" spans="1:11" ht="14.25" customHeight="1" x14ac:dyDescent="0.25">
      <c r="A146" s="284"/>
      <c r="B146" s="529" t="s">
        <v>641</v>
      </c>
      <c r="C146" s="523" t="s">
        <v>657</v>
      </c>
      <c r="D146" s="426" t="s">
        <v>640</v>
      </c>
      <c r="E146" s="426" t="s">
        <v>701</v>
      </c>
      <c r="F146" s="440"/>
      <c r="G146" s="530"/>
      <c r="H146" s="289"/>
      <c r="I146" s="540"/>
      <c r="J146" s="530"/>
      <c r="K146" s="285"/>
    </row>
    <row r="147" spans="1:11" ht="14.25" customHeight="1" x14ac:dyDescent="0.25">
      <c r="A147" s="284"/>
      <c r="B147" s="529" t="s">
        <v>641</v>
      </c>
      <c r="C147" s="523" t="s">
        <v>657</v>
      </c>
      <c r="D147" s="426" t="s">
        <v>621</v>
      </c>
      <c r="E147" s="426"/>
      <c r="F147" s="440"/>
      <c r="G147" s="530" t="s">
        <v>701</v>
      </c>
      <c r="H147" s="289"/>
      <c r="I147" s="540"/>
      <c r="J147" s="530"/>
      <c r="K147" s="285"/>
    </row>
    <row r="148" spans="1:11" ht="14.25" customHeight="1" x14ac:dyDescent="0.25">
      <c r="A148" s="284"/>
      <c r="B148" s="529" t="s">
        <v>641</v>
      </c>
      <c r="C148" s="523" t="s">
        <v>657</v>
      </c>
      <c r="D148" s="426" t="s">
        <v>617</v>
      </c>
      <c r="E148" s="426"/>
      <c r="F148" s="440"/>
      <c r="G148" s="530"/>
      <c r="H148" s="289"/>
      <c r="I148" s="540"/>
      <c r="J148" s="530"/>
      <c r="K148" s="285"/>
    </row>
    <row r="149" spans="1:11" ht="14.25" customHeight="1" x14ac:dyDescent="0.25">
      <c r="A149" s="284"/>
      <c r="B149" s="529" t="s">
        <v>641</v>
      </c>
      <c r="C149" s="523" t="s">
        <v>657</v>
      </c>
      <c r="D149" s="426" t="s">
        <v>622</v>
      </c>
      <c r="E149" s="426" t="s">
        <v>701</v>
      </c>
      <c r="F149" s="440"/>
      <c r="G149" s="530"/>
      <c r="H149" s="289"/>
      <c r="I149" s="540"/>
      <c r="J149" s="530"/>
      <c r="K149" s="285"/>
    </row>
    <row r="150" spans="1:11" ht="14.25" customHeight="1" x14ac:dyDescent="0.25">
      <c r="A150" s="284"/>
      <c r="B150" s="529" t="s">
        <v>641</v>
      </c>
      <c r="C150" s="523" t="s">
        <v>657</v>
      </c>
      <c r="D150" s="426" t="s">
        <v>623</v>
      </c>
      <c r="E150" s="426"/>
      <c r="F150" s="440"/>
      <c r="G150" s="530" t="s">
        <v>701</v>
      </c>
      <c r="H150" s="289"/>
      <c r="I150" s="540"/>
      <c r="J150" s="530"/>
      <c r="K150" s="285"/>
    </row>
    <row r="151" spans="1:11" ht="14.25" customHeight="1" x14ac:dyDescent="0.25">
      <c r="A151" s="284"/>
      <c r="B151" s="529" t="s">
        <v>641</v>
      </c>
      <c r="C151" s="523" t="s">
        <v>657</v>
      </c>
      <c r="D151" s="426" t="s">
        <v>630</v>
      </c>
      <c r="E151" s="426" t="s">
        <v>701</v>
      </c>
      <c r="F151" s="440"/>
      <c r="G151" s="530"/>
      <c r="H151" s="289"/>
      <c r="I151" s="540"/>
      <c r="J151" s="530"/>
      <c r="K151" s="285"/>
    </row>
    <row r="152" spans="1:11" ht="14.25" customHeight="1" x14ac:dyDescent="0.25">
      <c r="A152" s="284"/>
      <c r="B152" s="529" t="s">
        <v>641</v>
      </c>
      <c r="C152" s="523" t="s">
        <v>657</v>
      </c>
      <c r="D152" s="426" t="s">
        <v>631</v>
      </c>
      <c r="E152" s="426"/>
      <c r="F152" s="440"/>
      <c r="G152" s="530" t="s">
        <v>701</v>
      </c>
      <c r="H152" s="289"/>
      <c r="I152" s="540"/>
      <c r="J152" s="530"/>
      <c r="K152" s="285"/>
    </row>
    <row r="153" spans="1:11" ht="14.25" customHeight="1" x14ac:dyDescent="0.25">
      <c r="A153" s="284"/>
      <c r="B153" s="529" t="s">
        <v>641</v>
      </c>
      <c r="C153" s="523" t="s">
        <v>657</v>
      </c>
      <c r="D153" s="426" t="s">
        <v>624</v>
      </c>
      <c r="E153" s="426" t="s">
        <v>701</v>
      </c>
      <c r="F153" s="440"/>
      <c r="G153" s="530"/>
      <c r="H153" s="289"/>
      <c r="I153" s="540"/>
      <c r="J153" s="530"/>
      <c r="K153" s="285"/>
    </row>
    <row r="154" spans="1:11" ht="14.25" customHeight="1" x14ac:dyDescent="0.25">
      <c r="A154" s="284"/>
      <c r="B154" s="529" t="s">
        <v>641</v>
      </c>
      <c r="C154" s="523" t="s">
        <v>657</v>
      </c>
      <c r="D154" s="426" t="s">
        <v>625</v>
      </c>
      <c r="E154" s="426"/>
      <c r="F154" s="440"/>
      <c r="G154" s="530" t="s">
        <v>701</v>
      </c>
      <c r="H154" s="289"/>
      <c r="I154" s="540"/>
      <c r="J154" s="530"/>
      <c r="K154" s="285"/>
    </row>
    <row r="155" spans="1:11" ht="14.25" customHeight="1" x14ac:dyDescent="0.25">
      <c r="A155" s="284"/>
      <c r="B155" s="529" t="s">
        <v>641</v>
      </c>
      <c r="C155" s="523" t="s">
        <v>657</v>
      </c>
      <c r="D155" s="426" t="s">
        <v>626</v>
      </c>
      <c r="E155" s="426" t="s">
        <v>701</v>
      </c>
      <c r="F155" s="440"/>
      <c r="G155" s="530"/>
      <c r="H155" s="289"/>
      <c r="I155" s="540"/>
      <c r="J155" s="530"/>
      <c r="K155" s="285"/>
    </row>
    <row r="156" spans="1:11" ht="14.25" customHeight="1" x14ac:dyDescent="0.25">
      <c r="A156" s="284"/>
      <c r="B156" s="529" t="s">
        <v>641</v>
      </c>
      <c r="C156" s="523" t="s">
        <v>657</v>
      </c>
      <c r="D156" s="426" t="s">
        <v>627</v>
      </c>
      <c r="E156" s="426"/>
      <c r="F156" s="440"/>
      <c r="G156" s="530" t="s">
        <v>701</v>
      </c>
      <c r="H156" s="289"/>
      <c r="I156" s="540"/>
      <c r="J156" s="530"/>
      <c r="K156" s="285"/>
    </row>
    <row r="157" spans="1:11" ht="14.25" customHeight="1" x14ac:dyDescent="0.25">
      <c r="A157" s="284"/>
      <c r="B157" s="529" t="s">
        <v>641</v>
      </c>
      <c r="C157" s="523" t="s">
        <v>656</v>
      </c>
      <c r="D157" s="426" t="s">
        <v>614</v>
      </c>
      <c r="E157" s="426" t="s">
        <v>701</v>
      </c>
      <c r="F157" s="440"/>
      <c r="G157" s="530"/>
      <c r="H157" s="289"/>
      <c r="I157" s="540"/>
      <c r="J157" s="530"/>
      <c r="K157" s="285"/>
    </row>
    <row r="158" spans="1:11" ht="14.25" customHeight="1" x14ac:dyDescent="0.25">
      <c r="A158" s="284"/>
      <c r="B158" s="529" t="s">
        <v>641</v>
      </c>
      <c r="C158" s="523" t="s">
        <v>656</v>
      </c>
      <c r="D158" s="426" t="s">
        <v>615</v>
      </c>
      <c r="E158" s="426"/>
      <c r="F158" s="440"/>
      <c r="G158" s="530"/>
      <c r="H158" s="289"/>
      <c r="I158" s="540"/>
      <c r="J158" s="530"/>
      <c r="K158" s="285"/>
    </row>
    <row r="159" spans="1:11" ht="14.25" customHeight="1" x14ac:dyDescent="0.25">
      <c r="A159" s="284"/>
      <c r="B159" s="529" t="s">
        <v>641</v>
      </c>
      <c r="C159" s="523" t="s">
        <v>656</v>
      </c>
      <c r="D159" s="426" t="s">
        <v>616</v>
      </c>
      <c r="E159" s="426"/>
      <c r="F159" s="440"/>
      <c r="G159" s="530" t="s">
        <v>701</v>
      </c>
      <c r="H159" s="289"/>
      <c r="I159" s="540"/>
      <c r="J159" s="530"/>
      <c r="K159" s="285"/>
    </row>
    <row r="160" spans="1:11" ht="14.25" customHeight="1" x14ac:dyDescent="0.25">
      <c r="A160" s="284"/>
      <c r="B160" s="529" t="s">
        <v>641</v>
      </c>
      <c r="C160" s="523" t="s">
        <v>656</v>
      </c>
      <c r="D160" s="426" t="s">
        <v>618</v>
      </c>
      <c r="E160" s="426"/>
      <c r="F160" s="440"/>
      <c r="G160" s="530"/>
      <c r="H160" s="289"/>
      <c r="I160" s="540"/>
      <c r="J160" s="530"/>
      <c r="K160" s="285"/>
    </row>
    <row r="161" spans="1:11" ht="14.25" customHeight="1" x14ac:dyDescent="0.25">
      <c r="A161" s="284"/>
      <c r="B161" s="529" t="s">
        <v>641</v>
      </c>
      <c r="C161" s="523" t="s">
        <v>656</v>
      </c>
      <c r="D161" s="426" t="s">
        <v>689</v>
      </c>
      <c r="E161" s="426"/>
      <c r="F161" s="440"/>
      <c r="G161" s="530"/>
      <c r="H161" s="289"/>
      <c r="I161" s="540"/>
      <c r="J161" s="530"/>
      <c r="K161" s="285"/>
    </row>
    <row r="162" spans="1:11" ht="14.25" customHeight="1" x14ac:dyDescent="0.25">
      <c r="A162" s="284"/>
      <c r="B162" s="529" t="s">
        <v>641</v>
      </c>
      <c r="C162" s="523" t="s">
        <v>656</v>
      </c>
      <c r="D162" s="426" t="s">
        <v>619</v>
      </c>
      <c r="E162" s="426"/>
      <c r="F162" s="440"/>
      <c r="G162" s="530"/>
      <c r="H162" s="289"/>
      <c r="I162" s="540"/>
      <c r="J162" s="530"/>
      <c r="K162" s="285"/>
    </row>
    <row r="163" spans="1:11" ht="14.25" customHeight="1" x14ac:dyDescent="0.25">
      <c r="A163" s="284"/>
      <c r="B163" s="529" t="s">
        <v>641</v>
      </c>
      <c r="C163" s="523" t="s">
        <v>656</v>
      </c>
      <c r="D163" s="426" t="s">
        <v>620</v>
      </c>
      <c r="E163" s="426"/>
      <c r="F163" s="440"/>
      <c r="G163" s="530"/>
      <c r="H163" s="289"/>
      <c r="I163" s="540"/>
      <c r="J163" s="530"/>
      <c r="K163" s="285"/>
    </row>
    <row r="164" spans="1:11" ht="14.25" customHeight="1" x14ac:dyDescent="0.25">
      <c r="A164" s="284"/>
      <c r="B164" s="529" t="s">
        <v>641</v>
      </c>
      <c r="C164" s="523" t="s">
        <v>656</v>
      </c>
      <c r="D164" s="426" t="s">
        <v>621</v>
      </c>
      <c r="E164" s="426"/>
      <c r="F164" s="440"/>
      <c r="G164" s="530" t="s">
        <v>701</v>
      </c>
      <c r="H164" s="289"/>
      <c r="I164" s="540"/>
      <c r="J164" s="530"/>
      <c r="K164" s="285"/>
    </row>
    <row r="165" spans="1:11" ht="14.25" customHeight="1" x14ac:dyDescent="0.25">
      <c r="A165" s="284"/>
      <c r="B165" s="529" t="s">
        <v>641</v>
      </c>
      <c r="C165" s="523" t="s">
        <v>656</v>
      </c>
      <c r="D165" s="426" t="s">
        <v>617</v>
      </c>
      <c r="E165" s="426"/>
      <c r="F165" s="440"/>
      <c r="G165" s="530"/>
      <c r="H165" s="289"/>
      <c r="I165" s="540"/>
      <c r="J165" s="530"/>
      <c r="K165" s="285"/>
    </row>
    <row r="166" spans="1:11" ht="14.25" customHeight="1" x14ac:dyDescent="0.25">
      <c r="A166" s="284"/>
      <c r="B166" s="529" t="s">
        <v>641</v>
      </c>
      <c r="C166" s="523" t="s">
        <v>656</v>
      </c>
      <c r="D166" s="426" t="s">
        <v>622</v>
      </c>
      <c r="E166" s="426" t="s">
        <v>701</v>
      </c>
      <c r="F166" s="440"/>
      <c r="G166" s="530"/>
      <c r="H166" s="289"/>
      <c r="I166" s="540"/>
      <c r="J166" s="530"/>
      <c r="K166" s="285"/>
    </row>
    <row r="167" spans="1:11" ht="14.25" customHeight="1" x14ac:dyDescent="0.25">
      <c r="A167" s="284"/>
      <c r="B167" s="529" t="s">
        <v>641</v>
      </c>
      <c r="C167" s="523" t="s">
        <v>656</v>
      </c>
      <c r="D167" s="426" t="s">
        <v>623</v>
      </c>
      <c r="E167" s="426"/>
      <c r="F167" s="440"/>
      <c r="G167" s="530" t="s">
        <v>701</v>
      </c>
      <c r="H167" s="289"/>
      <c r="I167" s="540"/>
      <c r="J167" s="530"/>
      <c r="K167" s="285"/>
    </row>
    <row r="168" spans="1:11" ht="14.25" customHeight="1" x14ac:dyDescent="0.25">
      <c r="A168" s="284"/>
      <c r="B168" s="529" t="s">
        <v>641</v>
      </c>
      <c r="C168" s="523" t="s">
        <v>656</v>
      </c>
      <c r="D168" s="426" t="s">
        <v>624</v>
      </c>
      <c r="E168" s="426" t="s">
        <v>701</v>
      </c>
      <c r="F168" s="440"/>
      <c r="G168" s="530"/>
      <c r="H168" s="289"/>
      <c r="I168" s="540"/>
      <c r="J168" s="530"/>
      <c r="K168" s="285"/>
    </row>
    <row r="169" spans="1:11" ht="14.25" customHeight="1" x14ac:dyDescent="0.25">
      <c r="A169" s="284"/>
      <c r="B169" s="529" t="s">
        <v>641</v>
      </c>
      <c r="C169" s="523" t="s">
        <v>656</v>
      </c>
      <c r="D169" s="426" t="s">
        <v>625</v>
      </c>
      <c r="E169" s="426"/>
      <c r="F169" s="440"/>
      <c r="G169" s="530" t="s">
        <v>701</v>
      </c>
      <c r="H169" s="289"/>
      <c r="I169" s="540"/>
      <c r="J169" s="530"/>
      <c r="K169" s="285"/>
    </row>
    <row r="170" spans="1:11" ht="14.25" customHeight="1" x14ac:dyDescent="0.25">
      <c r="A170" s="284"/>
      <c r="B170" s="529" t="s">
        <v>641</v>
      </c>
      <c r="C170" s="523" t="s">
        <v>656</v>
      </c>
      <c r="D170" s="426" t="s">
        <v>626</v>
      </c>
      <c r="E170" s="426" t="s">
        <v>701</v>
      </c>
      <c r="F170" s="440"/>
      <c r="G170" s="530"/>
      <c r="H170" s="289"/>
      <c r="I170" s="540"/>
      <c r="J170" s="530"/>
      <c r="K170" s="285"/>
    </row>
    <row r="171" spans="1:11" ht="14.25" customHeight="1" x14ac:dyDescent="0.25">
      <c r="A171" s="284"/>
      <c r="B171" s="529" t="s">
        <v>641</v>
      </c>
      <c r="C171" s="523" t="s">
        <v>656</v>
      </c>
      <c r="D171" s="426" t="s">
        <v>627</v>
      </c>
      <c r="E171" s="426"/>
      <c r="F171" s="440"/>
      <c r="G171" s="530" t="s">
        <v>701</v>
      </c>
      <c r="H171" s="289"/>
      <c r="I171" s="540"/>
      <c r="J171" s="530"/>
      <c r="K171" s="285"/>
    </row>
    <row r="172" spans="1:11" ht="14.25" customHeight="1" x14ac:dyDescent="0.25">
      <c r="A172" s="284"/>
      <c r="B172" s="529" t="s">
        <v>641</v>
      </c>
      <c r="C172" s="523" t="s">
        <v>659</v>
      </c>
      <c r="D172" s="426" t="s">
        <v>614</v>
      </c>
      <c r="E172" s="426" t="s">
        <v>701</v>
      </c>
      <c r="F172" s="440"/>
      <c r="G172" s="530"/>
      <c r="H172" s="289"/>
      <c r="I172" s="540"/>
      <c r="J172" s="530"/>
      <c r="K172" s="285"/>
    </row>
    <row r="173" spans="1:11" ht="14.25" customHeight="1" x14ac:dyDescent="0.25">
      <c r="A173" s="284"/>
      <c r="B173" s="529" t="s">
        <v>641</v>
      </c>
      <c r="C173" s="523" t="s">
        <v>659</v>
      </c>
      <c r="D173" s="426" t="s">
        <v>615</v>
      </c>
      <c r="E173" s="426"/>
      <c r="F173" s="440"/>
      <c r="G173" s="530"/>
      <c r="H173" s="289"/>
      <c r="I173" s="540"/>
      <c r="J173" s="530"/>
      <c r="K173" s="285"/>
    </row>
    <row r="174" spans="1:11" ht="14.25" customHeight="1" x14ac:dyDescent="0.25">
      <c r="A174" s="284"/>
      <c r="B174" s="529" t="s">
        <v>641</v>
      </c>
      <c r="C174" s="523" t="s">
        <v>659</v>
      </c>
      <c r="D174" s="426" t="s">
        <v>616</v>
      </c>
      <c r="E174" s="426"/>
      <c r="F174" s="440"/>
      <c r="G174" s="530" t="s">
        <v>701</v>
      </c>
      <c r="H174" s="289"/>
      <c r="I174" s="540"/>
      <c r="J174" s="530"/>
      <c r="K174" s="285"/>
    </row>
    <row r="175" spans="1:11" ht="14.25" customHeight="1" x14ac:dyDescent="0.25">
      <c r="A175" s="284"/>
      <c r="B175" s="529" t="s">
        <v>641</v>
      </c>
      <c r="C175" s="523" t="s">
        <v>659</v>
      </c>
      <c r="D175" s="426" t="s">
        <v>618</v>
      </c>
      <c r="E175" s="426"/>
      <c r="F175" s="440"/>
      <c r="G175" s="530"/>
      <c r="H175" s="289"/>
      <c r="I175" s="540"/>
      <c r="J175" s="530"/>
      <c r="K175" s="285"/>
    </row>
    <row r="176" spans="1:11" ht="14.25" customHeight="1" x14ac:dyDescent="0.25">
      <c r="A176" s="284"/>
      <c r="B176" s="529" t="s">
        <v>641</v>
      </c>
      <c r="C176" s="523" t="s">
        <v>659</v>
      </c>
      <c r="D176" s="426" t="s">
        <v>689</v>
      </c>
      <c r="E176" s="426"/>
      <c r="F176" s="440"/>
      <c r="G176" s="530"/>
      <c r="H176" s="289"/>
      <c r="I176" s="540"/>
      <c r="J176" s="530"/>
      <c r="K176" s="285"/>
    </row>
    <row r="177" spans="1:11" ht="14.25" customHeight="1" x14ac:dyDescent="0.25">
      <c r="A177" s="284"/>
      <c r="B177" s="529" t="s">
        <v>641</v>
      </c>
      <c r="C177" s="523" t="s">
        <v>659</v>
      </c>
      <c r="D177" s="426" t="s">
        <v>619</v>
      </c>
      <c r="E177" s="426"/>
      <c r="F177" s="440"/>
      <c r="G177" s="530"/>
      <c r="H177" s="289"/>
      <c r="I177" s="540"/>
      <c r="J177" s="530"/>
      <c r="K177" s="285"/>
    </row>
    <row r="178" spans="1:11" ht="14.25" customHeight="1" x14ac:dyDescent="0.25">
      <c r="A178" s="284"/>
      <c r="B178" s="529" t="s">
        <v>641</v>
      </c>
      <c r="C178" s="523" t="s">
        <v>659</v>
      </c>
      <c r="D178" s="426" t="s">
        <v>620</v>
      </c>
      <c r="E178" s="426"/>
      <c r="F178" s="440"/>
      <c r="G178" s="530"/>
      <c r="H178" s="289"/>
      <c r="I178" s="540"/>
      <c r="J178" s="530"/>
      <c r="K178" s="285"/>
    </row>
    <row r="179" spans="1:11" ht="14.25" customHeight="1" x14ac:dyDescent="0.25">
      <c r="A179" s="284"/>
      <c r="B179" s="529" t="s">
        <v>641</v>
      </c>
      <c r="C179" s="523" t="s">
        <v>659</v>
      </c>
      <c r="D179" s="426" t="s">
        <v>640</v>
      </c>
      <c r="E179" s="426" t="s">
        <v>701</v>
      </c>
      <c r="F179" s="440"/>
      <c r="G179" s="530"/>
      <c r="H179" s="289"/>
      <c r="I179" s="540"/>
      <c r="J179" s="530"/>
      <c r="K179" s="285"/>
    </row>
    <row r="180" spans="1:11" ht="14.25" customHeight="1" x14ac:dyDescent="0.25">
      <c r="A180" s="284"/>
      <c r="B180" s="529" t="s">
        <v>641</v>
      </c>
      <c r="C180" s="523" t="s">
        <v>659</v>
      </c>
      <c r="D180" s="426" t="s">
        <v>621</v>
      </c>
      <c r="E180" s="426"/>
      <c r="F180" s="440"/>
      <c r="G180" s="530" t="s">
        <v>701</v>
      </c>
      <c r="H180" s="289"/>
      <c r="I180" s="540"/>
      <c r="J180" s="530"/>
      <c r="K180" s="285"/>
    </row>
    <row r="181" spans="1:11" ht="14.25" customHeight="1" x14ac:dyDescent="0.25">
      <c r="A181" s="284"/>
      <c r="B181" s="529" t="s">
        <v>641</v>
      </c>
      <c r="C181" s="523" t="s">
        <v>659</v>
      </c>
      <c r="D181" s="426" t="s">
        <v>617</v>
      </c>
      <c r="E181" s="426"/>
      <c r="F181" s="440"/>
      <c r="G181" s="530"/>
      <c r="H181" s="289"/>
      <c r="I181" s="540"/>
      <c r="J181" s="530"/>
      <c r="K181" s="285"/>
    </row>
    <row r="182" spans="1:11" ht="14.25" customHeight="1" x14ac:dyDescent="0.25">
      <c r="A182" s="284"/>
      <c r="B182" s="529" t="s">
        <v>641</v>
      </c>
      <c r="C182" s="523" t="s">
        <v>659</v>
      </c>
      <c r="D182" s="426" t="s">
        <v>622</v>
      </c>
      <c r="E182" s="426" t="s">
        <v>701</v>
      </c>
      <c r="F182" s="440"/>
      <c r="G182" s="530"/>
      <c r="H182" s="289"/>
      <c r="I182" s="540"/>
      <c r="J182" s="530"/>
      <c r="K182" s="285"/>
    </row>
    <row r="183" spans="1:11" ht="14.25" customHeight="1" x14ac:dyDescent="0.25">
      <c r="A183" s="284"/>
      <c r="B183" s="529" t="s">
        <v>641</v>
      </c>
      <c r="C183" s="523" t="s">
        <v>659</v>
      </c>
      <c r="D183" s="426" t="s">
        <v>623</v>
      </c>
      <c r="E183" s="426"/>
      <c r="F183" s="440"/>
      <c r="G183" s="530" t="s">
        <v>701</v>
      </c>
      <c r="H183" s="289"/>
      <c r="I183" s="540"/>
      <c r="J183" s="530"/>
      <c r="K183" s="285"/>
    </row>
    <row r="184" spans="1:11" ht="14.25" customHeight="1" x14ac:dyDescent="0.25">
      <c r="A184" s="284"/>
      <c r="B184" s="529" t="s">
        <v>641</v>
      </c>
      <c r="C184" s="523" t="s">
        <v>659</v>
      </c>
      <c r="D184" s="426" t="s">
        <v>630</v>
      </c>
      <c r="E184" s="426" t="s">
        <v>701</v>
      </c>
      <c r="F184" s="440"/>
      <c r="G184" s="530"/>
      <c r="H184" s="289"/>
      <c r="I184" s="540"/>
      <c r="J184" s="530"/>
      <c r="K184" s="285"/>
    </row>
    <row r="185" spans="1:11" ht="14.25" customHeight="1" x14ac:dyDescent="0.25">
      <c r="A185" s="284"/>
      <c r="B185" s="529" t="s">
        <v>641</v>
      </c>
      <c r="C185" s="523" t="s">
        <v>659</v>
      </c>
      <c r="D185" s="426" t="s">
        <v>631</v>
      </c>
      <c r="E185" s="426"/>
      <c r="F185" s="440"/>
      <c r="G185" s="530" t="s">
        <v>701</v>
      </c>
      <c r="H185" s="289"/>
      <c r="I185" s="540"/>
      <c r="J185" s="530"/>
      <c r="K185" s="285"/>
    </row>
    <row r="186" spans="1:11" ht="14.25" customHeight="1" x14ac:dyDescent="0.25">
      <c r="A186" s="284"/>
      <c r="B186" s="529" t="s">
        <v>641</v>
      </c>
      <c r="C186" s="523" t="s">
        <v>659</v>
      </c>
      <c r="D186" s="426" t="s">
        <v>624</v>
      </c>
      <c r="E186" s="426" t="s">
        <v>701</v>
      </c>
      <c r="F186" s="440"/>
      <c r="G186" s="530"/>
      <c r="H186" s="289"/>
      <c r="I186" s="540"/>
      <c r="J186" s="530"/>
      <c r="K186" s="285"/>
    </row>
    <row r="187" spans="1:11" ht="14.25" customHeight="1" x14ac:dyDescent="0.25">
      <c r="A187" s="284"/>
      <c r="B187" s="529" t="s">
        <v>641</v>
      </c>
      <c r="C187" s="523" t="s">
        <v>659</v>
      </c>
      <c r="D187" s="426" t="s">
        <v>625</v>
      </c>
      <c r="E187" s="426"/>
      <c r="F187" s="440"/>
      <c r="G187" s="530" t="s">
        <v>701</v>
      </c>
      <c r="H187" s="289"/>
      <c r="I187" s="540"/>
      <c r="J187" s="530"/>
      <c r="K187" s="285"/>
    </row>
    <row r="188" spans="1:11" ht="14.25" customHeight="1" x14ac:dyDescent="0.25">
      <c r="A188" s="284"/>
      <c r="B188" s="529" t="s">
        <v>641</v>
      </c>
      <c r="C188" s="523" t="s">
        <v>659</v>
      </c>
      <c r="D188" s="426" t="s">
        <v>626</v>
      </c>
      <c r="E188" s="426" t="s">
        <v>701</v>
      </c>
      <c r="F188" s="440"/>
      <c r="G188" s="530"/>
      <c r="H188" s="289"/>
      <c r="I188" s="540"/>
      <c r="J188" s="530"/>
      <c r="K188" s="285"/>
    </row>
    <row r="189" spans="1:11" ht="14.25" customHeight="1" x14ac:dyDescent="0.25">
      <c r="A189" s="284"/>
      <c r="B189" s="529" t="s">
        <v>641</v>
      </c>
      <c r="C189" s="523" t="s">
        <v>659</v>
      </c>
      <c r="D189" s="426" t="s">
        <v>627</v>
      </c>
      <c r="E189" s="426"/>
      <c r="F189" s="440"/>
      <c r="G189" s="530" t="s">
        <v>701</v>
      </c>
      <c r="H189" s="289"/>
      <c r="I189" s="540"/>
      <c r="J189" s="530"/>
      <c r="K189" s="285"/>
    </row>
    <row r="190" spans="1:11" ht="14.25" customHeight="1" x14ac:dyDescent="0.25">
      <c r="A190" s="284"/>
      <c r="B190" s="529" t="s">
        <v>641</v>
      </c>
      <c r="C190" s="523" t="s">
        <v>658</v>
      </c>
      <c r="D190" s="426" t="s">
        <v>614</v>
      </c>
      <c r="E190" s="426" t="s">
        <v>701</v>
      </c>
      <c r="F190" s="440"/>
      <c r="G190" s="530"/>
      <c r="H190" s="289"/>
      <c r="I190" s="540"/>
      <c r="J190" s="530"/>
      <c r="K190" s="285"/>
    </row>
    <row r="191" spans="1:11" ht="14.25" customHeight="1" x14ac:dyDescent="0.25">
      <c r="A191" s="284"/>
      <c r="B191" s="529" t="s">
        <v>641</v>
      </c>
      <c r="C191" s="523" t="s">
        <v>658</v>
      </c>
      <c r="D191" s="426" t="s">
        <v>615</v>
      </c>
      <c r="E191" s="426"/>
      <c r="F191" s="440"/>
      <c r="G191" s="530"/>
      <c r="H191" s="289"/>
      <c r="I191" s="540"/>
      <c r="J191" s="530"/>
      <c r="K191" s="285"/>
    </row>
    <row r="192" spans="1:11" ht="14.25" customHeight="1" x14ac:dyDescent="0.25">
      <c r="A192" s="284"/>
      <c r="B192" s="529" t="s">
        <v>641</v>
      </c>
      <c r="C192" s="523" t="s">
        <v>658</v>
      </c>
      <c r="D192" s="426" t="s">
        <v>616</v>
      </c>
      <c r="E192" s="426"/>
      <c r="F192" s="440"/>
      <c r="G192" s="530" t="s">
        <v>701</v>
      </c>
      <c r="H192" s="289"/>
      <c r="I192" s="540"/>
      <c r="J192" s="530"/>
      <c r="K192" s="285"/>
    </row>
    <row r="193" spans="1:11" ht="14.25" customHeight="1" x14ac:dyDescent="0.25">
      <c r="A193" s="284"/>
      <c r="B193" s="529" t="s">
        <v>641</v>
      </c>
      <c r="C193" s="523" t="s">
        <v>658</v>
      </c>
      <c r="D193" s="426" t="s">
        <v>618</v>
      </c>
      <c r="E193" s="426"/>
      <c r="F193" s="440"/>
      <c r="G193" s="530"/>
      <c r="H193" s="289"/>
      <c r="I193" s="540"/>
      <c r="J193" s="530"/>
      <c r="K193" s="285"/>
    </row>
    <row r="194" spans="1:11" ht="14.25" customHeight="1" x14ac:dyDescent="0.25">
      <c r="A194" s="284"/>
      <c r="B194" s="529" t="s">
        <v>641</v>
      </c>
      <c r="C194" s="523" t="s">
        <v>658</v>
      </c>
      <c r="D194" s="426" t="s">
        <v>689</v>
      </c>
      <c r="E194" s="426"/>
      <c r="F194" s="440"/>
      <c r="G194" s="530"/>
      <c r="H194" s="289"/>
      <c r="I194" s="540"/>
      <c r="J194" s="530"/>
      <c r="K194" s="285"/>
    </row>
    <row r="195" spans="1:11" ht="14.25" customHeight="1" x14ac:dyDescent="0.25">
      <c r="A195" s="284"/>
      <c r="B195" s="529" t="s">
        <v>641</v>
      </c>
      <c r="C195" s="523" t="s">
        <v>658</v>
      </c>
      <c r="D195" s="426" t="s">
        <v>619</v>
      </c>
      <c r="E195" s="426"/>
      <c r="F195" s="440"/>
      <c r="G195" s="530"/>
      <c r="H195" s="289"/>
      <c r="I195" s="540"/>
      <c r="J195" s="530"/>
      <c r="K195" s="285"/>
    </row>
    <row r="196" spans="1:11" ht="14.25" customHeight="1" x14ac:dyDescent="0.25">
      <c r="A196" s="284"/>
      <c r="B196" s="529" t="s">
        <v>641</v>
      </c>
      <c r="C196" s="523" t="s">
        <v>658</v>
      </c>
      <c r="D196" s="426" t="s">
        <v>620</v>
      </c>
      <c r="E196" s="426"/>
      <c r="F196" s="440"/>
      <c r="G196" s="530"/>
      <c r="H196" s="289"/>
      <c r="I196" s="540"/>
      <c r="J196" s="530"/>
      <c r="K196" s="285"/>
    </row>
    <row r="197" spans="1:11" ht="14.25" customHeight="1" x14ac:dyDescent="0.25">
      <c r="A197" s="284"/>
      <c r="B197" s="529" t="s">
        <v>641</v>
      </c>
      <c r="C197" s="523" t="s">
        <v>658</v>
      </c>
      <c r="D197" s="426" t="s">
        <v>621</v>
      </c>
      <c r="E197" s="426"/>
      <c r="F197" s="440"/>
      <c r="G197" s="530" t="s">
        <v>701</v>
      </c>
      <c r="H197" s="289"/>
      <c r="I197" s="540"/>
      <c r="J197" s="530"/>
      <c r="K197" s="285"/>
    </row>
    <row r="198" spans="1:11" ht="14.25" customHeight="1" x14ac:dyDescent="0.25">
      <c r="A198" s="284"/>
      <c r="B198" s="529" t="s">
        <v>641</v>
      </c>
      <c r="C198" s="523" t="s">
        <v>658</v>
      </c>
      <c r="D198" s="426" t="s">
        <v>617</v>
      </c>
      <c r="E198" s="426"/>
      <c r="F198" s="440"/>
      <c r="G198" s="530"/>
      <c r="H198" s="289"/>
      <c r="I198" s="540"/>
      <c r="J198" s="530"/>
      <c r="K198" s="285"/>
    </row>
    <row r="199" spans="1:11" ht="14.25" customHeight="1" x14ac:dyDescent="0.25">
      <c r="A199" s="284"/>
      <c r="B199" s="529" t="s">
        <v>641</v>
      </c>
      <c r="C199" s="523" t="s">
        <v>658</v>
      </c>
      <c r="D199" s="426" t="s">
        <v>622</v>
      </c>
      <c r="E199" s="426" t="s">
        <v>701</v>
      </c>
      <c r="F199" s="440"/>
      <c r="G199" s="530"/>
      <c r="H199" s="289"/>
      <c r="I199" s="540"/>
      <c r="J199" s="530"/>
      <c r="K199" s="285"/>
    </row>
    <row r="200" spans="1:11" ht="14.25" customHeight="1" x14ac:dyDescent="0.25">
      <c r="A200" s="284"/>
      <c r="B200" s="529" t="s">
        <v>641</v>
      </c>
      <c r="C200" s="523" t="s">
        <v>658</v>
      </c>
      <c r="D200" s="426" t="s">
        <v>623</v>
      </c>
      <c r="E200" s="426"/>
      <c r="F200" s="440"/>
      <c r="G200" s="530" t="s">
        <v>701</v>
      </c>
      <c r="H200" s="289"/>
      <c r="I200" s="540"/>
      <c r="J200" s="530"/>
      <c r="K200" s="285"/>
    </row>
    <row r="201" spans="1:11" ht="14.25" customHeight="1" x14ac:dyDescent="0.25">
      <c r="A201" s="284"/>
      <c r="B201" s="529" t="s">
        <v>641</v>
      </c>
      <c r="C201" s="523" t="s">
        <v>658</v>
      </c>
      <c r="D201" s="426" t="s">
        <v>624</v>
      </c>
      <c r="E201" s="426" t="s">
        <v>701</v>
      </c>
      <c r="F201" s="440"/>
      <c r="G201" s="530"/>
      <c r="H201" s="289"/>
      <c r="I201" s="540"/>
      <c r="J201" s="530"/>
      <c r="K201" s="285"/>
    </row>
    <row r="202" spans="1:11" ht="14.25" customHeight="1" x14ac:dyDescent="0.25">
      <c r="A202" s="284"/>
      <c r="B202" s="529" t="s">
        <v>641</v>
      </c>
      <c r="C202" s="523" t="s">
        <v>658</v>
      </c>
      <c r="D202" s="426" t="s">
        <v>625</v>
      </c>
      <c r="E202" s="426"/>
      <c r="F202" s="440"/>
      <c r="G202" s="530" t="s">
        <v>701</v>
      </c>
      <c r="H202" s="289"/>
      <c r="I202" s="540"/>
      <c r="J202" s="530"/>
      <c r="K202" s="285"/>
    </row>
    <row r="203" spans="1:11" ht="14.25" customHeight="1" x14ac:dyDescent="0.25">
      <c r="A203" s="284"/>
      <c r="B203" s="529" t="s">
        <v>641</v>
      </c>
      <c r="C203" s="523" t="s">
        <v>658</v>
      </c>
      <c r="D203" s="426" t="s">
        <v>626</v>
      </c>
      <c r="E203" s="426" t="s">
        <v>701</v>
      </c>
      <c r="F203" s="440"/>
      <c r="G203" s="530"/>
      <c r="H203" s="289"/>
      <c r="I203" s="540"/>
      <c r="J203" s="530"/>
      <c r="K203" s="285"/>
    </row>
    <row r="204" spans="1:11" ht="14.25" customHeight="1" x14ac:dyDescent="0.25">
      <c r="A204" s="284"/>
      <c r="B204" s="529" t="s">
        <v>641</v>
      </c>
      <c r="C204" s="523" t="s">
        <v>658</v>
      </c>
      <c r="D204" s="426" t="s">
        <v>627</v>
      </c>
      <c r="E204" s="426"/>
      <c r="F204" s="440"/>
      <c r="G204" s="530" t="s">
        <v>701</v>
      </c>
      <c r="H204" s="289"/>
      <c r="I204" s="540"/>
      <c r="J204" s="530"/>
      <c r="K204" s="285"/>
    </row>
    <row r="205" spans="1:11" ht="14.25" customHeight="1" x14ac:dyDescent="0.25">
      <c r="A205" s="284"/>
      <c r="B205" s="529" t="s">
        <v>641</v>
      </c>
      <c r="C205" s="523" t="s">
        <v>635</v>
      </c>
      <c r="D205" s="426" t="s">
        <v>637</v>
      </c>
      <c r="E205" s="426"/>
      <c r="F205" s="440"/>
      <c r="G205" s="530"/>
      <c r="H205" s="289"/>
      <c r="I205" s="540"/>
      <c r="J205" s="530"/>
      <c r="K205" s="285"/>
    </row>
    <row r="206" spans="1:11" ht="14.25" customHeight="1" x14ac:dyDescent="0.25">
      <c r="A206" s="284"/>
      <c r="B206" s="529" t="s">
        <v>641</v>
      </c>
      <c r="C206" s="523" t="s">
        <v>635</v>
      </c>
      <c r="D206" s="426" t="s">
        <v>646</v>
      </c>
      <c r="E206" s="426" t="s">
        <v>701</v>
      </c>
      <c r="F206" s="440" t="s">
        <v>701</v>
      </c>
      <c r="G206" s="530"/>
      <c r="H206" s="289"/>
      <c r="I206" s="540"/>
      <c r="J206" s="530"/>
      <c r="K206" s="285"/>
    </row>
    <row r="207" spans="1:11" ht="14.25" customHeight="1" x14ac:dyDescent="0.25">
      <c r="A207" s="284"/>
      <c r="B207" s="529" t="s">
        <v>641</v>
      </c>
      <c r="C207" s="523" t="s">
        <v>635</v>
      </c>
      <c r="D207" s="426" t="s">
        <v>647</v>
      </c>
      <c r="E207" s="426" t="s">
        <v>701</v>
      </c>
      <c r="F207" s="440" t="s">
        <v>701</v>
      </c>
      <c r="G207" s="530"/>
      <c r="H207" s="289"/>
      <c r="I207" s="540"/>
      <c r="J207" s="530"/>
      <c r="K207" s="285"/>
    </row>
    <row r="208" spans="1:11" ht="14.25" customHeight="1" x14ac:dyDescent="0.25">
      <c r="A208" s="284"/>
      <c r="B208" s="529" t="s">
        <v>641</v>
      </c>
      <c r="C208" s="523" t="s">
        <v>635</v>
      </c>
      <c r="D208" s="426" t="s">
        <v>648</v>
      </c>
      <c r="E208" s="426"/>
      <c r="F208" s="440"/>
      <c r="G208" s="530" t="s">
        <v>701</v>
      </c>
      <c r="H208" s="289"/>
      <c r="I208" s="540"/>
      <c r="J208" s="530"/>
      <c r="K208" s="285"/>
    </row>
    <row r="209" spans="1:11" ht="14.25" customHeight="1" x14ac:dyDescent="0.25">
      <c r="A209" s="284"/>
      <c r="B209" s="529" t="s">
        <v>641</v>
      </c>
      <c r="C209" s="523" t="s">
        <v>635</v>
      </c>
      <c r="D209" s="426" t="s">
        <v>649</v>
      </c>
      <c r="E209" s="426"/>
      <c r="F209" s="440"/>
      <c r="G209" s="530"/>
      <c r="H209" s="289"/>
      <c r="I209" s="540"/>
      <c r="J209" s="530"/>
      <c r="K209" s="285"/>
    </row>
    <row r="210" spans="1:11" ht="14.25" customHeight="1" x14ac:dyDescent="0.25">
      <c r="A210" s="284"/>
      <c r="B210" s="529" t="s">
        <v>641</v>
      </c>
      <c r="C210" s="523" t="s">
        <v>635</v>
      </c>
      <c r="D210" s="426" t="s">
        <v>650</v>
      </c>
      <c r="E210" s="426" t="s">
        <v>701</v>
      </c>
      <c r="F210" s="440" t="s">
        <v>701</v>
      </c>
      <c r="G210" s="530"/>
      <c r="H210" s="289"/>
      <c r="I210" s="540"/>
      <c r="J210" s="530"/>
      <c r="K210" s="285"/>
    </row>
    <row r="211" spans="1:11" ht="14.25" customHeight="1" x14ac:dyDescent="0.25">
      <c r="A211" s="284"/>
      <c r="B211" s="529" t="s">
        <v>641</v>
      </c>
      <c r="C211" s="523" t="s">
        <v>635</v>
      </c>
      <c r="D211" s="426" t="s">
        <v>652</v>
      </c>
      <c r="E211" s="426"/>
      <c r="F211" s="440"/>
      <c r="G211" s="530"/>
      <c r="H211" s="289"/>
      <c r="I211" s="540"/>
      <c r="J211" s="530"/>
      <c r="K211" s="285"/>
    </row>
    <row r="212" spans="1:11" ht="14.25" customHeight="1" x14ac:dyDescent="0.25">
      <c r="A212" s="284"/>
      <c r="B212" s="529" t="s">
        <v>641</v>
      </c>
      <c r="C212" s="523" t="s">
        <v>657</v>
      </c>
      <c r="D212" s="426" t="s">
        <v>614</v>
      </c>
      <c r="E212" s="426" t="s">
        <v>701</v>
      </c>
      <c r="F212" s="440"/>
      <c r="G212" s="530"/>
      <c r="H212" s="289"/>
      <c r="I212" s="540"/>
      <c r="J212" s="530"/>
      <c r="K212" s="285"/>
    </row>
    <row r="213" spans="1:11" ht="14.25" customHeight="1" x14ac:dyDescent="0.25">
      <c r="A213" s="284"/>
      <c r="B213" s="529" t="s">
        <v>641</v>
      </c>
      <c r="C213" s="523" t="s">
        <v>657</v>
      </c>
      <c r="D213" s="426" t="s">
        <v>615</v>
      </c>
      <c r="E213" s="426"/>
      <c r="F213" s="440"/>
      <c r="G213" s="530"/>
      <c r="H213" s="289"/>
      <c r="I213" s="540"/>
      <c r="J213" s="530"/>
      <c r="K213" s="285"/>
    </row>
    <row r="214" spans="1:11" ht="14.25" customHeight="1" x14ac:dyDescent="0.25">
      <c r="A214" s="284"/>
      <c r="B214" s="529" t="s">
        <v>641</v>
      </c>
      <c r="C214" s="523" t="s">
        <v>657</v>
      </c>
      <c r="D214" s="426" t="s">
        <v>616</v>
      </c>
      <c r="E214" s="426"/>
      <c r="F214" s="440"/>
      <c r="G214" s="530" t="s">
        <v>701</v>
      </c>
      <c r="H214" s="289"/>
      <c r="I214" s="540"/>
      <c r="J214" s="530"/>
      <c r="K214" s="285"/>
    </row>
    <row r="215" spans="1:11" ht="14.25" customHeight="1" x14ac:dyDescent="0.25">
      <c r="A215" s="284"/>
      <c r="B215" s="529" t="s">
        <v>641</v>
      </c>
      <c r="C215" s="523" t="s">
        <v>657</v>
      </c>
      <c r="D215" s="426" t="s">
        <v>618</v>
      </c>
      <c r="E215" s="426"/>
      <c r="F215" s="440"/>
      <c r="G215" s="530"/>
      <c r="H215" s="289"/>
      <c r="I215" s="540"/>
      <c r="J215" s="530"/>
      <c r="K215" s="285"/>
    </row>
    <row r="216" spans="1:11" ht="14.25" customHeight="1" x14ac:dyDescent="0.25">
      <c r="A216" s="284"/>
      <c r="B216" s="529" t="s">
        <v>641</v>
      </c>
      <c r="C216" s="523" t="s">
        <v>657</v>
      </c>
      <c r="D216" s="426" t="s">
        <v>689</v>
      </c>
      <c r="E216" s="426"/>
      <c r="F216" s="440"/>
      <c r="G216" s="530"/>
      <c r="H216" s="289"/>
      <c r="I216" s="540"/>
      <c r="J216" s="530"/>
      <c r="K216" s="285"/>
    </row>
    <row r="217" spans="1:11" ht="14.25" customHeight="1" x14ac:dyDescent="0.25">
      <c r="A217" s="284"/>
      <c r="B217" s="529" t="s">
        <v>641</v>
      </c>
      <c r="C217" s="523" t="s">
        <v>657</v>
      </c>
      <c r="D217" s="426" t="s">
        <v>619</v>
      </c>
      <c r="E217" s="426"/>
      <c r="F217" s="440"/>
      <c r="G217" s="530"/>
      <c r="H217" s="289"/>
      <c r="I217" s="540"/>
      <c r="J217" s="530"/>
      <c r="K217" s="285"/>
    </row>
    <row r="218" spans="1:11" ht="14.25" customHeight="1" x14ac:dyDescent="0.25">
      <c r="A218" s="284"/>
      <c r="B218" s="529" t="s">
        <v>641</v>
      </c>
      <c r="C218" s="523" t="s">
        <v>657</v>
      </c>
      <c r="D218" s="426" t="s">
        <v>620</v>
      </c>
      <c r="E218" s="426"/>
      <c r="F218" s="440"/>
      <c r="G218" s="530"/>
      <c r="H218" s="289"/>
      <c r="I218" s="540"/>
      <c r="J218" s="530"/>
      <c r="K218" s="285"/>
    </row>
    <row r="219" spans="1:11" ht="14.25" customHeight="1" x14ac:dyDescent="0.25">
      <c r="A219" s="284"/>
      <c r="B219" s="529" t="s">
        <v>641</v>
      </c>
      <c r="C219" s="523" t="s">
        <v>657</v>
      </c>
      <c r="D219" s="426" t="s">
        <v>621</v>
      </c>
      <c r="E219" s="426"/>
      <c r="F219" s="440"/>
      <c r="G219" s="530" t="s">
        <v>701</v>
      </c>
      <c r="H219" s="289"/>
      <c r="I219" s="540"/>
      <c r="J219" s="530"/>
      <c r="K219" s="285"/>
    </row>
    <row r="220" spans="1:11" ht="14.25" customHeight="1" x14ac:dyDescent="0.25">
      <c r="A220" s="284"/>
      <c r="B220" s="529" t="s">
        <v>641</v>
      </c>
      <c r="C220" s="523" t="s">
        <v>657</v>
      </c>
      <c r="D220" s="426" t="s">
        <v>617</v>
      </c>
      <c r="E220" s="426"/>
      <c r="F220" s="440"/>
      <c r="G220" s="530"/>
      <c r="H220" s="289"/>
      <c r="I220" s="540"/>
      <c r="J220" s="530"/>
      <c r="K220" s="285"/>
    </row>
    <row r="221" spans="1:11" ht="14.25" customHeight="1" x14ac:dyDescent="0.25">
      <c r="A221" s="284"/>
      <c r="B221" s="529" t="s">
        <v>641</v>
      </c>
      <c r="C221" s="523" t="s">
        <v>657</v>
      </c>
      <c r="D221" s="426" t="s">
        <v>622</v>
      </c>
      <c r="E221" s="426" t="s">
        <v>701</v>
      </c>
      <c r="F221" s="440"/>
      <c r="G221" s="530"/>
      <c r="H221" s="289"/>
      <c r="I221" s="540"/>
      <c r="J221" s="530"/>
      <c r="K221" s="285"/>
    </row>
    <row r="222" spans="1:11" ht="14.25" customHeight="1" x14ac:dyDescent="0.25">
      <c r="A222" s="284"/>
      <c r="B222" s="529" t="s">
        <v>641</v>
      </c>
      <c r="C222" s="523" t="s">
        <v>657</v>
      </c>
      <c r="D222" s="426" t="s">
        <v>623</v>
      </c>
      <c r="E222" s="426"/>
      <c r="F222" s="440"/>
      <c r="G222" s="530" t="s">
        <v>701</v>
      </c>
      <c r="H222" s="289"/>
      <c r="I222" s="540"/>
      <c r="J222" s="530"/>
      <c r="K222" s="285"/>
    </row>
    <row r="223" spans="1:11" ht="14.25" customHeight="1" x14ac:dyDescent="0.25">
      <c r="A223" s="284"/>
      <c r="B223" s="529" t="s">
        <v>641</v>
      </c>
      <c r="C223" s="523" t="s">
        <v>657</v>
      </c>
      <c r="D223" s="426" t="s">
        <v>630</v>
      </c>
      <c r="E223" s="426" t="s">
        <v>701</v>
      </c>
      <c r="F223" s="440"/>
      <c r="G223" s="530"/>
      <c r="H223" s="289"/>
      <c r="I223" s="540"/>
      <c r="J223" s="530"/>
      <c r="K223" s="285"/>
    </row>
    <row r="224" spans="1:11" ht="14.25" customHeight="1" x14ac:dyDescent="0.25">
      <c r="A224" s="284"/>
      <c r="B224" s="529" t="s">
        <v>641</v>
      </c>
      <c r="C224" s="523" t="s">
        <v>657</v>
      </c>
      <c r="D224" s="426" t="s">
        <v>631</v>
      </c>
      <c r="E224" s="426"/>
      <c r="F224" s="440"/>
      <c r="G224" s="530" t="s">
        <v>701</v>
      </c>
      <c r="H224" s="289"/>
      <c r="I224" s="540"/>
      <c r="J224" s="530"/>
      <c r="K224" s="285"/>
    </row>
    <row r="225" spans="1:11" ht="14.25" customHeight="1" x14ac:dyDescent="0.25">
      <c r="A225" s="284"/>
      <c r="B225" s="529" t="s">
        <v>641</v>
      </c>
      <c r="C225" s="523" t="s">
        <v>657</v>
      </c>
      <c r="D225" s="426" t="s">
        <v>624</v>
      </c>
      <c r="E225" s="426" t="s">
        <v>701</v>
      </c>
      <c r="F225" s="440"/>
      <c r="G225" s="530"/>
      <c r="H225" s="289"/>
      <c r="I225" s="540"/>
      <c r="J225" s="530"/>
      <c r="K225" s="285"/>
    </row>
    <row r="226" spans="1:11" ht="14.25" customHeight="1" x14ac:dyDescent="0.25">
      <c r="A226" s="284"/>
      <c r="B226" s="529" t="s">
        <v>641</v>
      </c>
      <c r="C226" s="523" t="s">
        <v>657</v>
      </c>
      <c r="D226" s="426" t="s">
        <v>625</v>
      </c>
      <c r="E226" s="426"/>
      <c r="F226" s="440"/>
      <c r="G226" s="530" t="s">
        <v>701</v>
      </c>
      <c r="H226" s="289"/>
      <c r="I226" s="540"/>
      <c r="J226" s="530"/>
      <c r="K226" s="285"/>
    </row>
    <row r="227" spans="1:11" ht="14.25" customHeight="1" x14ac:dyDescent="0.25">
      <c r="A227" s="284"/>
      <c r="B227" s="529" t="s">
        <v>641</v>
      </c>
      <c r="C227" s="523" t="s">
        <v>657</v>
      </c>
      <c r="D227" s="426" t="s">
        <v>626</v>
      </c>
      <c r="E227" s="426" t="s">
        <v>701</v>
      </c>
      <c r="F227" s="440"/>
      <c r="G227" s="530"/>
      <c r="H227" s="289"/>
      <c r="I227" s="540"/>
      <c r="J227" s="530"/>
      <c r="K227" s="285"/>
    </row>
    <row r="228" spans="1:11" ht="14.25" customHeight="1" x14ac:dyDescent="0.25">
      <c r="A228" s="284"/>
      <c r="B228" s="529" t="s">
        <v>641</v>
      </c>
      <c r="C228" s="523" t="s">
        <v>657</v>
      </c>
      <c r="D228" s="426" t="s">
        <v>627</v>
      </c>
      <c r="E228" s="426"/>
      <c r="F228" s="440"/>
      <c r="G228" s="530" t="s">
        <v>701</v>
      </c>
      <c r="H228" s="289"/>
      <c r="I228" s="540"/>
      <c r="J228" s="530"/>
      <c r="K228" s="285"/>
    </row>
    <row r="229" spans="1:11" ht="14.25" customHeight="1" x14ac:dyDescent="0.25">
      <c r="A229" s="284"/>
      <c r="B229" s="529" t="s">
        <v>641</v>
      </c>
      <c r="C229" s="523" t="s">
        <v>656</v>
      </c>
      <c r="D229" s="426" t="s">
        <v>614</v>
      </c>
      <c r="E229" s="426" t="s">
        <v>701</v>
      </c>
      <c r="F229" s="440"/>
      <c r="G229" s="530"/>
      <c r="H229" s="289"/>
      <c r="I229" s="540"/>
      <c r="J229" s="530"/>
      <c r="K229" s="285"/>
    </row>
    <row r="230" spans="1:11" ht="14.25" customHeight="1" x14ac:dyDescent="0.25">
      <c r="A230" s="284"/>
      <c r="B230" s="529" t="s">
        <v>641</v>
      </c>
      <c r="C230" s="523" t="s">
        <v>656</v>
      </c>
      <c r="D230" s="426" t="s">
        <v>615</v>
      </c>
      <c r="E230" s="426"/>
      <c r="F230" s="440"/>
      <c r="G230" s="530"/>
      <c r="H230" s="289"/>
      <c r="I230" s="540"/>
      <c r="J230" s="530"/>
      <c r="K230" s="285"/>
    </row>
    <row r="231" spans="1:11" ht="14.25" customHeight="1" x14ac:dyDescent="0.25">
      <c r="A231" s="284"/>
      <c r="B231" s="529" t="s">
        <v>641</v>
      </c>
      <c r="C231" s="523" t="s">
        <v>656</v>
      </c>
      <c r="D231" s="426" t="s">
        <v>616</v>
      </c>
      <c r="E231" s="426"/>
      <c r="F231" s="440"/>
      <c r="G231" s="530" t="s">
        <v>701</v>
      </c>
      <c r="H231" s="289"/>
      <c r="I231" s="540"/>
      <c r="J231" s="530"/>
      <c r="K231" s="285"/>
    </row>
    <row r="232" spans="1:11" ht="14.25" customHeight="1" x14ac:dyDescent="0.25">
      <c r="A232" s="284"/>
      <c r="B232" s="529" t="s">
        <v>641</v>
      </c>
      <c r="C232" s="523" t="s">
        <v>656</v>
      </c>
      <c r="D232" s="426" t="s">
        <v>618</v>
      </c>
      <c r="E232" s="426"/>
      <c r="F232" s="440"/>
      <c r="G232" s="530"/>
      <c r="H232" s="289"/>
      <c r="I232" s="540"/>
      <c r="J232" s="530"/>
      <c r="K232" s="285"/>
    </row>
    <row r="233" spans="1:11" ht="14.25" customHeight="1" x14ac:dyDescent="0.25">
      <c r="A233" s="284"/>
      <c r="B233" s="529" t="s">
        <v>641</v>
      </c>
      <c r="C233" s="523" t="s">
        <v>656</v>
      </c>
      <c r="D233" s="426" t="s">
        <v>689</v>
      </c>
      <c r="E233" s="426"/>
      <c r="F233" s="440"/>
      <c r="G233" s="530"/>
      <c r="H233" s="289"/>
      <c r="I233" s="540"/>
      <c r="J233" s="530"/>
      <c r="K233" s="285"/>
    </row>
    <row r="234" spans="1:11" ht="14.25" customHeight="1" x14ac:dyDescent="0.25">
      <c r="A234" s="284"/>
      <c r="B234" s="529" t="s">
        <v>641</v>
      </c>
      <c r="C234" s="523" t="s">
        <v>656</v>
      </c>
      <c r="D234" s="426" t="s">
        <v>619</v>
      </c>
      <c r="E234" s="426"/>
      <c r="F234" s="440"/>
      <c r="G234" s="530"/>
      <c r="H234" s="289"/>
      <c r="I234" s="540"/>
      <c r="J234" s="530"/>
      <c r="K234" s="285"/>
    </row>
    <row r="235" spans="1:11" ht="14.25" customHeight="1" x14ac:dyDescent="0.25">
      <c r="A235" s="284"/>
      <c r="B235" s="529" t="s">
        <v>641</v>
      </c>
      <c r="C235" s="523" t="s">
        <v>656</v>
      </c>
      <c r="D235" s="426" t="s">
        <v>620</v>
      </c>
      <c r="E235" s="426"/>
      <c r="F235" s="440"/>
      <c r="G235" s="530"/>
      <c r="H235" s="289"/>
      <c r="I235" s="540"/>
      <c r="J235" s="530"/>
      <c r="K235" s="285"/>
    </row>
    <row r="236" spans="1:11" ht="14.25" customHeight="1" x14ac:dyDescent="0.25">
      <c r="A236" s="284"/>
      <c r="B236" s="529" t="s">
        <v>641</v>
      </c>
      <c r="C236" s="523" t="s">
        <v>656</v>
      </c>
      <c r="D236" s="426" t="s">
        <v>621</v>
      </c>
      <c r="E236" s="426"/>
      <c r="F236" s="440"/>
      <c r="G236" s="530" t="s">
        <v>701</v>
      </c>
      <c r="H236" s="289"/>
      <c r="I236" s="540"/>
      <c r="J236" s="530"/>
      <c r="K236" s="285"/>
    </row>
    <row r="237" spans="1:11" ht="14.25" customHeight="1" x14ac:dyDescent="0.25">
      <c r="A237" s="284"/>
      <c r="B237" s="529" t="s">
        <v>641</v>
      </c>
      <c r="C237" s="523" t="s">
        <v>656</v>
      </c>
      <c r="D237" s="426" t="s">
        <v>617</v>
      </c>
      <c r="E237" s="426"/>
      <c r="F237" s="440"/>
      <c r="G237" s="530"/>
      <c r="H237" s="289"/>
      <c r="I237" s="540"/>
      <c r="J237" s="530"/>
      <c r="K237" s="285"/>
    </row>
    <row r="238" spans="1:11" ht="14.25" customHeight="1" x14ac:dyDescent="0.25">
      <c r="A238" s="284"/>
      <c r="B238" s="529" t="s">
        <v>641</v>
      </c>
      <c r="C238" s="523" t="s">
        <v>656</v>
      </c>
      <c r="D238" s="426" t="s">
        <v>622</v>
      </c>
      <c r="E238" s="426" t="s">
        <v>701</v>
      </c>
      <c r="F238" s="440"/>
      <c r="G238" s="530"/>
      <c r="H238" s="289"/>
      <c r="I238" s="540"/>
      <c r="J238" s="530"/>
      <c r="K238" s="285"/>
    </row>
    <row r="239" spans="1:11" ht="14.25" customHeight="1" x14ac:dyDescent="0.25">
      <c r="A239" s="284"/>
      <c r="B239" s="529" t="s">
        <v>641</v>
      </c>
      <c r="C239" s="523" t="s">
        <v>656</v>
      </c>
      <c r="D239" s="426" t="s">
        <v>623</v>
      </c>
      <c r="E239" s="426"/>
      <c r="F239" s="440"/>
      <c r="G239" s="530" t="s">
        <v>701</v>
      </c>
      <c r="H239" s="289"/>
      <c r="I239" s="540"/>
      <c r="J239" s="530"/>
      <c r="K239" s="285"/>
    </row>
    <row r="240" spans="1:11" ht="14.25" customHeight="1" x14ac:dyDescent="0.25">
      <c r="A240" s="284"/>
      <c r="B240" s="529" t="s">
        <v>641</v>
      </c>
      <c r="C240" s="523" t="s">
        <v>656</v>
      </c>
      <c r="D240" s="426" t="s">
        <v>624</v>
      </c>
      <c r="E240" s="426" t="s">
        <v>701</v>
      </c>
      <c r="F240" s="440"/>
      <c r="G240" s="530"/>
      <c r="H240" s="289"/>
      <c r="I240" s="540"/>
      <c r="J240" s="530"/>
      <c r="K240" s="285"/>
    </row>
    <row r="241" spans="1:11" ht="14.25" customHeight="1" x14ac:dyDescent="0.25">
      <c r="A241" s="284"/>
      <c r="B241" s="529" t="s">
        <v>641</v>
      </c>
      <c r="C241" s="523" t="s">
        <v>656</v>
      </c>
      <c r="D241" s="426" t="s">
        <v>625</v>
      </c>
      <c r="E241" s="426"/>
      <c r="F241" s="440"/>
      <c r="G241" s="530" t="s">
        <v>701</v>
      </c>
      <c r="H241" s="289"/>
      <c r="I241" s="540"/>
      <c r="J241" s="530"/>
      <c r="K241" s="285"/>
    </row>
    <row r="242" spans="1:11" ht="14.25" customHeight="1" x14ac:dyDescent="0.25">
      <c r="A242" s="284"/>
      <c r="B242" s="529" t="s">
        <v>641</v>
      </c>
      <c r="C242" s="523" t="s">
        <v>656</v>
      </c>
      <c r="D242" s="426" t="s">
        <v>626</v>
      </c>
      <c r="E242" s="426" t="s">
        <v>701</v>
      </c>
      <c r="F242" s="440"/>
      <c r="G242" s="530"/>
      <c r="H242" s="289"/>
      <c r="I242" s="540"/>
      <c r="J242" s="530"/>
      <c r="K242" s="285"/>
    </row>
    <row r="243" spans="1:11" ht="14.25" customHeight="1" x14ac:dyDescent="0.25">
      <c r="A243" s="284"/>
      <c r="B243" s="529" t="s">
        <v>641</v>
      </c>
      <c r="C243" s="523" t="s">
        <v>656</v>
      </c>
      <c r="D243" s="426" t="s">
        <v>627</v>
      </c>
      <c r="E243" s="426"/>
      <c r="F243" s="440"/>
      <c r="G243" s="530" t="s">
        <v>701</v>
      </c>
      <c r="H243" s="289"/>
      <c r="I243" s="540"/>
      <c r="J243" s="530"/>
      <c r="K243" s="285"/>
    </row>
    <row r="244" spans="1:11" ht="14.25" customHeight="1" x14ac:dyDescent="0.25">
      <c r="A244" s="284"/>
      <c r="B244" s="529" t="s">
        <v>641</v>
      </c>
      <c r="C244" s="523" t="s">
        <v>659</v>
      </c>
      <c r="D244" s="426" t="s">
        <v>614</v>
      </c>
      <c r="E244" s="426" t="s">
        <v>701</v>
      </c>
      <c r="F244" s="440"/>
      <c r="G244" s="530"/>
      <c r="H244" s="289"/>
      <c r="I244" s="540"/>
      <c r="J244" s="530"/>
      <c r="K244" s="285"/>
    </row>
    <row r="245" spans="1:11" ht="14.25" customHeight="1" x14ac:dyDescent="0.25">
      <c r="A245" s="284"/>
      <c r="B245" s="529" t="s">
        <v>641</v>
      </c>
      <c r="C245" s="523" t="s">
        <v>659</v>
      </c>
      <c r="D245" s="426" t="s">
        <v>615</v>
      </c>
      <c r="E245" s="426"/>
      <c r="F245" s="440"/>
      <c r="G245" s="530"/>
      <c r="H245" s="289"/>
      <c r="I245" s="540"/>
      <c r="J245" s="530"/>
      <c r="K245" s="285"/>
    </row>
    <row r="246" spans="1:11" ht="14.25" customHeight="1" x14ac:dyDescent="0.25">
      <c r="A246" s="284"/>
      <c r="B246" s="529" t="s">
        <v>641</v>
      </c>
      <c r="C246" s="523" t="s">
        <v>659</v>
      </c>
      <c r="D246" s="426" t="s">
        <v>616</v>
      </c>
      <c r="E246" s="426"/>
      <c r="F246" s="440"/>
      <c r="G246" s="530" t="s">
        <v>701</v>
      </c>
      <c r="H246" s="289"/>
      <c r="I246" s="540"/>
      <c r="J246" s="530"/>
      <c r="K246" s="285"/>
    </row>
    <row r="247" spans="1:11" ht="14.25" customHeight="1" x14ac:dyDescent="0.25">
      <c r="A247" s="284"/>
      <c r="B247" s="529" t="s">
        <v>641</v>
      </c>
      <c r="C247" s="523" t="s">
        <v>659</v>
      </c>
      <c r="D247" s="426" t="s">
        <v>618</v>
      </c>
      <c r="E247" s="426"/>
      <c r="F247" s="440"/>
      <c r="G247" s="530"/>
      <c r="H247" s="289"/>
      <c r="I247" s="540"/>
      <c r="J247" s="530"/>
      <c r="K247" s="285"/>
    </row>
    <row r="248" spans="1:11" ht="14.25" customHeight="1" x14ac:dyDescent="0.25">
      <c r="A248" s="284"/>
      <c r="B248" s="529" t="s">
        <v>641</v>
      </c>
      <c r="C248" s="523" t="s">
        <v>659</v>
      </c>
      <c r="D248" s="426" t="s">
        <v>689</v>
      </c>
      <c r="E248" s="426"/>
      <c r="F248" s="440"/>
      <c r="G248" s="530"/>
      <c r="H248" s="289"/>
      <c r="I248" s="540"/>
      <c r="J248" s="530"/>
      <c r="K248" s="285"/>
    </row>
    <row r="249" spans="1:11" ht="14.25" customHeight="1" x14ac:dyDescent="0.25">
      <c r="A249" s="284"/>
      <c r="B249" s="529" t="s">
        <v>641</v>
      </c>
      <c r="C249" s="523" t="s">
        <v>659</v>
      </c>
      <c r="D249" s="426" t="s">
        <v>619</v>
      </c>
      <c r="E249" s="426"/>
      <c r="F249" s="440"/>
      <c r="G249" s="530"/>
      <c r="H249" s="289"/>
      <c r="I249" s="540"/>
      <c r="J249" s="530"/>
      <c r="K249" s="285"/>
    </row>
    <row r="250" spans="1:11" ht="14.25" customHeight="1" x14ac:dyDescent="0.25">
      <c r="A250" s="284"/>
      <c r="B250" s="529" t="s">
        <v>641</v>
      </c>
      <c r="C250" s="523" t="s">
        <v>659</v>
      </c>
      <c r="D250" s="426" t="s">
        <v>620</v>
      </c>
      <c r="E250" s="426"/>
      <c r="F250" s="440"/>
      <c r="G250" s="530"/>
      <c r="H250" s="289"/>
      <c r="I250" s="540"/>
      <c r="J250" s="530"/>
      <c r="K250" s="285"/>
    </row>
    <row r="251" spans="1:11" ht="14.25" customHeight="1" x14ac:dyDescent="0.25">
      <c r="A251" s="284"/>
      <c r="B251" s="529" t="s">
        <v>641</v>
      </c>
      <c r="C251" s="523" t="s">
        <v>659</v>
      </c>
      <c r="D251" s="426" t="s">
        <v>639</v>
      </c>
      <c r="E251" s="426"/>
      <c r="F251" s="440"/>
      <c r="G251" s="530" t="s">
        <v>701</v>
      </c>
      <c r="H251" s="289"/>
      <c r="I251" s="540"/>
      <c r="J251" s="530"/>
      <c r="K251" s="285"/>
    </row>
    <row r="252" spans="1:11" ht="14.25" customHeight="1" x14ac:dyDescent="0.25">
      <c r="A252" s="284"/>
      <c r="B252" s="529" t="s">
        <v>641</v>
      </c>
      <c r="C252" s="523" t="s">
        <v>659</v>
      </c>
      <c r="D252" s="426" t="s">
        <v>651</v>
      </c>
      <c r="E252" s="426" t="s">
        <v>701</v>
      </c>
      <c r="F252" s="440"/>
      <c r="G252" s="530"/>
      <c r="H252" s="289"/>
      <c r="I252" s="540"/>
      <c r="J252" s="530"/>
      <c r="K252" s="285"/>
    </row>
    <row r="253" spans="1:11" ht="14.25" customHeight="1" x14ac:dyDescent="0.25">
      <c r="A253" s="284"/>
      <c r="B253" s="529" t="s">
        <v>641</v>
      </c>
      <c r="C253" s="523" t="s">
        <v>659</v>
      </c>
      <c r="D253" s="426" t="s">
        <v>621</v>
      </c>
      <c r="E253" s="426"/>
      <c r="F253" s="440"/>
      <c r="G253" s="530" t="s">
        <v>701</v>
      </c>
      <c r="H253" s="289"/>
      <c r="I253" s="540"/>
      <c r="J253" s="530"/>
      <c r="K253" s="285"/>
    </row>
    <row r="254" spans="1:11" ht="14.25" customHeight="1" x14ac:dyDescent="0.25">
      <c r="A254" s="284"/>
      <c r="B254" s="529" t="s">
        <v>641</v>
      </c>
      <c r="C254" s="523" t="s">
        <v>659</v>
      </c>
      <c r="D254" s="426" t="s">
        <v>617</v>
      </c>
      <c r="E254" s="426"/>
      <c r="F254" s="440"/>
      <c r="G254" s="530"/>
      <c r="H254" s="289"/>
      <c r="I254" s="540"/>
      <c r="J254" s="530"/>
      <c r="K254" s="285"/>
    </row>
    <row r="255" spans="1:11" ht="14.25" customHeight="1" x14ac:dyDescent="0.25">
      <c r="A255" s="284"/>
      <c r="B255" s="529" t="s">
        <v>641</v>
      </c>
      <c r="C255" s="523" t="s">
        <v>659</v>
      </c>
      <c r="D255" s="426" t="s">
        <v>622</v>
      </c>
      <c r="E255" s="426" t="s">
        <v>701</v>
      </c>
      <c r="F255" s="440"/>
      <c r="G255" s="530"/>
      <c r="H255" s="289"/>
      <c r="I255" s="540"/>
      <c r="J255" s="530"/>
      <c r="K255" s="285"/>
    </row>
    <row r="256" spans="1:11" ht="14.25" customHeight="1" x14ac:dyDescent="0.25">
      <c r="A256" s="284"/>
      <c r="B256" s="529" t="s">
        <v>641</v>
      </c>
      <c r="C256" s="523" t="s">
        <v>659</v>
      </c>
      <c r="D256" s="426" t="s">
        <v>623</v>
      </c>
      <c r="E256" s="426"/>
      <c r="F256" s="440"/>
      <c r="G256" s="530" t="s">
        <v>701</v>
      </c>
      <c r="H256" s="289"/>
      <c r="I256" s="540"/>
      <c r="J256" s="530"/>
      <c r="K256" s="285"/>
    </row>
    <row r="257" spans="1:11" ht="14.25" customHeight="1" x14ac:dyDescent="0.25">
      <c r="A257" s="284"/>
      <c r="B257" s="529" t="s">
        <v>641</v>
      </c>
      <c r="C257" s="523" t="s">
        <v>659</v>
      </c>
      <c r="D257" s="426" t="s">
        <v>630</v>
      </c>
      <c r="E257" s="426" t="s">
        <v>701</v>
      </c>
      <c r="F257" s="440"/>
      <c r="G257" s="530"/>
      <c r="H257" s="289"/>
      <c r="I257" s="540"/>
      <c r="J257" s="530"/>
      <c r="K257" s="285"/>
    </row>
    <row r="258" spans="1:11" ht="14.25" customHeight="1" x14ac:dyDescent="0.25">
      <c r="A258" s="284"/>
      <c r="B258" s="529" t="s">
        <v>641</v>
      </c>
      <c r="C258" s="523" t="s">
        <v>659</v>
      </c>
      <c r="D258" s="426" t="s">
        <v>631</v>
      </c>
      <c r="E258" s="426"/>
      <c r="F258" s="440"/>
      <c r="G258" s="530" t="s">
        <v>701</v>
      </c>
      <c r="H258" s="289"/>
      <c r="I258" s="540"/>
      <c r="J258" s="530"/>
      <c r="K258" s="285"/>
    </row>
    <row r="259" spans="1:11" ht="14.25" customHeight="1" x14ac:dyDescent="0.25">
      <c r="A259" s="284"/>
      <c r="B259" s="529" t="s">
        <v>641</v>
      </c>
      <c r="C259" s="523" t="s">
        <v>659</v>
      </c>
      <c r="D259" s="426" t="s">
        <v>624</v>
      </c>
      <c r="E259" s="426" t="s">
        <v>701</v>
      </c>
      <c r="F259" s="440"/>
      <c r="G259" s="530"/>
      <c r="H259" s="289"/>
      <c r="I259" s="540"/>
      <c r="J259" s="530"/>
      <c r="K259" s="285"/>
    </row>
    <row r="260" spans="1:11" ht="14.25" customHeight="1" x14ac:dyDescent="0.25">
      <c r="A260" s="284"/>
      <c r="B260" s="529" t="s">
        <v>641</v>
      </c>
      <c r="C260" s="523" t="s">
        <v>659</v>
      </c>
      <c r="D260" s="426" t="s">
        <v>625</v>
      </c>
      <c r="E260" s="426"/>
      <c r="F260" s="440"/>
      <c r="G260" s="530" t="s">
        <v>701</v>
      </c>
      <c r="H260" s="289"/>
      <c r="I260" s="540"/>
      <c r="J260" s="530"/>
      <c r="K260" s="285"/>
    </row>
    <row r="261" spans="1:11" ht="14.25" customHeight="1" x14ac:dyDescent="0.25">
      <c r="A261" s="284"/>
      <c r="B261" s="529" t="s">
        <v>641</v>
      </c>
      <c r="C261" s="523" t="s">
        <v>659</v>
      </c>
      <c r="D261" s="426" t="s">
        <v>626</v>
      </c>
      <c r="E261" s="426" t="s">
        <v>701</v>
      </c>
      <c r="F261" s="440"/>
      <c r="G261" s="530"/>
      <c r="H261" s="289"/>
      <c r="I261" s="540"/>
      <c r="J261" s="530"/>
      <c r="K261" s="285"/>
    </row>
    <row r="262" spans="1:11" ht="14.25" customHeight="1" x14ac:dyDescent="0.25">
      <c r="A262" s="284"/>
      <c r="B262" s="529" t="s">
        <v>641</v>
      </c>
      <c r="C262" s="523" t="s">
        <v>659</v>
      </c>
      <c r="D262" s="426" t="s">
        <v>627</v>
      </c>
      <c r="E262" s="426"/>
      <c r="F262" s="440"/>
      <c r="G262" s="530" t="s">
        <v>701</v>
      </c>
      <c r="H262" s="289"/>
      <c r="I262" s="540"/>
      <c r="J262" s="530"/>
      <c r="K262" s="285"/>
    </row>
    <row r="263" spans="1:11" ht="14.25" customHeight="1" x14ac:dyDescent="0.25">
      <c r="A263" s="284"/>
      <c r="B263" s="529" t="s">
        <v>667</v>
      </c>
      <c r="C263" s="523" t="s">
        <v>663</v>
      </c>
      <c r="D263" s="426" t="s">
        <v>614</v>
      </c>
      <c r="E263" s="426" t="s">
        <v>701</v>
      </c>
      <c r="F263" s="440"/>
      <c r="G263" s="530"/>
      <c r="H263" s="289"/>
      <c r="I263" s="540"/>
      <c r="J263" s="530"/>
      <c r="K263" s="285"/>
    </row>
    <row r="264" spans="1:11" ht="14.25" customHeight="1" x14ac:dyDescent="0.25">
      <c r="A264" s="284"/>
      <c r="B264" s="529" t="s">
        <v>667</v>
      </c>
      <c r="C264" s="523" t="s">
        <v>663</v>
      </c>
      <c r="D264" s="426" t="s">
        <v>615</v>
      </c>
      <c r="E264" s="426"/>
      <c r="F264" s="440"/>
      <c r="G264" s="530"/>
      <c r="H264" s="289"/>
      <c r="I264" s="540"/>
      <c r="J264" s="530"/>
      <c r="K264" s="285"/>
    </row>
    <row r="265" spans="1:11" ht="14.25" customHeight="1" x14ac:dyDescent="0.25">
      <c r="A265" s="284"/>
      <c r="B265" s="529" t="s">
        <v>667</v>
      </c>
      <c r="C265" s="523" t="s">
        <v>663</v>
      </c>
      <c r="D265" s="426" t="s">
        <v>616</v>
      </c>
      <c r="E265" s="426"/>
      <c r="F265" s="440"/>
      <c r="G265" s="530" t="s">
        <v>701</v>
      </c>
      <c r="H265" s="289"/>
      <c r="I265" s="540"/>
      <c r="J265" s="530"/>
      <c r="K265" s="285"/>
    </row>
    <row r="266" spans="1:11" ht="14.25" customHeight="1" x14ac:dyDescent="0.25">
      <c r="A266" s="284"/>
      <c r="B266" s="529" t="s">
        <v>667</v>
      </c>
      <c r="C266" s="523" t="s">
        <v>663</v>
      </c>
      <c r="D266" s="426" t="s">
        <v>618</v>
      </c>
      <c r="E266" s="426"/>
      <c r="F266" s="440"/>
      <c r="G266" s="530"/>
      <c r="H266" s="289"/>
      <c r="I266" s="540"/>
      <c r="J266" s="530"/>
      <c r="K266" s="285"/>
    </row>
    <row r="267" spans="1:11" ht="14.25" customHeight="1" x14ac:dyDescent="0.25">
      <c r="A267" s="284"/>
      <c r="B267" s="529" t="s">
        <v>667</v>
      </c>
      <c r="C267" s="523" t="s">
        <v>663</v>
      </c>
      <c r="D267" s="426" t="s">
        <v>689</v>
      </c>
      <c r="E267" s="426"/>
      <c r="F267" s="440"/>
      <c r="G267" s="530"/>
      <c r="H267" s="289"/>
      <c r="I267" s="540"/>
      <c r="J267" s="530"/>
      <c r="K267" s="285"/>
    </row>
    <row r="268" spans="1:11" ht="14.25" customHeight="1" x14ac:dyDescent="0.25">
      <c r="A268" s="284"/>
      <c r="B268" s="529" t="s">
        <v>667</v>
      </c>
      <c r="C268" s="523" t="s">
        <v>663</v>
      </c>
      <c r="D268" s="426" t="s">
        <v>619</v>
      </c>
      <c r="E268" s="426"/>
      <c r="F268" s="440"/>
      <c r="G268" s="530"/>
      <c r="H268" s="289"/>
      <c r="I268" s="540"/>
      <c r="J268" s="530"/>
      <c r="K268" s="285"/>
    </row>
    <row r="269" spans="1:11" ht="14.25" customHeight="1" x14ac:dyDescent="0.25">
      <c r="A269" s="284"/>
      <c r="B269" s="529" t="s">
        <v>667</v>
      </c>
      <c r="C269" s="523" t="s">
        <v>663</v>
      </c>
      <c r="D269" s="426" t="s">
        <v>620</v>
      </c>
      <c r="E269" s="426"/>
      <c r="F269" s="440"/>
      <c r="G269" s="530"/>
      <c r="H269" s="289"/>
      <c r="I269" s="540"/>
      <c r="J269" s="530"/>
      <c r="K269" s="285"/>
    </row>
    <row r="270" spans="1:11" ht="14.25" customHeight="1" x14ac:dyDescent="0.25">
      <c r="A270" s="284"/>
      <c r="B270" s="529" t="s">
        <v>667</v>
      </c>
      <c r="C270" s="523" t="s">
        <v>663</v>
      </c>
      <c r="D270" s="426" t="s">
        <v>621</v>
      </c>
      <c r="E270" s="426"/>
      <c r="F270" s="440"/>
      <c r="G270" s="530" t="s">
        <v>701</v>
      </c>
      <c r="H270" s="289"/>
      <c r="I270" s="540"/>
      <c r="J270" s="530"/>
      <c r="K270" s="285"/>
    </row>
    <row r="271" spans="1:11" ht="14.25" customHeight="1" x14ac:dyDescent="0.25">
      <c r="A271" s="284"/>
      <c r="B271" s="529" t="s">
        <v>667</v>
      </c>
      <c r="C271" s="523" t="s">
        <v>663</v>
      </c>
      <c r="D271" s="426" t="s">
        <v>617</v>
      </c>
      <c r="E271" s="426"/>
      <c r="F271" s="440"/>
      <c r="G271" s="530"/>
      <c r="H271" s="289"/>
      <c r="I271" s="540"/>
      <c r="J271" s="530"/>
      <c r="K271" s="285"/>
    </row>
    <row r="272" spans="1:11" ht="14.25" customHeight="1" x14ac:dyDescent="0.25">
      <c r="A272" s="284"/>
      <c r="B272" s="529" t="s">
        <v>667</v>
      </c>
      <c r="C272" s="523" t="s">
        <v>663</v>
      </c>
      <c r="D272" s="426" t="s">
        <v>622</v>
      </c>
      <c r="E272" s="426" t="s">
        <v>701</v>
      </c>
      <c r="F272" s="440"/>
      <c r="G272" s="530"/>
      <c r="H272" s="289"/>
      <c r="I272" s="540"/>
      <c r="J272" s="530"/>
      <c r="K272" s="285"/>
    </row>
    <row r="273" spans="1:11" ht="14.25" customHeight="1" x14ac:dyDescent="0.25">
      <c r="A273" s="284"/>
      <c r="B273" s="529" t="s">
        <v>667</v>
      </c>
      <c r="C273" s="523" t="s">
        <v>663</v>
      </c>
      <c r="D273" s="426" t="s">
        <v>623</v>
      </c>
      <c r="E273" s="426"/>
      <c r="F273" s="440"/>
      <c r="G273" s="530" t="s">
        <v>701</v>
      </c>
      <c r="H273" s="289"/>
      <c r="I273" s="540"/>
      <c r="J273" s="530"/>
      <c r="K273" s="285"/>
    </row>
    <row r="274" spans="1:11" ht="14.25" customHeight="1" x14ac:dyDescent="0.25">
      <c r="A274" s="284"/>
      <c r="B274" s="529" t="s">
        <v>667</v>
      </c>
      <c r="C274" s="523" t="s">
        <v>663</v>
      </c>
      <c r="D274" s="426" t="s">
        <v>624</v>
      </c>
      <c r="E274" s="426" t="s">
        <v>701</v>
      </c>
      <c r="F274" s="440"/>
      <c r="G274" s="530"/>
      <c r="H274" s="289"/>
      <c r="I274" s="540"/>
      <c r="J274" s="530"/>
      <c r="K274" s="285"/>
    </row>
    <row r="275" spans="1:11" ht="14.25" customHeight="1" x14ac:dyDescent="0.25">
      <c r="A275" s="284"/>
      <c r="B275" s="529" t="s">
        <v>667</v>
      </c>
      <c r="C275" s="523" t="s">
        <v>663</v>
      </c>
      <c r="D275" s="426" t="s">
        <v>625</v>
      </c>
      <c r="E275" s="426"/>
      <c r="F275" s="440"/>
      <c r="G275" s="530" t="s">
        <v>701</v>
      </c>
      <c r="H275" s="289"/>
      <c r="I275" s="540"/>
      <c r="J275" s="530"/>
      <c r="K275" s="285"/>
    </row>
    <row r="276" spans="1:11" ht="14.25" customHeight="1" x14ac:dyDescent="0.25">
      <c r="A276" s="284"/>
      <c r="B276" s="529" t="s">
        <v>667</v>
      </c>
      <c r="C276" s="523" t="s">
        <v>663</v>
      </c>
      <c r="D276" s="426" t="s">
        <v>626</v>
      </c>
      <c r="E276" s="426" t="s">
        <v>701</v>
      </c>
      <c r="F276" s="440"/>
      <c r="G276" s="530"/>
      <c r="H276" s="289"/>
      <c r="I276" s="540"/>
      <c r="J276" s="530"/>
      <c r="K276" s="285"/>
    </row>
    <row r="277" spans="1:11" ht="14.25" customHeight="1" x14ac:dyDescent="0.25">
      <c r="A277" s="284"/>
      <c r="B277" s="529" t="s">
        <v>667</v>
      </c>
      <c r="C277" s="523" t="s">
        <v>663</v>
      </c>
      <c r="D277" s="426" t="s">
        <v>627</v>
      </c>
      <c r="E277" s="426"/>
      <c r="F277" s="440"/>
      <c r="G277" s="530" t="s">
        <v>701</v>
      </c>
      <c r="H277" s="289"/>
      <c r="I277" s="540"/>
      <c r="J277" s="530"/>
      <c r="K277" s="285"/>
    </row>
    <row r="278" spans="1:11" ht="14.25" customHeight="1" x14ac:dyDescent="0.25">
      <c r="A278" s="284"/>
      <c r="B278" s="529" t="s">
        <v>667</v>
      </c>
      <c r="C278" s="523" t="s">
        <v>663</v>
      </c>
      <c r="D278" s="426" t="s">
        <v>668</v>
      </c>
      <c r="E278" s="426"/>
      <c r="F278" s="440"/>
      <c r="G278" s="530"/>
      <c r="H278" s="289"/>
      <c r="I278" s="540"/>
      <c r="J278" s="530"/>
      <c r="K278" s="285"/>
    </row>
    <row r="279" spans="1:11" ht="14.25" customHeight="1" x14ac:dyDescent="0.25">
      <c r="A279" s="284"/>
      <c r="B279" s="529" t="s">
        <v>667</v>
      </c>
      <c r="C279" s="523" t="s">
        <v>663</v>
      </c>
      <c r="D279" s="426" t="s">
        <v>669</v>
      </c>
      <c r="E279" s="426"/>
      <c r="F279" s="440"/>
      <c r="G279" s="530"/>
      <c r="H279" s="289"/>
      <c r="I279" s="540"/>
      <c r="J279" s="530"/>
      <c r="K279" s="285"/>
    </row>
    <row r="280" spans="1:11" ht="14.25" customHeight="1" x14ac:dyDescent="0.25">
      <c r="A280" s="284"/>
      <c r="B280" s="529" t="s">
        <v>667</v>
      </c>
      <c r="C280" s="523" t="s">
        <v>663</v>
      </c>
      <c r="D280" s="426" t="s">
        <v>670</v>
      </c>
      <c r="E280" s="426"/>
      <c r="F280" s="440"/>
      <c r="G280" s="530"/>
      <c r="H280" s="289"/>
      <c r="I280" s="540"/>
      <c r="J280" s="530"/>
      <c r="K280" s="285"/>
    </row>
    <row r="281" spans="1:11" ht="14.25" customHeight="1" x14ac:dyDescent="0.25">
      <c r="A281" s="284"/>
      <c r="B281" s="529" t="s">
        <v>653</v>
      </c>
      <c r="C281" s="523" t="s">
        <v>635</v>
      </c>
      <c r="D281" s="426" t="s">
        <v>628</v>
      </c>
      <c r="E281" s="426"/>
      <c r="F281" s="440"/>
      <c r="G281" s="530"/>
      <c r="H281" s="289"/>
      <c r="I281" s="540"/>
      <c r="J281" s="530"/>
      <c r="K281" s="285"/>
    </row>
    <row r="282" spans="1:11" ht="14.25" customHeight="1" x14ac:dyDescent="0.25">
      <c r="A282" s="284"/>
      <c r="B282" s="529" t="s">
        <v>653</v>
      </c>
      <c r="C282" s="523" t="s">
        <v>635</v>
      </c>
      <c r="D282" s="426" t="s">
        <v>642</v>
      </c>
      <c r="E282" s="426"/>
      <c r="F282" s="440"/>
      <c r="G282" s="530"/>
      <c r="H282" s="289"/>
      <c r="I282" s="540"/>
      <c r="J282" s="530"/>
      <c r="K282" s="285"/>
    </row>
    <row r="283" spans="1:11" ht="14.25" customHeight="1" x14ac:dyDescent="0.25">
      <c r="A283" s="284"/>
      <c r="B283" s="529" t="s">
        <v>667</v>
      </c>
      <c r="C283" s="523" t="s">
        <v>664</v>
      </c>
      <c r="D283" s="426" t="s">
        <v>614</v>
      </c>
      <c r="E283" s="426" t="s">
        <v>701</v>
      </c>
      <c r="F283" s="440"/>
      <c r="G283" s="530"/>
      <c r="H283" s="289"/>
      <c r="I283" s="540"/>
      <c r="J283" s="530"/>
      <c r="K283" s="285"/>
    </row>
    <row r="284" spans="1:11" ht="14.25" customHeight="1" x14ac:dyDescent="0.25">
      <c r="A284" s="284"/>
      <c r="B284" s="529" t="s">
        <v>667</v>
      </c>
      <c r="C284" s="523" t="s">
        <v>664</v>
      </c>
      <c r="D284" s="426" t="s">
        <v>615</v>
      </c>
      <c r="E284" s="426"/>
      <c r="F284" s="440"/>
      <c r="G284" s="530"/>
      <c r="H284" s="289"/>
      <c r="I284" s="540"/>
      <c r="J284" s="530"/>
      <c r="K284" s="285"/>
    </row>
    <row r="285" spans="1:11" ht="14.25" customHeight="1" x14ac:dyDescent="0.25">
      <c r="A285" s="284"/>
      <c r="B285" s="529" t="s">
        <v>667</v>
      </c>
      <c r="C285" s="523" t="s">
        <v>664</v>
      </c>
      <c r="D285" s="426" t="s">
        <v>616</v>
      </c>
      <c r="E285" s="426"/>
      <c r="F285" s="440"/>
      <c r="G285" s="530" t="s">
        <v>701</v>
      </c>
      <c r="H285" s="289"/>
      <c r="I285" s="540"/>
      <c r="J285" s="530"/>
      <c r="K285" s="285"/>
    </row>
    <row r="286" spans="1:11" ht="14.25" customHeight="1" x14ac:dyDescent="0.25">
      <c r="A286" s="284"/>
      <c r="B286" s="529" t="s">
        <v>667</v>
      </c>
      <c r="C286" s="523" t="s">
        <v>664</v>
      </c>
      <c r="D286" s="426" t="s">
        <v>618</v>
      </c>
      <c r="E286" s="426"/>
      <c r="F286" s="440"/>
      <c r="G286" s="530"/>
      <c r="H286" s="289"/>
      <c r="I286" s="540"/>
      <c r="J286" s="530"/>
      <c r="K286" s="285"/>
    </row>
    <row r="287" spans="1:11" ht="14.25" customHeight="1" x14ac:dyDescent="0.25">
      <c r="A287" s="284"/>
      <c r="B287" s="529" t="s">
        <v>667</v>
      </c>
      <c r="C287" s="523" t="s">
        <v>664</v>
      </c>
      <c r="D287" s="426" t="s">
        <v>689</v>
      </c>
      <c r="E287" s="426"/>
      <c r="F287" s="440"/>
      <c r="G287" s="530"/>
      <c r="H287" s="289"/>
      <c r="I287" s="540"/>
      <c r="J287" s="530"/>
      <c r="K287" s="285"/>
    </row>
    <row r="288" spans="1:11" ht="14.25" customHeight="1" x14ac:dyDescent="0.25">
      <c r="A288" s="284"/>
      <c r="B288" s="529" t="s">
        <v>667</v>
      </c>
      <c r="C288" s="523" t="s">
        <v>664</v>
      </c>
      <c r="D288" s="426" t="s">
        <v>619</v>
      </c>
      <c r="E288" s="426"/>
      <c r="F288" s="440"/>
      <c r="G288" s="530"/>
      <c r="H288" s="289"/>
      <c r="I288" s="540"/>
      <c r="J288" s="530"/>
      <c r="K288" s="285"/>
    </row>
    <row r="289" spans="1:11" ht="14.25" customHeight="1" x14ac:dyDescent="0.25">
      <c r="A289" s="284"/>
      <c r="B289" s="529" t="s">
        <v>667</v>
      </c>
      <c r="C289" s="523" t="s">
        <v>664</v>
      </c>
      <c r="D289" s="426" t="s">
        <v>620</v>
      </c>
      <c r="E289" s="426"/>
      <c r="F289" s="440"/>
      <c r="G289" s="530"/>
      <c r="H289" s="289"/>
      <c r="I289" s="540"/>
      <c r="J289" s="530"/>
      <c r="K289" s="285"/>
    </row>
    <row r="290" spans="1:11" ht="14.25" customHeight="1" x14ac:dyDescent="0.25">
      <c r="A290" s="284"/>
      <c r="B290" s="529" t="s">
        <v>667</v>
      </c>
      <c r="C290" s="523" t="s">
        <v>664</v>
      </c>
      <c r="D290" s="426" t="s">
        <v>640</v>
      </c>
      <c r="E290" s="426" t="s">
        <v>701</v>
      </c>
      <c r="F290" s="440"/>
      <c r="G290" s="530"/>
      <c r="H290" s="289"/>
      <c r="I290" s="540"/>
      <c r="J290" s="530"/>
      <c r="K290" s="285"/>
    </row>
    <row r="291" spans="1:11" ht="14.25" customHeight="1" x14ac:dyDescent="0.25">
      <c r="A291" s="284"/>
      <c r="B291" s="529" t="s">
        <v>667</v>
      </c>
      <c r="C291" s="523" t="s">
        <v>664</v>
      </c>
      <c r="D291" s="426" t="s">
        <v>621</v>
      </c>
      <c r="E291" s="426"/>
      <c r="F291" s="440"/>
      <c r="G291" s="530" t="s">
        <v>701</v>
      </c>
      <c r="H291" s="289"/>
      <c r="I291" s="540"/>
      <c r="J291" s="530"/>
      <c r="K291" s="285"/>
    </row>
    <row r="292" spans="1:11" ht="14.25" customHeight="1" x14ac:dyDescent="0.25">
      <c r="A292" s="284"/>
      <c r="B292" s="529" t="s">
        <v>667</v>
      </c>
      <c r="C292" s="523" t="s">
        <v>664</v>
      </c>
      <c r="D292" s="426" t="s">
        <v>617</v>
      </c>
      <c r="E292" s="426"/>
      <c r="F292" s="440"/>
      <c r="G292" s="530"/>
      <c r="H292" s="289"/>
      <c r="I292" s="540"/>
      <c r="J292" s="530"/>
      <c r="K292" s="285"/>
    </row>
    <row r="293" spans="1:11" ht="14.25" customHeight="1" x14ac:dyDescent="0.25">
      <c r="A293" s="284"/>
      <c r="B293" s="529" t="s">
        <v>667</v>
      </c>
      <c r="C293" s="523" t="s">
        <v>664</v>
      </c>
      <c r="D293" s="426" t="s">
        <v>622</v>
      </c>
      <c r="E293" s="426" t="s">
        <v>701</v>
      </c>
      <c r="F293" s="440"/>
      <c r="G293" s="530"/>
      <c r="H293" s="289"/>
      <c r="I293" s="540"/>
      <c r="J293" s="530"/>
      <c r="K293" s="285"/>
    </row>
    <row r="294" spans="1:11" ht="14.25" customHeight="1" x14ac:dyDescent="0.25">
      <c r="A294" s="284"/>
      <c r="B294" s="529" t="s">
        <v>667</v>
      </c>
      <c r="C294" s="523" t="s">
        <v>664</v>
      </c>
      <c r="D294" s="426" t="s">
        <v>623</v>
      </c>
      <c r="E294" s="426"/>
      <c r="F294" s="440"/>
      <c r="G294" s="530" t="s">
        <v>701</v>
      </c>
      <c r="H294" s="289"/>
      <c r="I294" s="540"/>
      <c r="J294" s="530"/>
      <c r="K294" s="285"/>
    </row>
    <row r="295" spans="1:11" ht="14.25" customHeight="1" x14ac:dyDescent="0.25">
      <c r="A295" s="284"/>
      <c r="B295" s="529" t="s">
        <v>667</v>
      </c>
      <c r="C295" s="523" t="s">
        <v>664</v>
      </c>
      <c r="D295" s="426" t="s">
        <v>630</v>
      </c>
      <c r="E295" s="426" t="s">
        <v>701</v>
      </c>
      <c r="F295" s="440"/>
      <c r="G295" s="530"/>
      <c r="H295" s="289"/>
      <c r="I295" s="540"/>
      <c r="J295" s="530"/>
      <c r="K295" s="285"/>
    </row>
    <row r="296" spans="1:11" ht="14.25" customHeight="1" x14ac:dyDescent="0.25">
      <c r="A296" s="284"/>
      <c r="B296" s="529" t="s">
        <v>667</v>
      </c>
      <c r="C296" s="523" t="s">
        <v>664</v>
      </c>
      <c r="D296" s="426" t="s">
        <v>631</v>
      </c>
      <c r="E296" s="426"/>
      <c r="F296" s="440"/>
      <c r="G296" s="530" t="s">
        <v>701</v>
      </c>
      <c r="H296" s="289"/>
      <c r="I296" s="540"/>
      <c r="J296" s="530"/>
      <c r="K296" s="285"/>
    </row>
    <row r="297" spans="1:11" ht="14.25" customHeight="1" x14ac:dyDescent="0.25">
      <c r="A297" s="284"/>
      <c r="B297" s="529" t="s">
        <v>667</v>
      </c>
      <c r="C297" s="523" t="s">
        <v>664</v>
      </c>
      <c r="D297" s="426" t="s">
        <v>624</v>
      </c>
      <c r="E297" s="426" t="s">
        <v>701</v>
      </c>
      <c r="F297" s="440"/>
      <c r="G297" s="530"/>
      <c r="H297" s="289"/>
      <c r="I297" s="540"/>
      <c r="J297" s="530"/>
      <c r="K297" s="285"/>
    </row>
    <row r="298" spans="1:11" ht="14.25" customHeight="1" x14ac:dyDescent="0.25">
      <c r="A298" s="284"/>
      <c r="B298" s="529" t="s">
        <v>667</v>
      </c>
      <c r="C298" s="523" t="s">
        <v>664</v>
      </c>
      <c r="D298" s="426" t="s">
        <v>625</v>
      </c>
      <c r="E298" s="426"/>
      <c r="F298" s="440"/>
      <c r="G298" s="530" t="s">
        <v>701</v>
      </c>
      <c r="H298" s="289"/>
      <c r="I298" s="540"/>
      <c r="J298" s="530"/>
      <c r="K298" s="285"/>
    </row>
    <row r="299" spans="1:11" ht="14.25" customHeight="1" x14ac:dyDescent="0.25">
      <c r="A299" s="284"/>
      <c r="B299" s="529" t="s">
        <v>667</v>
      </c>
      <c r="C299" s="523" t="s">
        <v>664</v>
      </c>
      <c r="D299" s="426" t="s">
        <v>626</v>
      </c>
      <c r="E299" s="426" t="s">
        <v>701</v>
      </c>
      <c r="F299" s="440"/>
      <c r="G299" s="530"/>
      <c r="H299" s="289"/>
      <c r="I299" s="540"/>
      <c r="J299" s="530"/>
      <c r="K299" s="285"/>
    </row>
    <row r="300" spans="1:11" ht="14.25" customHeight="1" x14ac:dyDescent="0.25">
      <c r="A300" s="284"/>
      <c r="B300" s="529" t="s">
        <v>667</v>
      </c>
      <c r="C300" s="523" t="s">
        <v>664</v>
      </c>
      <c r="D300" s="426" t="s">
        <v>627</v>
      </c>
      <c r="E300" s="426"/>
      <c r="F300" s="440"/>
      <c r="G300" s="530" t="s">
        <v>701</v>
      </c>
      <c r="H300" s="289"/>
      <c r="I300" s="540"/>
      <c r="J300" s="530"/>
      <c r="K300" s="285"/>
    </row>
    <row r="301" spans="1:11" ht="14.25" customHeight="1" x14ac:dyDescent="0.25">
      <c r="A301" s="284"/>
      <c r="B301" s="529" t="s">
        <v>667</v>
      </c>
      <c r="C301" s="523" t="s">
        <v>664</v>
      </c>
      <c r="D301" s="426" t="s">
        <v>668</v>
      </c>
      <c r="E301" s="426"/>
      <c r="F301" s="440"/>
      <c r="G301" s="530"/>
      <c r="H301" s="289"/>
      <c r="I301" s="540"/>
      <c r="J301" s="530"/>
      <c r="K301" s="285"/>
    </row>
    <row r="302" spans="1:11" ht="14.25" customHeight="1" x14ac:dyDescent="0.25">
      <c r="A302" s="284"/>
      <c r="B302" s="529" t="s">
        <v>667</v>
      </c>
      <c r="C302" s="523" t="s">
        <v>664</v>
      </c>
      <c r="D302" s="426" t="s">
        <v>669</v>
      </c>
      <c r="E302" s="426"/>
      <c r="F302" s="440"/>
      <c r="G302" s="530"/>
      <c r="H302" s="289"/>
      <c r="I302" s="540"/>
      <c r="J302" s="530"/>
      <c r="K302" s="285"/>
    </row>
    <row r="303" spans="1:11" ht="14.25" customHeight="1" x14ac:dyDescent="0.25">
      <c r="A303" s="284"/>
      <c r="B303" s="529" t="s">
        <v>667</v>
      </c>
      <c r="C303" s="523" t="s">
        <v>664</v>
      </c>
      <c r="D303" s="426" t="s">
        <v>670</v>
      </c>
      <c r="E303" s="426"/>
      <c r="F303" s="440"/>
      <c r="G303" s="530"/>
      <c r="H303" s="289"/>
      <c r="I303" s="540"/>
      <c r="J303" s="530"/>
      <c r="K303" s="285"/>
    </row>
    <row r="304" spans="1:11" ht="14.25" customHeight="1" x14ac:dyDescent="0.25">
      <c r="A304" s="284"/>
      <c r="B304" s="529" t="s">
        <v>667</v>
      </c>
      <c r="C304" s="523" t="s">
        <v>665</v>
      </c>
      <c r="D304" s="426" t="s">
        <v>614</v>
      </c>
      <c r="E304" s="426" t="s">
        <v>701</v>
      </c>
      <c r="F304" s="440"/>
      <c r="G304" s="530"/>
      <c r="H304" s="289"/>
      <c r="I304" s="540"/>
      <c r="J304" s="530"/>
      <c r="K304" s="285"/>
    </row>
    <row r="305" spans="1:11" ht="14.25" customHeight="1" x14ac:dyDescent="0.25">
      <c r="A305" s="284"/>
      <c r="B305" s="529" t="s">
        <v>667</v>
      </c>
      <c r="C305" s="523" t="s">
        <v>665</v>
      </c>
      <c r="D305" s="426" t="s">
        <v>615</v>
      </c>
      <c r="E305" s="426"/>
      <c r="F305" s="440"/>
      <c r="G305" s="530"/>
      <c r="H305" s="289"/>
      <c r="I305" s="540"/>
      <c r="J305" s="530"/>
      <c r="K305" s="285"/>
    </row>
    <row r="306" spans="1:11" ht="14.25" customHeight="1" x14ac:dyDescent="0.25">
      <c r="A306" s="284"/>
      <c r="B306" s="529" t="s">
        <v>667</v>
      </c>
      <c r="C306" s="523" t="s">
        <v>665</v>
      </c>
      <c r="D306" s="426" t="s">
        <v>616</v>
      </c>
      <c r="E306" s="426"/>
      <c r="F306" s="440"/>
      <c r="G306" s="530" t="s">
        <v>701</v>
      </c>
      <c r="H306" s="289"/>
      <c r="I306" s="540"/>
      <c r="J306" s="530"/>
      <c r="K306" s="285"/>
    </row>
    <row r="307" spans="1:11" ht="14.25" customHeight="1" x14ac:dyDescent="0.25">
      <c r="A307" s="284"/>
      <c r="B307" s="529" t="s">
        <v>667</v>
      </c>
      <c r="C307" s="523" t="s">
        <v>665</v>
      </c>
      <c r="D307" s="426" t="s">
        <v>618</v>
      </c>
      <c r="E307" s="426"/>
      <c r="F307" s="440"/>
      <c r="G307" s="530"/>
      <c r="H307" s="289"/>
      <c r="I307" s="540"/>
      <c r="J307" s="530"/>
      <c r="K307" s="285"/>
    </row>
    <row r="308" spans="1:11" ht="14.25" customHeight="1" x14ac:dyDescent="0.25">
      <c r="A308" s="284"/>
      <c r="B308" s="529" t="s">
        <v>667</v>
      </c>
      <c r="C308" s="523" t="s">
        <v>665</v>
      </c>
      <c r="D308" s="426" t="s">
        <v>689</v>
      </c>
      <c r="E308" s="426"/>
      <c r="F308" s="440"/>
      <c r="G308" s="530"/>
      <c r="H308" s="289"/>
      <c r="I308" s="540"/>
      <c r="J308" s="530"/>
      <c r="K308" s="285"/>
    </row>
    <row r="309" spans="1:11" ht="14.25" customHeight="1" x14ac:dyDescent="0.25">
      <c r="A309" s="284"/>
      <c r="B309" s="529" t="s">
        <v>667</v>
      </c>
      <c r="C309" s="523" t="s">
        <v>665</v>
      </c>
      <c r="D309" s="426" t="s">
        <v>619</v>
      </c>
      <c r="E309" s="426"/>
      <c r="F309" s="440"/>
      <c r="G309" s="530"/>
      <c r="H309" s="289"/>
      <c r="I309" s="540"/>
      <c r="J309" s="530"/>
      <c r="K309" s="285"/>
    </row>
    <row r="310" spans="1:11" ht="14.25" customHeight="1" x14ac:dyDescent="0.25">
      <c r="A310" s="284"/>
      <c r="B310" s="529" t="s">
        <v>667</v>
      </c>
      <c r="C310" s="523" t="s">
        <v>665</v>
      </c>
      <c r="D310" s="426" t="s">
        <v>620</v>
      </c>
      <c r="E310" s="426"/>
      <c r="F310" s="440"/>
      <c r="G310" s="530"/>
      <c r="H310" s="289"/>
      <c r="I310" s="540"/>
      <c r="J310" s="530"/>
      <c r="K310" s="285"/>
    </row>
    <row r="311" spans="1:11" ht="14.25" customHeight="1" x14ac:dyDescent="0.25">
      <c r="A311" s="284"/>
      <c r="B311" s="529" t="s">
        <v>667</v>
      </c>
      <c r="C311" s="523" t="s">
        <v>665</v>
      </c>
      <c r="D311" s="426" t="s">
        <v>621</v>
      </c>
      <c r="E311" s="426"/>
      <c r="F311" s="440"/>
      <c r="G311" s="530" t="s">
        <v>701</v>
      </c>
      <c r="H311" s="289"/>
      <c r="I311" s="540"/>
      <c r="J311" s="530"/>
      <c r="K311" s="285"/>
    </row>
    <row r="312" spans="1:11" ht="14.25" customHeight="1" x14ac:dyDescent="0.25">
      <c r="A312" s="284"/>
      <c r="B312" s="529" t="s">
        <v>667</v>
      </c>
      <c r="C312" s="523" t="s">
        <v>665</v>
      </c>
      <c r="D312" s="426" t="s">
        <v>617</v>
      </c>
      <c r="E312" s="426"/>
      <c r="F312" s="440"/>
      <c r="G312" s="530"/>
      <c r="H312" s="289"/>
      <c r="I312" s="540"/>
      <c r="J312" s="530"/>
      <c r="K312" s="285"/>
    </row>
    <row r="313" spans="1:11" ht="14.25" customHeight="1" x14ac:dyDescent="0.25">
      <c r="A313" s="284"/>
      <c r="B313" s="529" t="s">
        <v>667</v>
      </c>
      <c r="C313" s="523" t="s">
        <v>665</v>
      </c>
      <c r="D313" s="426" t="s">
        <v>622</v>
      </c>
      <c r="E313" s="426" t="s">
        <v>701</v>
      </c>
      <c r="F313" s="440"/>
      <c r="G313" s="530"/>
      <c r="H313" s="289"/>
      <c r="I313" s="540"/>
      <c r="J313" s="530"/>
      <c r="K313" s="285"/>
    </row>
    <row r="314" spans="1:11" ht="14.25" customHeight="1" x14ac:dyDescent="0.25">
      <c r="A314" s="284"/>
      <c r="B314" s="529" t="s">
        <v>667</v>
      </c>
      <c r="C314" s="523" t="s">
        <v>665</v>
      </c>
      <c r="D314" s="426" t="s">
        <v>623</v>
      </c>
      <c r="E314" s="426"/>
      <c r="F314" s="440"/>
      <c r="G314" s="530" t="s">
        <v>701</v>
      </c>
      <c r="H314" s="289"/>
      <c r="I314" s="540"/>
      <c r="J314" s="530"/>
      <c r="K314" s="285"/>
    </row>
    <row r="315" spans="1:11" ht="14.25" customHeight="1" x14ac:dyDescent="0.25">
      <c r="A315" s="284"/>
      <c r="B315" s="529" t="s">
        <v>667</v>
      </c>
      <c r="C315" s="523" t="s">
        <v>665</v>
      </c>
      <c r="D315" s="426" t="s">
        <v>624</v>
      </c>
      <c r="E315" s="426" t="s">
        <v>701</v>
      </c>
      <c r="F315" s="440"/>
      <c r="G315" s="530"/>
      <c r="H315" s="289"/>
      <c r="I315" s="540"/>
      <c r="J315" s="530"/>
      <c r="K315" s="285"/>
    </row>
    <row r="316" spans="1:11" ht="14.25" customHeight="1" x14ac:dyDescent="0.25">
      <c r="A316" s="284"/>
      <c r="B316" s="529" t="s">
        <v>667</v>
      </c>
      <c r="C316" s="523" t="s">
        <v>665</v>
      </c>
      <c r="D316" s="426" t="s">
        <v>625</v>
      </c>
      <c r="E316" s="426"/>
      <c r="F316" s="440"/>
      <c r="G316" s="530" t="s">
        <v>701</v>
      </c>
      <c r="H316" s="289"/>
      <c r="I316" s="540"/>
      <c r="J316" s="530"/>
      <c r="K316" s="285"/>
    </row>
    <row r="317" spans="1:11" ht="14.25" customHeight="1" x14ac:dyDescent="0.25">
      <c r="A317" s="284"/>
      <c r="B317" s="529" t="s">
        <v>667</v>
      </c>
      <c r="C317" s="523" t="s">
        <v>665</v>
      </c>
      <c r="D317" s="426" t="s">
        <v>626</v>
      </c>
      <c r="E317" s="426" t="s">
        <v>701</v>
      </c>
      <c r="F317" s="440"/>
      <c r="G317" s="530"/>
      <c r="H317" s="289"/>
      <c r="I317" s="540"/>
      <c r="J317" s="530"/>
      <c r="K317" s="285"/>
    </row>
    <row r="318" spans="1:11" ht="14.25" customHeight="1" x14ac:dyDescent="0.25">
      <c r="A318" s="284"/>
      <c r="B318" s="529" t="s">
        <v>667</v>
      </c>
      <c r="C318" s="523" t="s">
        <v>665</v>
      </c>
      <c r="D318" s="426" t="s">
        <v>627</v>
      </c>
      <c r="E318" s="426"/>
      <c r="F318" s="440"/>
      <c r="G318" s="530" t="s">
        <v>701</v>
      </c>
      <c r="H318" s="289"/>
      <c r="I318" s="540"/>
      <c r="J318" s="530"/>
      <c r="K318" s="285"/>
    </row>
    <row r="319" spans="1:11" ht="14.25" customHeight="1" x14ac:dyDescent="0.25">
      <c r="A319" s="284"/>
      <c r="B319" s="529" t="s">
        <v>667</v>
      </c>
      <c r="C319" s="523" t="s">
        <v>665</v>
      </c>
      <c r="D319" s="426" t="s">
        <v>668</v>
      </c>
      <c r="E319" s="426"/>
      <c r="F319" s="440"/>
      <c r="G319" s="530"/>
      <c r="H319" s="289"/>
      <c r="I319" s="540"/>
      <c r="J319" s="530"/>
      <c r="K319" s="285"/>
    </row>
    <row r="320" spans="1:11" ht="14.25" customHeight="1" x14ac:dyDescent="0.25">
      <c r="A320" s="284"/>
      <c r="B320" s="529" t="s">
        <v>667</v>
      </c>
      <c r="C320" s="523" t="s">
        <v>665</v>
      </c>
      <c r="D320" s="426" t="s">
        <v>669</v>
      </c>
      <c r="E320" s="426"/>
      <c r="F320" s="440"/>
      <c r="G320" s="530"/>
      <c r="H320" s="289"/>
      <c r="I320" s="540"/>
      <c r="J320" s="530"/>
      <c r="K320" s="285"/>
    </row>
    <row r="321" spans="1:11" ht="14.25" customHeight="1" x14ac:dyDescent="0.25">
      <c r="A321" s="284"/>
      <c r="B321" s="529" t="s">
        <v>667</v>
      </c>
      <c r="C321" s="523" t="s">
        <v>665</v>
      </c>
      <c r="D321" s="426" t="s">
        <v>670</v>
      </c>
      <c r="E321" s="426"/>
      <c r="F321" s="440"/>
      <c r="G321" s="530"/>
      <c r="H321" s="289"/>
      <c r="I321" s="540"/>
      <c r="J321" s="530"/>
      <c r="K321" s="285"/>
    </row>
    <row r="322" spans="1:11" ht="14.25" customHeight="1" x14ac:dyDescent="0.25">
      <c r="A322" s="284"/>
      <c r="B322" s="529" t="s">
        <v>667</v>
      </c>
      <c r="C322" s="523" t="s">
        <v>666</v>
      </c>
      <c r="D322" s="426" t="s">
        <v>614</v>
      </c>
      <c r="E322" s="426" t="s">
        <v>701</v>
      </c>
      <c r="F322" s="440"/>
      <c r="G322" s="530"/>
      <c r="H322" s="289"/>
      <c r="I322" s="540"/>
      <c r="J322" s="530"/>
      <c r="K322" s="285"/>
    </row>
    <row r="323" spans="1:11" ht="14.25" customHeight="1" x14ac:dyDescent="0.25">
      <c r="A323" s="284"/>
      <c r="B323" s="529" t="s">
        <v>667</v>
      </c>
      <c r="C323" s="523" t="s">
        <v>666</v>
      </c>
      <c r="D323" s="426" t="s">
        <v>615</v>
      </c>
      <c r="E323" s="426"/>
      <c r="F323" s="440"/>
      <c r="G323" s="530"/>
      <c r="H323" s="289"/>
      <c r="I323" s="540"/>
      <c r="J323" s="530"/>
      <c r="K323" s="285"/>
    </row>
    <row r="324" spans="1:11" ht="14.25" customHeight="1" x14ac:dyDescent="0.25">
      <c r="A324" s="284"/>
      <c r="B324" s="529" t="s">
        <v>667</v>
      </c>
      <c r="C324" s="523" t="s">
        <v>666</v>
      </c>
      <c r="D324" s="426" t="s">
        <v>616</v>
      </c>
      <c r="E324" s="426"/>
      <c r="F324" s="440"/>
      <c r="G324" s="530" t="s">
        <v>701</v>
      </c>
      <c r="H324" s="289"/>
      <c r="I324" s="540"/>
      <c r="J324" s="530"/>
      <c r="K324" s="285"/>
    </row>
    <row r="325" spans="1:11" ht="14.25" customHeight="1" x14ac:dyDescent="0.25">
      <c r="A325" s="284"/>
      <c r="B325" s="529" t="s">
        <v>667</v>
      </c>
      <c r="C325" s="523" t="s">
        <v>666</v>
      </c>
      <c r="D325" s="426" t="s">
        <v>618</v>
      </c>
      <c r="E325" s="426"/>
      <c r="F325" s="440"/>
      <c r="G325" s="530"/>
      <c r="H325" s="289"/>
      <c r="I325" s="540"/>
      <c r="J325" s="530"/>
      <c r="K325" s="285"/>
    </row>
    <row r="326" spans="1:11" ht="14.25" customHeight="1" x14ac:dyDescent="0.25">
      <c r="A326" s="284"/>
      <c r="B326" s="529" t="s">
        <v>667</v>
      </c>
      <c r="C326" s="523" t="s">
        <v>666</v>
      </c>
      <c r="D326" s="426" t="s">
        <v>689</v>
      </c>
      <c r="E326" s="426"/>
      <c r="F326" s="440"/>
      <c r="G326" s="530"/>
      <c r="H326" s="289"/>
      <c r="I326" s="540"/>
      <c r="J326" s="530"/>
      <c r="K326" s="285"/>
    </row>
    <row r="327" spans="1:11" ht="14.25" customHeight="1" x14ac:dyDescent="0.25">
      <c r="A327" s="284"/>
      <c r="B327" s="529" t="s">
        <v>667</v>
      </c>
      <c r="C327" s="523" t="s">
        <v>666</v>
      </c>
      <c r="D327" s="426" t="s">
        <v>619</v>
      </c>
      <c r="E327" s="426"/>
      <c r="F327" s="440"/>
      <c r="G327" s="530"/>
      <c r="H327" s="289"/>
      <c r="I327" s="540"/>
      <c r="J327" s="530"/>
      <c r="K327" s="285"/>
    </row>
    <row r="328" spans="1:11" ht="14.25" customHeight="1" x14ac:dyDescent="0.25">
      <c r="A328" s="284"/>
      <c r="B328" s="529" t="s">
        <v>667</v>
      </c>
      <c r="C328" s="523" t="s">
        <v>666</v>
      </c>
      <c r="D328" s="426" t="s">
        <v>620</v>
      </c>
      <c r="E328" s="426"/>
      <c r="F328" s="440"/>
      <c r="G328" s="530"/>
      <c r="H328" s="289"/>
      <c r="I328" s="540"/>
      <c r="J328" s="530"/>
      <c r="K328" s="285"/>
    </row>
    <row r="329" spans="1:11" ht="14.25" customHeight="1" x14ac:dyDescent="0.25">
      <c r="A329" s="284"/>
      <c r="B329" s="529" t="s">
        <v>667</v>
      </c>
      <c r="C329" s="523" t="s">
        <v>666</v>
      </c>
      <c r="D329" s="426" t="s">
        <v>640</v>
      </c>
      <c r="E329" s="426" t="s">
        <v>701</v>
      </c>
      <c r="F329" s="440"/>
      <c r="G329" s="530"/>
      <c r="H329" s="289"/>
      <c r="I329" s="540"/>
      <c r="J329" s="530"/>
      <c r="K329" s="285"/>
    </row>
    <row r="330" spans="1:11" ht="14.25" customHeight="1" x14ac:dyDescent="0.25">
      <c r="A330" s="284"/>
      <c r="B330" s="529" t="s">
        <v>667</v>
      </c>
      <c r="C330" s="523" t="s">
        <v>666</v>
      </c>
      <c r="D330" s="426" t="s">
        <v>621</v>
      </c>
      <c r="E330" s="426"/>
      <c r="F330" s="440"/>
      <c r="G330" s="530" t="s">
        <v>701</v>
      </c>
      <c r="H330" s="289"/>
      <c r="I330" s="540"/>
      <c r="J330" s="530"/>
      <c r="K330" s="285"/>
    </row>
    <row r="331" spans="1:11" ht="14.25" customHeight="1" x14ac:dyDescent="0.25">
      <c r="A331" s="284"/>
      <c r="B331" s="529" t="s">
        <v>667</v>
      </c>
      <c r="C331" s="523" t="s">
        <v>666</v>
      </c>
      <c r="D331" s="426" t="s">
        <v>617</v>
      </c>
      <c r="E331" s="426"/>
      <c r="F331" s="440"/>
      <c r="G331" s="530"/>
      <c r="H331" s="289"/>
      <c r="I331" s="540"/>
      <c r="J331" s="530"/>
      <c r="K331" s="285"/>
    </row>
    <row r="332" spans="1:11" ht="14.25" customHeight="1" x14ac:dyDescent="0.25">
      <c r="A332" s="284"/>
      <c r="B332" s="529" t="s">
        <v>667</v>
      </c>
      <c r="C332" s="523" t="s">
        <v>666</v>
      </c>
      <c r="D332" s="426" t="s">
        <v>622</v>
      </c>
      <c r="E332" s="426" t="s">
        <v>701</v>
      </c>
      <c r="F332" s="440"/>
      <c r="G332" s="530"/>
      <c r="H332" s="289"/>
      <c r="I332" s="540"/>
      <c r="J332" s="530"/>
      <c r="K332" s="285"/>
    </row>
    <row r="333" spans="1:11" ht="14.25" customHeight="1" x14ac:dyDescent="0.25">
      <c r="A333" s="284"/>
      <c r="B333" s="529" t="s">
        <v>667</v>
      </c>
      <c r="C333" s="523" t="s">
        <v>666</v>
      </c>
      <c r="D333" s="426" t="s">
        <v>623</v>
      </c>
      <c r="E333" s="426"/>
      <c r="F333" s="440"/>
      <c r="G333" s="530" t="s">
        <v>701</v>
      </c>
      <c r="H333" s="289"/>
      <c r="I333" s="540"/>
      <c r="J333" s="530"/>
      <c r="K333" s="285"/>
    </row>
    <row r="334" spans="1:11" ht="14.25" customHeight="1" x14ac:dyDescent="0.25">
      <c r="A334" s="284"/>
      <c r="B334" s="529" t="s">
        <v>667</v>
      </c>
      <c r="C334" s="523" t="s">
        <v>666</v>
      </c>
      <c r="D334" s="426" t="s">
        <v>630</v>
      </c>
      <c r="E334" s="426" t="s">
        <v>701</v>
      </c>
      <c r="F334" s="440"/>
      <c r="G334" s="530"/>
      <c r="H334" s="289"/>
      <c r="I334" s="540"/>
      <c r="J334" s="530"/>
      <c r="K334" s="285"/>
    </row>
    <row r="335" spans="1:11" ht="14.25" customHeight="1" x14ac:dyDescent="0.25">
      <c r="A335" s="284"/>
      <c r="B335" s="529" t="s">
        <v>667</v>
      </c>
      <c r="C335" s="523" t="s">
        <v>666</v>
      </c>
      <c r="D335" s="426" t="s">
        <v>631</v>
      </c>
      <c r="E335" s="426"/>
      <c r="F335" s="440"/>
      <c r="G335" s="530" t="s">
        <v>701</v>
      </c>
      <c r="H335" s="289"/>
      <c r="I335" s="540"/>
      <c r="J335" s="530"/>
      <c r="K335" s="285"/>
    </row>
    <row r="336" spans="1:11" ht="14.25" customHeight="1" x14ac:dyDescent="0.25">
      <c r="A336" s="284"/>
      <c r="B336" s="529" t="s">
        <v>667</v>
      </c>
      <c r="C336" s="523" t="s">
        <v>666</v>
      </c>
      <c r="D336" s="426" t="s">
        <v>624</v>
      </c>
      <c r="E336" s="426" t="s">
        <v>701</v>
      </c>
      <c r="F336" s="440"/>
      <c r="G336" s="530"/>
      <c r="H336" s="289"/>
      <c r="I336" s="540"/>
      <c r="J336" s="530"/>
      <c r="K336" s="285"/>
    </row>
    <row r="337" spans="1:11" ht="14.25" customHeight="1" x14ac:dyDescent="0.25">
      <c r="A337" s="284"/>
      <c r="B337" s="529" t="s">
        <v>667</v>
      </c>
      <c r="C337" s="523" t="s">
        <v>666</v>
      </c>
      <c r="D337" s="426" t="s">
        <v>625</v>
      </c>
      <c r="E337" s="426"/>
      <c r="F337" s="440"/>
      <c r="G337" s="530" t="s">
        <v>701</v>
      </c>
      <c r="H337" s="289"/>
      <c r="I337" s="540"/>
      <c r="J337" s="530"/>
      <c r="K337" s="285"/>
    </row>
    <row r="338" spans="1:11" ht="14.25" customHeight="1" x14ac:dyDescent="0.25">
      <c r="A338" s="284"/>
      <c r="B338" s="529" t="s">
        <v>667</v>
      </c>
      <c r="C338" s="523" t="s">
        <v>666</v>
      </c>
      <c r="D338" s="426" t="s">
        <v>626</v>
      </c>
      <c r="E338" s="426" t="s">
        <v>701</v>
      </c>
      <c r="F338" s="440"/>
      <c r="G338" s="530"/>
      <c r="H338" s="289"/>
      <c r="I338" s="540"/>
      <c r="J338" s="530"/>
      <c r="K338" s="285"/>
    </row>
    <row r="339" spans="1:11" ht="14.25" customHeight="1" x14ac:dyDescent="0.25">
      <c r="A339" s="284"/>
      <c r="B339" s="529" t="s">
        <v>667</v>
      </c>
      <c r="C339" s="523" t="s">
        <v>666</v>
      </c>
      <c r="D339" s="426" t="s">
        <v>627</v>
      </c>
      <c r="E339" s="426"/>
      <c r="F339" s="440"/>
      <c r="G339" s="530" t="s">
        <v>701</v>
      </c>
      <c r="H339" s="289"/>
      <c r="I339" s="540"/>
      <c r="J339" s="530"/>
      <c r="K339" s="285"/>
    </row>
    <row r="340" spans="1:11" ht="14.25" customHeight="1" x14ac:dyDescent="0.25">
      <c r="A340" s="284"/>
      <c r="B340" s="529" t="s">
        <v>667</v>
      </c>
      <c r="C340" s="523" t="s">
        <v>666</v>
      </c>
      <c r="D340" s="426" t="s">
        <v>668</v>
      </c>
      <c r="E340" s="426"/>
      <c r="F340" s="440"/>
      <c r="G340" s="530"/>
      <c r="H340" s="289"/>
      <c r="I340" s="540"/>
      <c r="J340" s="530"/>
      <c r="K340" s="285"/>
    </row>
    <row r="341" spans="1:11" ht="14.25" customHeight="1" x14ac:dyDescent="0.25">
      <c r="A341" s="284"/>
      <c r="B341" s="529" t="s">
        <v>667</v>
      </c>
      <c r="C341" s="523" t="s">
        <v>666</v>
      </c>
      <c r="D341" s="426" t="s">
        <v>669</v>
      </c>
      <c r="E341" s="426"/>
      <c r="F341" s="440"/>
      <c r="G341" s="530"/>
      <c r="H341" s="289"/>
      <c r="I341" s="540"/>
      <c r="J341" s="530"/>
      <c r="K341" s="285"/>
    </row>
    <row r="342" spans="1:11" ht="14.25" customHeight="1" x14ac:dyDescent="0.25">
      <c r="A342" s="284"/>
      <c r="B342" s="529" t="s">
        <v>667</v>
      </c>
      <c r="C342" s="523" t="s">
        <v>666</v>
      </c>
      <c r="D342" s="426" t="s">
        <v>670</v>
      </c>
      <c r="E342" s="426"/>
      <c r="F342" s="440"/>
      <c r="G342" s="530"/>
      <c r="H342" s="289"/>
      <c r="I342" s="540"/>
      <c r="J342" s="530"/>
      <c r="K342" s="285"/>
    </row>
    <row r="343" spans="1:11" ht="14.25" customHeight="1" x14ac:dyDescent="0.25">
      <c r="A343" s="284"/>
      <c r="B343" s="529" t="s">
        <v>667</v>
      </c>
      <c r="C343" s="523" t="s">
        <v>660</v>
      </c>
      <c r="D343" s="426" t="s">
        <v>614</v>
      </c>
      <c r="E343" s="426" t="s">
        <v>701</v>
      </c>
      <c r="F343" s="440"/>
      <c r="G343" s="530"/>
      <c r="H343" s="289"/>
      <c r="I343" s="540"/>
      <c r="J343" s="530"/>
      <c r="K343" s="285"/>
    </row>
    <row r="344" spans="1:11" ht="14.25" customHeight="1" x14ac:dyDescent="0.25">
      <c r="A344" s="284"/>
      <c r="B344" s="529" t="s">
        <v>667</v>
      </c>
      <c r="C344" s="523" t="s">
        <v>660</v>
      </c>
      <c r="D344" s="426" t="s">
        <v>615</v>
      </c>
      <c r="E344" s="426"/>
      <c r="F344" s="440"/>
      <c r="G344" s="530"/>
      <c r="H344" s="289"/>
      <c r="I344" s="540"/>
      <c r="J344" s="530"/>
      <c r="K344" s="285"/>
    </row>
    <row r="345" spans="1:11" ht="14.25" customHeight="1" x14ac:dyDescent="0.25">
      <c r="A345" s="284"/>
      <c r="B345" s="529" t="s">
        <v>667</v>
      </c>
      <c r="C345" s="523" t="s">
        <v>660</v>
      </c>
      <c r="D345" s="426" t="s">
        <v>616</v>
      </c>
      <c r="E345" s="426"/>
      <c r="F345" s="440"/>
      <c r="G345" s="530" t="s">
        <v>701</v>
      </c>
      <c r="H345" s="289"/>
      <c r="I345" s="540"/>
      <c r="J345" s="530"/>
      <c r="K345" s="285"/>
    </row>
    <row r="346" spans="1:11" ht="14.25" customHeight="1" x14ac:dyDescent="0.25">
      <c r="A346" s="284"/>
      <c r="B346" s="529" t="s">
        <v>667</v>
      </c>
      <c r="C346" s="523" t="s">
        <v>660</v>
      </c>
      <c r="D346" s="426" t="s">
        <v>618</v>
      </c>
      <c r="E346" s="426"/>
      <c r="F346" s="440"/>
      <c r="G346" s="530"/>
      <c r="H346" s="289"/>
      <c r="I346" s="540"/>
      <c r="J346" s="530"/>
      <c r="K346" s="285"/>
    </row>
    <row r="347" spans="1:11" ht="14.25" customHeight="1" x14ac:dyDescent="0.25">
      <c r="A347" s="284"/>
      <c r="B347" s="529" t="s">
        <v>667</v>
      </c>
      <c r="C347" s="523" t="s">
        <v>660</v>
      </c>
      <c r="D347" s="426" t="s">
        <v>689</v>
      </c>
      <c r="E347" s="426"/>
      <c r="F347" s="440"/>
      <c r="G347" s="530"/>
      <c r="H347" s="289"/>
      <c r="I347" s="540"/>
      <c r="J347" s="530"/>
      <c r="K347" s="285"/>
    </row>
    <row r="348" spans="1:11" ht="14.25" customHeight="1" x14ac:dyDescent="0.25">
      <c r="A348" s="284"/>
      <c r="B348" s="529" t="s">
        <v>667</v>
      </c>
      <c r="C348" s="523" t="s">
        <v>660</v>
      </c>
      <c r="D348" s="426" t="s">
        <v>619</v>
      </c>
      <c r="E348" s="426"/>
      <c r="F348" s="440"/>
      <c r="G348" s="530"/>
      <c r="H348" s="289"/>
      <c r="I348" s="540"/>
      <c r="J348" s="530"/>
      <c r="K348" s="285"/>
    </row>
    <row r="349" spans="1:11" ht="14.25" customHeight="1" x14ac:dyDescent="0.25">
      <c r="A349" s="284"/>
      <c r="B349" s="529" t="s">
        <v>667</v>
      </c>
      <c r="C349" s="523" t="s">
        <v>660</v>
      </c>
      <c r="D349" s="426" t="s">
        <v>620</v>
      </c>
      <c r="E349" s="426"/>
      <c r="F349" s="440"/>
      <c r="G349" s="530"/>
      <c r="H349" s="289"/>
      <c r="I349" s="540"/>
      <c r="J349" s="530"/>
      <c r="K349" s="285"/>
    </row>
    <row r="350" spans="1:11" ht="14.25" customHeight="1" x14ac:dyDescent="0.25">
      <c r="A350" s="284"/>
      <c r="B350" s="529" t="s">
        <v>667</v>
      </c>
      <c r="C350" s="523" t="s">
        <v>660</v>
      </c>
      <c r="D350" s="426" t="s">
        <v>621</v>
      </c>
      <c r="E350" s="426"/>
      <c r="F350" s="440"/>
      <c r="G350" s="530" t="s">
        <v>701</v>
      </c>
      <c r="H350" s="289"/>
      <c r="I350" s="540"/>
      <c r="J350" s="530"/>
      <c r="K350" s="285"/>
    </row>
    <row r="351" spans="1:11" ht="14.25" customHeight="1" x14ac:dyDescent="0.25">
      <c r="A351" s="284"/>
      <c r="B351" s="529" t="s">
        <v>667</v>
      </c>
      <c r="C351" s="523" t="s">
        <v>660</v>
      </c>
      <c r="D351" s="426" t="s">
        <v>617</v>
      </c>
      <c r="E351" s="426"/>
      <c r="F351" s="440"/>
      <c r="G351" s="530"/>
      <c r="H351" s="289"/>
      <c r="I351" s="540"/>
      <c r="J351" s="530"/>
      <c r="K351" s="285"/>
    </row>
    <row r="352" spans="1:11" ht="14.25" customHeight="1" x14ac:dyDescent="0.25">
      <c r="A352" s="284"/>
      <c r="B352" s="529" t="s">
        <v>667</v>
      </c>
      <c r="C352" s="523" t="s">
        <v>660</v>
      </c>
      <c r="D352" s="426" t="s">
        <v>622</v>
      </c>
      <c r="E352" s="426" t="s">
        <v>701</v>
      </c>
      <c r="F352" s="440"/>
      <c r="G352" s="530"/>
      <c r="H352" s="289"/>
      <c r="I352" s="540"/>
      <c r="J352" s="530"/>
      <c r="K352" s="285"/>
    </row>
    <row r="353" spans="1:11" ht="14.25" customHeight="1" x14ac:dyDescent="0.25">
      <c r="A353" s="284"/>
      <c r="B353" s="529" t="s">
        <v>667</v>
      </c>
      <c r="C353" s="523" t="s">
        <v>660</v>
      </c>
      <c r="D353" s="426" t="s">
        <v>623</v>
      </c>
      <c r="E353" s="426"/>
      <c r="F353" s="440"/>
      <c r="G353" s="530" t="s">
        <v>701</v>
      </c>
      <c r="H353" s="289"/>
      <c r="I353" s="540"/>
      <c r="J353" s="530"/>
      <c r="K353" s="285"/>
    </row>
    <row r="354" spans="1:11" ht="14.25" customHeight="1" x14ac:dyDescent="0.25">
      <c r="A354" s="284"/>
      <c r="B354" s="529" t="s">
        <v>667</v>
      </c>
      <c r="C354" s="523" t="s">
        <v>660</v>
      </c>
      <c r="D354" s="426" t="s">
        <v>624</v>
      </c>
      <c r="E354" s="426" t="s">
        <v>701</v>
      </c>
      <c r="F354" s="440"/>
      <c r="G354" s="530"/>
      <c r="H354" s="289"/>
      <c r="I354" s="540"/>
      <c r="J354" s="530"/>
      <c r="K354" s="285"/>
    </row>
    <row r="355" spans="1:11" ht="14.25" customHeight="1" x14ac:dyDescent="0.25">
      <c r="A355" s="284"/>
      <c r="B355" s="529" t="s">
        <v>667</v>
      </c>
      <c r="C355" s="523" t="s">
        <v>660</v>
      </c>
      <c r="D355" s="426" t="s">
        <v>625</v>
      </c>
      <c r="E355" s="426"/>
      <c r="F355" s="440"/>
      <c r="G355" s="530" t="s">
        <v>701</v>
      </c>
      <c r="H355" s="289"/>
      <c r="I355" s="540"/>
      <c r="J355" s="530"/>
      <c r="K355" s="285"/>
    </row>
    <row r="356" spans="1:11" ht="14.25" customHeight="1" x14ac:dyDescent="0.25">
      <c r="A356" s="284"/>
      <c r="B356" s="529" t="s">
        <v>667</v>
      </c>
      <c r="C356" s="523" t="s">
        <v>660</v>
      </c>
      <c r="D356" s="426" t="s">
        <v>626</v>
      </c>
      <c r="E356" s="426" t="s">
        <v>701</v>
      </c>
      <c r="F356" s="440"/>
      <c r="G356" s="530"/>
      <c r="H356" s="289"/>
      <c r="I356" s="540"/>
      <c r="J356" s="530"/>
      <c r="K356" s="285"/>
    </row>
    <row r="357" spans="1:11" ht="14.25" customHeight="1" x14ac:dyDescent="0.25">
      <c r="A357" s="284"/>
      <c r="B357" s="529" t="s">
        <v>667</v>
      </c>
      <c r="C357" s="523" t="s">
        <v>660</v>
      </c>
      <c r="D357" s="426" t="s">
        <v>627</v>
      </c>
      <c r="E357" s="426"/>
      <c r="F357" s="440"/>
      <c r="G357" s="530" t="s">
        <v>701</v>
      </c>
      <c r="H357" s="289"/>
      <c r="I357" s="540"/>
      <c r="J357" s="530"/>
      <c r="K357" s="285"/>
    </row>
    <row r="358" spans="1:11" ht="14.25" customHeight="1" x14ac:dyDescent="0.25">
      <c r="A358" s="284"/>
      <c r="B358" s="529" t="s">
        <v>667</v>
      </c>
      <c r="C358" s="523" t="s">
        <v>660</v>
      </c>
      <c r="D358" s="426" t="s">
        <v>668</v>
      </c>
      <c r="E358" s="426"/>
      <c r="F358" s="440"/>
      <c r="G358" s="530"/>
      <c r="H358" s="289"/>
      <c r="I358" s="540"/>
      <c r="J358" s="530"/>
      <c r="K358" s="285"/>
    </row>
    <row r="359" spans="1:11" ht="14.25" customHeight="1" x14ac:dyDescent="0.25">
      <c r="A359" s="284"/>
      <c r="B359" s="529" t="s">
        <v>667</v>
      </c>
      <c r="C359" s="523" t="s">
        <v>660</v>
      </c>
      <c r="D359" s="426" t="s">
        <v>669</v>
      </c>
      <c r="E359" s="426"/>
      <c r="F359" s="440"/>
      <c r="G359" s="530"/>
      <c r="H359" s="289"/>
      <c r="I359" s="540"/>
      <c r="J359" s="530"/>
      <c r="K359" s="285"/>
    </row>
    <row r="360" spans="1:11" ht="14.25" customHeight="1" x14ac:dyDescent="0.25">
      <c r="A360" s="284"/>
      <c r="B360" s="529" t="s">
        <v>667</v>
      </c>
      <c r="C360" s="523" t="s">
        <v>660</v>
      </c>
      <c r="D360" s="426" t="s">
        <v>670</v>
      </c>
      <c r="E360" s="426"/>
      <c r="F360" s="440"/>
      <c r="G360" s="530"/>
      <c r="H360" s="289"/>
      <c r="I360" s="540"/>
      <c r="J360" s="530"/>
      <c r="K360" s="285"/>
    </row>
    <row r="361" spans="1:11" ht="14.25" customHeight="1" x14ac:dyDescent="0.25">
      <c r="A361" s="284"/>
      <c r="B361" s="529" t="s">
        <v>653</v>
      </c>
      <c r="C361" s="523" t="s">
        <v>635</v>
      </c>
      <c r="D361" s="426" t="s">
        <v>637</v>
      </c>
      <c r="E361" s="426"/>
      <c r="F361" s="440"/>
      <c r="G361" s="530"/>
      <c r="H361" s="289"/>
      <c r="I361" s="540"/>
      <c r="J361" s="530"/>
      <c r="K361" s="285"/>
    </row>
    <row r="362" spans="1:11" ht="14.25" customHeight="1" x14ac:dyDescent="0.25">
      <c r="A362" s="284"/>
      <c r="B362" s="529" t="s">
        <v>653</v>
      </c>
      <c r="C362" s="523" t="s">
        <v>635</v>
      </c>
      <c r="D362" s="426" t="s">
        <v>654</v>
      </c>
      <c r="E362" s="426" t="s">
        <v>701</v>
      </c>
      <c r="F362" s="440" t="s">
        <v>701</v>
      </c>
      <c r="G362" s="530"/>
      <c r="H362" s="289"/>
      <c r="I362" s="540"/>
      <c r="J362" s="530"/>
      <c r="K362" s="285"/>
    </row>
    <row r="363" spans="1:11" ht="14.25" customHeight="1" x14ac:dyDescent="0.25">
      <c r="A363" s="284"/>
      <c r="B363" s="529" t="s">
        <v>653</v>
      </c>
      <c r="C363" s="523" t="s">
        <v>635</v>
      </c>
      <c r="D363" s="426" t="s">
        <v>650</v>
      </c>
      <c r="E363" s="426" t="s">
        <v>701</v>
      </c>
      <c r="F363" s="440" t="s">
        <v>701</v>
      </c>
      <c r="G363" s="530"/>
      <c r="H363" s="289"/>
      <c r="I363" s="540"/>
      <c r="J363" s="530"/>
      <c r="K363" s="285"/>
    </row>
    <row r="364" spans="1:11" ht="14.25" customHeight="1" x14ac:dyDescent="0.25">
      <c r="A364" s="284"/>
      <c r="B364" s="529" t="s">
        <v>653</v>
      </c>
      <c r="C364" s="523" t="s">
        <v>635</v>
      </c>
      <c r="D364" s="426" t="s">
        <v>642</v>
      </c>
      <c r="E364" s="426"/>
      <c r="F364" s="440"/>
      <c r="G364" s="530"/>
      <c r="H364" s="289"/>
      <c r="I364" s="540"/>
      <c r="J364" s="530"/>
      <c r="K364" s="285"/>
    </row>
    <row r="365" spans="1:11" ht="14.25" customHeight="1" x14ac:dyDescent="0.25">
      <c r="A365" s="284"/>
      <c r="B365" s="529" t="s">
        <v>653</v>
      </c>
      <c r="C365" s="523" t="s">
        <v>661</v>
      </c>
      <c r="D365" s="426" t="s">
        <v>614</v>
      </c>
      <c r="E365" s="426" t="s">
        <v>701</v>
      </c>
      <c r="F365" s="440"/>
      <c r="G365" s="530"/>
      <c r="H365" s="289"/>
      <c r="I365" s="540"/>
      <c r="J365" s="530"/>
      <c r="K365" s="285"/>
    </row>
    <row r="366" spans="1:11" ht="14.25" customHeight="1" x14ac:dyDescent="0.25">
      <c r="A366" s="284"/>
      <c r="B366" s="529" t="s">
        <v>653</v>
      </c>
      <c r="C366" s="523" t="s">
        <v>661</v>
      </c>
      <c r="D366" s="426" t="s">
        <v>615</v>
      </c>
      <c r="E366" s="426"/>
      <c r="F366" s="440"/>
      <c r="G366" s="530"/>
      <c r="H366" s="289"/>
      <c r="I366" s="540"/>
      <c r="J366" s="530"/>
      <c r="K366" s="285"/>
    </row>
    <row r="367" spans="1:11" ht="14.25" customHeight="1" x14ac:dyDescent="0.25">
      <c r="A367" s="284"/>
      <c r="B367" s="529" t="s">
        <v>653</v>
      </c>
      <c r="C367" s="523" t="s">
        <v>661</v>
      </c>
      <c r="D367" s="426" t="s">
        <v>616</v>
      </c>
      <c r="E367" s="426"/>
      <c r="F367" s="440"/>
      <c r="G367" s="530" t="s">
        <v>701</v>
      </c>
      <c r="H367" s="289"/>
      <c r="I367" s="540"/>
      <c r="J367" s="530"/>
      <c r="K367" s="285"/>
    </row>
    <row r="368" spans="1:11" ht="14.25" customHeight="1" x14ac:dyDescent="0.25">
      <c r="A368" s="284"/>
      <c r="B368" s="529" t="s">
        <v>653</v>
      </c>
      <c r="C368" s="523" t="s">
        <v>661</v>
      </c>
      <c r="D368" s="426" t="s">
        <v>618</v>
      </c>
      <c r="E368" s="426"/>
      <c r="F368" s="440"/>
      <c r="G368" s="530"/>
      <c r="H368" s="289"/>
      <c r="I368" s="540"/>
      <c r="J368" s="530"/>
      <c r="K368" s="285"/>
    </row>
    <row r="369" spans="1:11" ht="14.25" customHeight="1" x14ac:dyDescent="0.25">
      <c r="A369" s="284"/>
      <c r="B369" s="529" t="s">
        <v>653</v>
      </c>
      <c r="C369" s="523" t="s">
        <v>661</v>
      </c>
      <c r="D369" s="426" t="s">
        <v>689</v>
      </c>
      <c r="E369" s="426"/>
      <c r="F369" s="440"/>
      <c r="G369" s="530"/>
      <c r="H369" s="289"/>
      <c r="I369" s="540"/>
      <c r="J369" s="530"/>
      <c r="K369" s="285"/>
    </row>
    <row r="370" spans="1:11" ht="14.25" customHeight="1" x14ac:dyDescent="0.25">
      <c r="A370" s="284"/>
      <c r="B370" s="529" t="s">
        <v>653</v>
      </c>
      <c r="C370" s="523" t="s">
        <v>661</v>
      </c>
      <c r="D370" s="426" t="s">
        <v>619</v>
      </c>
      <c r="E370" s="426"/>
      <c r="F370" s="440"/>
      <c r="G370" s="530"/>
      <c r="H370" s="289"/>
      <c r="I370" s="540"/>
      <c r="J370" s="530"/>
      <c r="K370" s="285"/>
    </row>
    <row r="371" spans="1:11" ht="14.25" customHeight="1" x14ac:dyDescent="0.25">
      <c r="A371" s="284"/>
      <c r="B371" s="529" t="s">
        <v>653</v>
      </c>
      <c r="C371" s="523" t="s">
        <v>661</v>
      </c>
      <c r="D371" s="426" t="s">
        <v>620</v>
      </c>
      <c r="E371" s="426"/>
      <c r="F371" s="440"/>
      <c r="G371" s="530"/>
      <c r="H371" s="289"/>
      <c r="I371" s="540"/>
      <c r="J371" s="530"/>
      <c r="K371" s="285"/>
    </row>
    <row r="372" spans="1:11" ht="14.25" customHeight="1" x14ac:dyDescent="0.25">
      <c r="A372" s="284"/>
      <c r="B372" s="529" t="s">
        <v>653</v>
      </c>
      <c r="C372" s="523" t="s">
        <v>661</v>
      </c>
      <c r="D372" s="426" t="s">
        <v>640</v>
      </c>
      <c r="E372" s="426" t="s">
        <v>701</v>
      </c>
      <c r="F372" s="440"/>
      <c r="G372" s="530"/>
      <c r="H372" s="289"/>
      <c r="I372" s="540"/>
      <c r="J372" s="530"/>
      <c r="K372" s="285"/>
    </row>
    <row r="373" spans="1:11" ht="14.25" customHeight="1" x14ac:dyDescent="0.25">
      <c r="A373" s="284"/>
      <c r="B373" s="529" t="s">
        <v>653</v>
      </c>
      <c r="C373" s="523" t="s">
        <v>661</v>
      </c>
      <c r="D373" s="426" t="s">
        <v>621</v>
      </c>
      <c r="E373" s="426"/>
      <c r="F373" s="440"/>
      <c r="G373" s="530" t="s">
        <v>701</v>
      </c>
      <c r="H373" s="289"/>
      <c r="I373" s="540"/>
      <c r="J373" s="530"/>
      <c r="K373" s="285"/>
    </row>
    <row r="374" spans="1:11" ht="14.25" customHeight="1" x14ac:dyDescent="0.25">
      <c r="A374" s="284"/>
      <c r="B374" s="529" t="s">
        <v>653</v>
      </c>
      <c r="C374" s="523" t="s">
        <v>661</v>
      </c>
      <c r="D374" s="426" t="s">
        <v>617</v>
      </c>
      <c r="E374" s="426"/>
      <c r="F374" s="440"/>
      <c r="G374" s="530"/>
      <c r="H374" s="289"/>
      <c r="I374" s="540"/>
      <c r="J374" s="530"/>
      <c r="K374" s="285"/>
    </row>
    <row r="375" spans="1:11" ht="14.25" customHeight="1" x14ac:dyDescent="0.25">
      <c r="A375" s="284"/>
      <c r="B375" s="529" t="s">
        <v>653</v>
      </c>
      <c r="C375" s="523" t="s">
        <v>661</v>
      </c>
      <c r="D375" s="426" t="s">
        <v>622</v>
      </c>
      <c r="E375" s="426" t="s">
        <v>701</v>
      </c>
      <c r="F375" s="440"/>
      <c r="G375" s="530"/>
      <c r="H375" s="289"/>
      <c r="I375" s="540"/>
      <c r="J375" s="530"/>
      <c r="K375" s="285"/>
    </row>
    <row r="376" spans="1:11" ht="14.25" customHeight="1" x14ac:dyDescent="0.25">
      <c r="A376" s="284"/>
      <c r="B376" s="529" t="s">
        <v>653</v>
      </c>
      <c r="C376" s="523" t="s">
        <v>661</v>
      </c>
      <c r="D376" s="426" t="s">
        <v>623</v>
      </c>
      <c r="E376" s="426"/>
      <c r="F376" s="440"/>
      <c r="G376" s="530" t="s">
        <v>701</v>
      </c>
      <c r="H376" s="289"/>
      <c r="I376" s="540"/>
      <c r="J376" s="530"/>
      <c r="K376" s="285"/>
    </row>
    <row r="377" spans="1:11" ht="14.25" customHeight="1" x14ac:dyDescent="0.25">
      <c r="A377" s="284"/>
      <c r="B377" s="529" t="s">
        <v>653</v>
      </c>
      <c r="C377" s="523" t="s">
        <v>661</v>
      </c>
      <c r="D377" s="426" t="s">
        <v>630</v>
      </c>
      <c r="E377" s="426" t="s">
        <v>701</v>
      </c>
      <c r="F377" s="440"/>
      <c r="G377" s="530"/>
      <c r="H377" s="289"/>
      <c r="I377" s="540"/>
      <c r="J377" s="530"/>
      <c r="K377" s="285"/>
    </row>
    <row r="378" spans="1:11" ht="14.25" customHeight="1" x14ac:dyDescent="0.25">
      <c r="A378" s="284"/>
      <c r="B378" s="529" t="s">
        <v>653</v>
      </c>
      <c r="C378" s="523" t="s">
        <v>661</v>
      </c>
      <c r="D378" s="426" t="s">
        <v>631</v>
      </c>
      <c r="E378" s="426"/>
      <c r="F378" s="440"/>
      <c r="G378" s="530" t="s">
        <v>701</v>
      </c>
      <c r="H378" s="289"/>
      <c r="I378" s="540"/>
      <c r="J378" s="530"/>
      <c r="K378" s="285"/>
    </row>
    <row r="379" spans="1:11" ht="14.25" customHeight="1" x14ac:dyDescent="0.25">
      <c r="A379" s="284"/>
      <c r="B379" s="529" t="s">
        <v>653</v>
      </c>
      <c r="C379" s="523" t="s">
        <v>661</v>
      </c>
      <c r="D379" s="426" t="s">
        <v>624</v>
      </c>
      <c r="E379" s="426" t="s">
        <v>701</v>
      </c>
      <c r="F379" s="440"/>
      <c r="G379" s="530"/>
      <c r="H379" s="289"/>
      <c r="I379" s="540"/>
      <c r="J379" s="530"/>
      <c r="K379" s="285"/>
    </row>
    <row r="380" spans="1:11" ht="14.25" customHeight="1" x14ac:dyDescent="0.25">
      <c r="A380" s="284"/>
      <c r="B380" s="529" t="s">
        <v>653</v>
      </c>
      <c r="C380" s="523" t="s">
        <v>661</v>
      </c>
      <c r="D380" s="426" t="s">
        <v>625</v>
      </c>
      <c r="E380" s="426"/>
      <c r="F380" s="440"/>
      <c r="G380" s="530" t="s">
        <v>701</v>
      </c>
      <c r="H380" s="289"/>
      <c r="I380" s="540"/>
      <c r="J380" s="530"/>
      <c r="K380" s="285"/>
    </row>
    <row r="381" spans="1:11" ht="14.25" customHeight="1" x14ac:dyDescent="0.25">
      <c r="A381" s="284"/>
      <c r="B381" s="529" t="s">
        <v>653</v>
      </c>
      <c r="C381" s="523" t="s">
        <v>661</v>
      </c>
      <c r="D381" s="426" t="s">
        <v>626</v>
      </c>
      <c r="E381" s="426" t="s">
        <v>701</v>
      </c>
      <c r="F381" s="440"/>
      <c r="G381" s="530"/>
      <c r="H381" s="289"/>
      <c r="I381" s="540"/>
      <c r="J381" s="530"/>
      <c r="K381" s="285"/>
    </row>
    <row r="382" spans="1:11" ht="14.25" customHeight="1" x14ac:dyDescent="0.25">
      <c r="A382" s="284"/>
      <c r="B382" s="529" t="s">
        <v>653</v>
      </c>
      <c r="C382" s="523" t="s">
        <v>661</v>
      </c>
      <c r="D382" s="426" t="s">
        <v>627</v>
      </c>
      <c r="E382" s="426"/>
      <c r="F382" s="440"/>
      <c r="G382" s="530" t="s">
        <v>701</v>
      </c>
      <c r="H382" s="289"/>
      <c r="I382" s="540"/>
      <c r="J382" s="530"/>
      <c r="K382" s="285"/>
    </row>
    <row r="383" spans="1:11" ht="14.25" customHeight="1" x14ac:dyDescent="0.25">
      <c r="A383" s="284"/>
      <c r="B383" s="529" t="s">
        <v>653</v>
      </c>
      <c r="C383" s="523" t="s">
        <v>662</v>
      </c>
      <c r="D383" s="426" t="s">
        <v>614</v>
      </c>
      <c r="E383" s="426" t="s">
        <v>701</v>
      </c>
      <c r="F383" s="440"/>
      <c r="G383" s="530"/>
      <c r="H383" s="289"/>
      <c r="I383" s="540"/>
      <c r="J383" s="530"/>
      <c r="K383" s="285"/>
    </row>
    <row r="384" spans="1:11" ht="14.25" customHeight="1" x14ac:dyDescent="0.25">
      <c r="A384" s="284"/>
      <c r="B384" s="529" t="s">
        <v>653</v>
      </c>
      <c r="C384" s="523" t="s">
        <v>662</v>
      </c>
      <c r="D384" s="426" t="s">
        <v>615</v>
      </c>
      <c r="E384" s="426"/>
      <c r="F384" s="440"/>
      <c r="G384" s="530"/>
      <c r="H384" s="289"/>
      <c r="I384" s="540"/>
      <c r="J384" s="530"/>
      <c r="K384" s="285"/>
    </row>
    <row r="385" spans="1:11" ht="14.25" customHeight="1" x14ac:dyDescent="0.25">
      <c r="A385" s="284"/>
      <c r="B385" s="529" t="s">
        <v>653</v>
      </c>
      <c r="C385" s="523" t="s">
        <v>662</v>
      </c>
      <c r="D385" s="426" t="s">
        <v>616</v>
      </c>
      <c r="E385" s="426"/>
      <c r="F385" s="440"/>
      <c r="G385" s="530" t="s">
        <v>701</v>
      </c>
      <c r="H385" s="289"/>
      <c r="I385" s="540"/>
      <c r="J385" s="530"/>
      <c r="K385" s="285"/>
    </row>
    <row r="386" spans="1:11" ht="14.25" customHeight="1" x14ac:dyDescent="0.25">
      <c r="A386" s="284"/>
      <c r="B386" s="529" t="s">
        <v>653</v>
      </c>
      <c r="C386" s="523" t="s">
        <v>662</v>
      </c>
      <c r="D386" s="426" t="s">
        <v>618</v>
      </c>
      <c r="E386" s="426"/>
      <c r="F386" s="440"/>
      <c r="G386" s="530"/>
      <c r="H386" s="289"/>
      <c r="I386" s="540"/>
      <c r="J386" s="530"/>
      <c r="K386" s="285"/>
    </row>
    <row r="387" spans="1:11" ht="14.25" customHeight="1" x14ac:dyDescent="0.25">
      <c r="A387" s="284"/>
      <c r="B387" s="529" t="s">
        <v>653</v>
      </c>
      <c r="C387" s="523" t="s">
        <v>662</v>
      </c>
      <c r="D387" s="426" t="s">
        <v>689</v>
      </c>
      <c r="E387" s="426"/>
      <c r="F387" s="440"/>
      <c r="G387" s="530"/>
      <c r="H387" s="289"/>
      <c r="I387" s="540"/>
      <c r="J387" s="530"/>
      <c r="K387" s="285"/>
    </row>
    <row r="388" spans="1:11" ht="14.25" customHeight="1" x14ac:dyDescent="0.25">
      <c r="A388" s="284"/>
      <c r="B388" s="529" t="s">
        <v>653</v>
      </c>
      <c r="C388" s="523" t="s">
        <v>662</v>
      </c>
      <c r="D388" s="426" t="s">
        <v>619</v>
      </c>
      <c r="E388" s="426"/>
      <c r="F388" s="440"/>
      <c r="G388" s="530"/>
      <c r="H388" s="289"/>
      <c r="I388" s="540"/>
      <c r="J388" s="530"/>
      <c r="K388" s="285"/>
    </row>
    <row r="389" spans="1:11" ht="14.25" customHeight="1" x14ac:dyDescent="0.25">
      <c r="A389" s="284"/>
      <c r="B389" s="529" t="s">
        <v>653</v>
      </c>
      <c r="C389" s="523" t="s">
        <v>662</v>
      </c>
      <c r="D389" s="426" t="s">
        <v>620</v>
      </c>
      <c r="E389" s="426"/>
      <c r="F389" s="440"/>
      <c r="G389" s="530"/>
      <c r="H389" s="289"/>
      <c r="I389" s="540"/>
      <c r="J389" s="530"/>
      <c r="K389" s="285"/>
    </row>
    <row r="390" spans="1:11" ht="14.25" customHeight="1" x14ac:dyDescent="0.25">
      <c r="A390" s="284"/>
      <c r="B390" s="529" t="s">
        <v>653</v>
      </c>
      <c r="C390" s="523" t="s">
        <v>662</v>
      </c>
      <c r="D390" s="426" t="s">
        <v>621</v>
      </c>
      <c r="E390" s="426"/>
      <c r="F390" s="440"/>
      <c r="G390" s="530" t="s">
        <v>701</v>
      </c>
      <c r="H390" s="289"/>
      <c r="I390" s="540"/>
      <c r="J390" s="530"/>
      <c r="K390" s="285"/>
    </row>
    <row r="391" spans="1:11" ht="14.25" customHeight="1" x14ac:dyDescent="0.25">
      <c r="A391" s="284"/>
      <c r="B391" s="529" t="s">
        <v>653</v>
      </c>
      <c r="C391" s="523" t="s">
        <v>662</v>
      </c>
      <c r="D391" s="426" t="s">
        <v>617</v>
      </c>
      <c r="E391" s="426"/>
      <c r="F391" s="440"/>
      <c r="G391" s="530"/>
      <c r="H391" s="289"/>
      <c r="I391" s="540"/>
      <c r="J391" s="530"/>
      <c r="K391" s="285"/>
    </row>
    <row r="392" spans="1:11" ht="14.25" customHeight="1" x14ac:dyDescent="0.25">
      <c r="A392" s="284"/>
      <c r="B392" s="529" t="s">
        <v>653</v>
      </c>
      <c r="C392" s="523" t="s">
        <v>662</v>
      </c>
      <c r="D392" s="426" t="s">
        <v>622</v>
      </c>
      <c r="E392" s="426" t="s">
        <v>701</v>
      </c>
      <c r="F392" s="440"/>
      <c r="G392" s="530"/>
      <c r="H392" s="289"/>
      <c r="I392" s="540"/>
      <c r="J392" s="530"/>
      <c r="K392" s="285"/>
    </row>
    <row r="393" spans="1:11" ht="14.25" customHeight="1" x14ac:dyDescent="0.25">
      <c r="A393" s="284"/>
      <c r="B393" s="529" t="s">
        <v>653</v>
      </c>
      <c r="C393" s="523" t="s">
        <v>662</v>
      </c>
      <c r="D393" s="426" t="s">
        <v>623</v>
      </c>
      <c r="E393" s="426"/>
      <c r="F393" s="440"/>
      <c r="G393" s="530" t="s">
        <v>701</v>
      </c>
      <c r="H393" s="289"/>
      <c r="I393" s="540"/>
      <c r="J393" s="530"/>
      <c r="K393" s="285"/>
    </row>
    <row r="394" spans="1:11" ht="14.25" customHeight="1" x14ac:dyDescent="0.25">
      <c r="A394" s="284"/>
      <c r="B394" s="529" t="s">
        <v>653</v>
      </c>
      <c r="C394" s="523" t="s">
        <v>662</v>
      </c>
      <c r="D394" s="426" t="s">
        <v>624</v>
      </c>
      <c r="E394" s="426" t="s">
        <v>701</v>
      </c>
      <c r="F394" s="440"/>
      <c r="G394" s="530"/>
      <c r="H394" s="289"/>
      <c r="I394" s="540"/>
      <c r="J394" s="530"/>
      <c r="K394" s="285"/>
    </row>
    <row r="395" spans="1:11" ht="14.25" customHeight="1" x14ac:dyDescent="0.25">
      <c r="A395" s="284"/>
      <c r="B395" s="529" t="s">
        <v>653</v>
      </c>
      <c r="C395" s="523" t="s">
        <v>662</v>
      </c>
      <c r="D395" s="426" t="s">
        <v>625</v>
      </c>
      <c r="E395" s="426"/>
      <c r="F395" s="440"/>
      <c r="G395" s="530" t="s">
        <v>701</v>
      </c>
      <c r="H395" s="289"/>
      <c r="I395" s="540"/>
      <c r="J395" s="530"/>
      <c r="K395" s="285"/>
    </row>
    <row r="396" spans="1:11" ht="14.25" customHeight="1" x14ac:dyDescent="0.25">
      <c r="A396" s="284"/>
      <c r="B396" s="529" t="s">
        <v>653</v>
      </c>
      <c r="C396" s="523" t="s">
        <v>662</v>
      </c>
      <c r="D396" s="426" t="s">
        <v>626</v>
      </c>
      <c r="E396" s="426" t="s">
        <v>701</v>
      </c>
      <c r="F396" s="440"/>
      <c r="G396" s="530"/>
      <c r="H396" s="289"/>
      <c r="I396" s="540"/>
      <c r="J396" s="530"/>
      <c r="K396" s="285"/>
    </row>
    <row r="397" spans="1:11" ht="14.25" customHeight="1" x14ac:dyDescent="0.25">
      <c r="A397" s="284"/>
      <c r="B397" s="529" t="s">
        <v>653</v>
      </c>
      <c r="C397" s="523" t="s">
        <v>662</v>
      </c>
      <c r="D397" s="426" t="s">
        <v>627</v>
      </c>
      <c r="E397" s="426"/>
      <c r="F397" s="440"/>
      <c r="G397" s="530" t="s">
        <v>701</v>
      </c>
      <c r="H397" s="289"/>
      <c r="I397" s="540"/>
      <c r="J397" s="530"/>
      <c r="K397" s="285"/>
    </row>
    <row r="398" spans="1:11" ht="14.25" customHeight="1" x14ac:dyDescent="0.25">
      <c r="A398" s="284"/>
      <c r="B398" s="529" t="s">
        <v>667</v>
      </c>
      <c r="C398" s="523" t="s">
        <v>666</v>
      </c>
      <c r="D398" s="426" t="s">
        <v>614</v>
      </c>
      <c r="E398" s="426" t="s">
        <v>701</v>
      </c>
      <c r="F398" s="440"/>
      <c r="G398" s="530"/>
      <c r="H398" s="289"/>
      <c r="I398" s="540"/>
      <c r="J398" s="530"/>
      <c r="K398" s="285"/>
    </row>
    <row r="399" spans="1:11" ht="14.25" customHeight="1" x14ac:dyDescent="0.25">
      <c r="A399" s="284"/>
      <c r="B399" s="529" t="s">
        <v>667</v>
      </c>
      <c r="C399" s="523" t="s">
        <v>666</v>
      </c>
      <c r="D399" s="426" t="s">
        <v>615</v>
      </c>
      <c r="E399" s="426"/>
      <c r="F399" s="440"/>
      <c r="G399" s="530"/>
      <c r="H399" s="289"/>
      <c r="I399" s="540"/>
      <c r="J399" s="530"/>
      <c r="K399" s="285"/>
    </row>
    <row r="400" spans="1:11" ht="14.25" customHeight="1" x14ac:dyDescent="0.25">
      <c r="A400" s="284"/>
      <c r="B400" s="529" t="s">
        <v>667</v>
      </c>
      <c r="C400" s="523" t="s">
        <v>666</v>
      </c>
      <c r="D400" s="426" t="s">
        <v>616</v>
      </c>
      <c r="E400" s="426"/>
      <c r="F400" s="440"/>
      <c r="G400" s="530" t="s">
        <v>701</v>
      </c>
      <c r="H400" s="289"/>
      <c r="I400" s="540"/>
      <c r="J400" s="530"/>
      <c r="K400" s="285"/>
    </row>
    <row r="401" spans="1:11" ht="14.25" customHeight="1" x14ac:dyDescent="0.25">
      <c r="A401" s="284"/>
      <c r="B401" s="529" t="s">
        <v>667</v>
      </c>
      <c r="C401" s="523" t="s">
        <v>666</v>
      </c>
      <c r="D401" s="426" t="s">
        <v>618</v>
      </c>
      <c r="E401" s="426"/>
      <c r="F401" s="440"/>
      <c r="G401" s="530"/>
      <c r="H401" s="289"/>
      <c r="I401" s="540"/>
      <c r="J401" s="530"/>
      <c r="K401" s="285"/>
    </row>
    <row r="402" spans="1:11" ht="14.25" customHeight="1" x14ac:dyDescent="0.25">
      <c r="A402" s="284"/>
      <c r="B402" s="529" t="s">
        <v>667</v>
      </c>
      <c r="C402" s="523" t="s">
        <v>666</v>
      </c>
      <c r="D402" s="426" t="s">
        <v>689</v>
      </c>
      <c r="E402" s="426"/>
      <c r="F402" s="440"/>
      <c r="G402" s="530"/>
      <c r="H402" s="289"/>
      <c r="I402" s="540"/>
      <c r="J402" s="530"/>
      <c r="K402" s="285"/>
    </row>
    <row r="403" spans="1:11" ht="14.25" customHeight="1" x14ac:dyDescent="0.25">
      <c r="A403" s="284"/>
      <c r="B403" s="529" t="s">
        <v>667</v>
      </c>
      <c r="C403" s="523" t="s">
        <v>666</v>
      </c>
      <c r="D403" s="426" t="s">
        <v>619</v>
      </c>
      <c r="E403" s="426"/>
      <c r="F403" s="440"/>
      <c r="G403" s="530"/>
      <c r="H403" s="289"/>
      <c r="I403" s="540"/>
      <c r="J403" s="530"/>
      <c r="K403" s="285"/>
    </row>
    <row r="404" spans="1:11" ht="14.25" customHeight="1" x14ac:dyDescent="0.25">
      <c r="A404" s="284"/>
      <c r="B404" s="529" t="s">
        <v>667</v>
      </c>
      <c r="C404" s="523" t="s">
        <v>666</v>
      </c>
      <c r="D404" s="426" t="s">
        <v>620</v>
      </c>
      <c r="E404" s="426"/>
      <c r="F404" s="440"/>
      <c r="G404" s="530"/>
      <c r="H404" s="289"/>
      <c r="I404" s="540"/>
      <c r="J404" s="530"/>
      <c r="K404" s="285"/>
    </row>
    <row r="405" spans="1:11" ht="14.25" customHeight="1" x14ac:dyDescent="0.25">
      <c r="A405" s="284"/>
      <c r="B405" s="529" t="s">
        <v>667</v>
      </c>
      <c r="C405" s="523" t="s">
        <v>666</v>
      </c>
      <c r="D405" s="426" t="s">
        <v>639</v>
      </c>
      <c r="E405" s="426"/>
      <c r="F405" s="440"/>
      <c r="G405" s="530" t="s">
        <v>701</v>
      </c>
      <c r="H405" s="289"/>
      <c r="I405" s="540"/>
      <c r="J405" s="530"/>
      <c r="K405" s="285"/>
    </row>
    <row r="406" spans="1:11" ht="14.25" customHeight="1" x14ac:dyDescent="0.25">
      <c r="A406" s="284"/>
      <c r="B406" s="529" t="s">
        <v>667</v>
      </c>
      <c r="C406" s="523" t="s">
        <v>666</v>
      </c>
      <c r="D406" s="426" t="s">
        <v>651</v>
      </c>
      <c r="E406" s="426" t="s">
        <v>701</v>
      </c>
      <c r="F406" s="440"/>
      <c r="G406" s="530"/>
      <c r="H406" s="289"/>
      <c r="I406" s="540"/>
      <c r="J406" s="530"/>
      <c r="K406" s="285"/>
    </row>
    <row r="407" spans="1:11" ht="14.25" customHeight="1" x14ac:dyDescent="0.25">
      <c r="A407" s="284"/>
      <c r="B407" s="529" t="s">
        <v>667</v>
      </c>
      <c r="C407" s="523" t="s">
        <v>666</v>
      </c>
      <c r="D407" s="426" t="s">
        <v>621</v>
      </c>
      <c r="E407" s="426"/>
      <c r="F407" s="440"/>
      <c r="G407" s="530" t="s">
        <v>701</v>
      </c>
      <c r="H407" s="289"/>
      <c r="I407" s="540"/>
      <c r="J407" s="530"/>
      <c r="K407" s="285"/>
    </row>
    <row r="408" spans="1:11" ht="14.25" customHeight="1" x14ac:dyDescent="0.25">
      <c r="A408" s="284"/>
      <c r="B408" s="529" t="s">
        <v>667</v>
      </c>
      <c r="C408" s="523" t="s">
        <v>666</v>
      </c>
      <c r="D408" s="426" t="s">
        <v>617</v>
      </c>
      <c r="E408" s="426"/>
      <c r="F408" s="440"/>
      <c r="G408" s="530"/>
      <c r="H408" s="289"/>
      <c r="I408" s="540"/>
      <c r="J408" s="530"/>
      <c r="K408" s="285"/>
    </row>
    <row r="409" spans="1:11" ht="14.25" customHeight="1" x14ac:dyDescent="0.25">
      <c r="A409" s="284"/>
      <c r="B409" s="529" t="s">
        <v>667</v>
      </c>
      <c r="C409" s="523" t="s">
        <v>666</v>
      </c>
      <c r="D409" s="426" t="s">
        <v>622</v>
      </c>
      <c r="E409" s="426" t="s">
        <v>701</v>
      </c>
      <c r="F409" s="440"/>
      <c r="G409" s="530"/>
      <c r="H409" s="289"/>
      <c r="I409" s="540"/>
      <c r="J409" s="530"/>
      <c r="K409" s="285"/>
    </row>
    <row r="410" spans="1:11" ht="14.25" customHeight="1" x14ac:dyDescent="0.25">
      <c r="A410" s="284"/>
      <c r="B410" s="529" t="s">
        <v>667</v>
      </c>
      <c r="C410" s="523" t="s">
        <v>666</v>
      </c>
      <c r="D410" s="426" t="s">
        <v>623</v>
      </c>
      <c r="E410" s="426"/>
      <c r="F410" s="440"/>
      <c r="G410" s="530" t="s">
        <v>701</v>
      </c>
      <c r="H410" s="289"/>
      <c r="I410" s="540"/>
      <c r="J410" s="530"/>
      <c r="K410" s="285"/>
    </row>
    <row r="411" spans="1:11" ht="14.25" customHeight="1" x14ac:dyDescent="0.25">
      <c r="A411" s="284"/>
      <c r="B411" s="529" t="s">
        <v>667</v>
      </c>
      <c r="C411" s="523" t="s">
        <v>666</v>
      </c>
      <c r="D411" s="426" t="s">
        <v>630</v>
      </c>
      <c r="E411" s="426" t="s">
        <v>701</v>
      </c>
      <c r="F411" s="440"/>
      <c r="G411" s="530"/>
      <c r="H411" s="289"/>
      <c r="I411" s="540"/>
      <c r="J411" s="530"/>
      <c r="K411" s="285"/>
    </row>
    <row r="412" spans="1:11" ht="14.25" customHeight="1" x14ac:dyDescent="0.25">
      <c r="A412" s="284"/>
      <c r="B412" s="529" t="s">
        <v>667</v>
      </c>
      <c r="C412" s="523" t="s">
        <v>666</v>
      </c>
      <c r="D412" s="426" t="s">
        <v>631</v>
      </c>
      <c r="E412" s="426"/>
      <c r="F412" s="440"/>
      <c r="G412" s="530" t="s">
        <v>701</v>
      </c>
      <c r="H412" s="289"/>
      <c r="I412" s="540"/>
      <c r="J412" s="530"/>
      <c r="K412" s="285"/>
    </row>
    <row r="413" spans="1:11" ht="14.25" customHeight="1" x14ac:dyDescent="0.25">
      <c r="A413" s="284"/>
      <c r="B413" s="529" t="s">
        <v>667</v>
      </c>
      <c r="C413" s="523" t="s">
        <v>666</v>
      </c>
      <c r="D413" s="426" t="s">
        <v>624</v>
      </c>
      <c r="E413" s="426" t="s">
        <v>701</v>
      </c>
      <c r="F413" s="440"/>
      <c r="G413" s="530"/>
      <c r="H413" s="289"/>
      <c r="I413" s="540"/>
      <c r="J413" s="530"/>
      <c r="K413" s="285"/>
    </row>
    <row r="414" spans="1:11" ht="14.25" customHeight="1" x14ac:dyDescent="0.25">
      <c r="A414" s="284"/>
      <c r="B414" s="529" t="s">
        <v>667</v>
      </c>
      <c r="C414" s="523" t="s">
        <v>666</v>
      </c>
      <c r="D414" s="426" t="s">
        <v>625</v>
      </c>
      <c r="E414" s="426"/>
      <c r="F414" s="440"/>
      <c r="G414" s="530" t="s">
        <v>701</v>
      </c>
      <c r="H414" s="289"/>
      <c r="I414" s="540"/>
      <c r="J414" s="530"/>
      <c r="K414" s="285"/>
    </row>
    <row r="415" spans="1:11" ht="14.25" customHeight="1" x14ac:dyDescent="0.25">
      <c r="A415" s="284"/>
      <c r="B415" s="529" t="s">
        <v>667</v>
      </c>
      <c r="C415" s="523" t="s">
        <v>666</v>
      </c>
      <c r="D415" s="426" t="s">
        <v>626</v>
      </c>
      <c r="E415" s="426" t="s">
        <v>701</v>
      </c>
      <c r="F415" s="440"/>
      <c r="G415" s="530"/>
      <c r="H415" s="289"/>
      <c r="I415" s="540"/>
      <c r="J415" s="530"/>
      <c r="K415" s="285"/>
    </row>
    <row r="416" spans="1:11" ht="14.25" customHeight="1" x14ac:dyDescent="0.25">
      <c r="A416" s="284"/>
      <c r="B416" s="529" t="s">
        <v>667</v>
      </c>
      <c r="C416" s="523" t="s">
        <v>666</v>
      </c>
      <c r="D416" s="426" t="s">
        <v>627</v>
      </c>
      <c r="E416" s="426"/>
      <c r="F416" s="440"/>
      <c r="G416" s="530" t="s">
        <v>701</v>
      </c>
      <c r="H416" s="289"/>
      <c r="I416" s="540"/>
      <c r="J416" s="530"/>
      <c r="K416" s="285"/>
    </row>
    <row r="417" spans="1:11" ht="14.25" customHeight="1" x14ac:dyDescent="0.25">
      <c r="A417" s="284"/>
      <c r="B417" s="529" t="s">
        <v>667</v>
      </c>
      <c r="C417" s="523" t="s">
        <v>666</v>
      </c>
      <c r="D417" s="426" t="s">
        <v>675</v>
      </c>
      <c r="E417" s="426" t="s">
        <v>701</v>
      </c>
      <c r="F417" s="440"/>
      <c r="G417" s="530"/>
      <c r="H417" s="289"/>
      <c r="I417" s="540"/>
      <c r="J417" s="530"/>
      <c r="K417" s="285"/>
    </row>
    <row r="418" spans="1:11" ht="14.25" customHeight="1" x14ac:dyDescent="0.25">
      <c r="A418" s="284"/>
      <c r="B418" s="529" t="s">
        <v>667</v>
      </c>
      <c r="C418" s="523" t="s">
        <v>666</v>
      </c>
      <c r="D418" s="426" t="s">
        <v>676</v>
      </c>
      <c r="E418" s="426"/>
      <c r="F418" s="440"/>
      <c r="G418" s="530" t="s">
        <v>701</v>
      </c>
      <c r="H418" s="289"/>
      <c r="I418" s="540"/>
      <c r="J418" s="530"/>
      <c r="K418" s="285"/>
    </row>
    <row r="419" spans="1:11" ht="14.25" customHeight="1" x14ac:dyDescent="0.25">
      <c r="A419" s="284"/>
      <c r="B419" s="529" t="s">
        <v>667</v>
      </c>
      <c r="C419" s="523" t="s">
        <v>666</v>
      </c>
      <c r="D419" s="426" t="s">
        <v>677</v>
      </c>
      <c r="E419" s="426" t="s">
        <v>701</v>
      </c>
      <c r="F419" s="440"/>
      <c r="G419" s="530"/>
      <c r="H419" s="289"/>
      <c r="I419" s="540"/>
      <c r="J419" s="530"/>
      <c r="K419" s="285"/>
    </row>
    <row r="420" spans="1:11" ht="14.25" customHeight="1" x14ac:dyDescent="0.25">
      <c r="A420" s="284"/>
      <c r="B420" s="529" t="s">
        <v>667</v>
      </c>
      <c r="C420" s="523" t="s">
        <v>666</v>
      </c>
      <c r="D420" s="426" t="s">
        <v>678</v>
      </c>
      <c r="E420" s="426"/>
      <c r="F420" s="440"/>
      <c r="G420" s="530" t="s">
        <v>701</v>
      </c>
      <c r="H420" s="289"/>
      <c r="I420" s="540"/>
      <c r="J420" s="530"/>
      <c r="K420" s="285"/>
    </row>
    <row r="421" spans="1:11" ht="14.25" customHeight="1" x14ac:dyDescent="0.25">
      <c r="A421" s="284"/>
      <c r="B421" s="529" t="s">
        <v>667</v>
      </c>
      <c r="C421" s="523" t="s">
        <v>666</v>
      </c>
      <c r="D421" s="426" t="s">
        <v>679</v>
      </c>
      <c r="E421" s="426" t="s">
        <v>701</v>
      </c>
      <c r="F421" s="440"/>
      <c r="G421" s="530"/>
      <c r="H421" s="289"/>
      <c r="I421" s="540"/>
      <c r="J421" s="530"/>
      <c r="K421" s="285"/>
    </row>
    <row r="422" spans="1:11" ht="14.25" customHeight="1" x14ac:dyDescent="0.25">
      <c r="A422" s="284"/>
      <c r="B422" s="529" t="s">
        <v>667</v>
      </c>
      <c r="C422" s="523" t="s">
        <v>666</v>
      </c>
      <c r="D422" s="426" t="s">
        <v>680</v>
      </c>
      <c r="E422" s="426"/>
      <c r="F422" s="440"/>
      <c r="G422" s="530" t="s">
        <v>701</v>
      </c>
      <c r="H422" s="289"/>
      <c r="I422" s="540"/>
      <c r="J422" s="530"/>
      <c r="K422" s="285"/>
    </row>
    <row r="423" spans="1:11" ht="14.25" customHeight="1" x14ac:dyDescent="0.25">
      <c r="A423" s="284"/>
      <c r="B423" s="529" t="s">
        <v>667</v>
      </c>
      <c r="C423" s="523" t="s">
        <v>666</v>
      </c>
      <c r="D423" s="426" t="s">
        <v>681</v>
      </c>
      <c r="E423" s="426" t="s">
        <v>701</v>
      </c>
      <c r="F423" s="440"/>
      <c r="G423" s="530"/>
      <c r="H423" s="289"/>
      <c r="I423" s="540"/>
      <c r="J423" s="530"/>
      <c r="K423" s="285"/>
    </row>
    <row r="424" spans="1:11" ht="14.25" customHeight="1" x14ac:dyDescent="0.25">
      <c r="A424" s="284"/>
      <c r="B424" s="529" t="s">
        <v>667</v>
      </c>
      <c r="C424" s="523" t="s">
        <v>666</v>
      </c>
      <c r="D424" s="426" t="s">
        <v>682</v>
      </c>
      <c r="E424" s="426"/>
      <c r="F424" s="440"/>
      <c r="G424" s="530" t="s">
        <v>701</v>
      </c>
      <c r="H424" s="289"/>
      <c r="I424" s="540"/>
      <c r="J424" s="530"/>
      <c r="K424" s="285"/>
    </row>
    <row r="425" spans="1:11" ht="14.25" customHeight="1" x14ac:dyDescent="0.25">
      <c r="A425" s="284"/>
      <c r="B425" s="529" t="s">
        <v>667</v>
      </c>
      <c r="C425" s="523" t="s">
        <v>666</v>
      </c>
      <c r="D425" s="426" t="s">
        <v>683</v>
      </c>
      <c r="E425" s="426"/>
      <c r="F425" s="440"/>
      <c r="G425" s="530"/>
      <c r="H425" s="289"/>
      <c r="I425" s="540"/>
      <c r="J425" s="530"/>
      <c r="K425" s="285"/>
    </row>
    <row r="426" spans="1:11" ht="14.25" customHeight="1" x14ac:dyDescent="0.25">
      <c r="A426" s="284"/>
      <c r="B426" s="529" t="s">
        <v>667</v>
      </c>
      <c r="C426" s="523" t="s">
        <v>666</v>
      </c>
      <c r="D426" s="426" t="s">
        <v>684</v>
      </c>
      <c r="E426" s="426"/>
      <c r="F426" s="440"/>
      <c r="G426" s="530"/>
      <c r="H426" s="289"/>
      <c r="I426" s="540"/>
      <c r="J426" s="530"/>
      <c r="K426" s="285"/>
    </row>
    <row r="427" spans="1:11" ht="14.25" customHeight="1" x14ac:dyDescent="0.25">
      <c r="A427" s="284"/>
      <c r="B427" s="529" t="s">
        <v>667</v>
      </c>
      <c r="C427" s="523" t="s">
        <v>666</v>
      </c>
      <c r="D427" s="426" t="s">
        <v>685</v>
      </c>
      <c r="E427" s="426"/>
      <c r="F427" s="440"/>
      <c r="G427" s="530"/>
      <c r="H427" s="289"/>
      <c r="I427" s="540"/>
      <c r="J427" s="530"/>
      <c r="K427" s="285"/>
    </row>
    <row r="428" spans="1:11" ht="14.25" customHeight="1" x14ac:dyDescent="0.25">
      <c r="A428" s="284"/>
      <c r="B428" s="529" t="s">
        <v>671</v>
      </c>
      <c r="C428" s="523" t="s">
        <v>635</v>
      </c>
      <c r="D428" s="426" t="s">
        <v>628</v>
      </c>
      <c r="E428" s="426"/>
      <c r="F428" s="440"/>
      <c r="G428" s="530"/>
      <c r="H428" s="289"/>
      <c r="I428" s="540"/>
      <c r="J428" s="530"/>
      <c r="K428" s="285"/>
    </row>
    <row r="429" spans="1:11" ht="14.25" customHeight="1" x14ac:dyDescent="0.25">
      <c r="A429" s="284"/>
      <c r="B429" s="529" t="s">
        <v>672</v>
      </c>
      <c r="C429" s="523" t="s">
        <v>674</v>
      </c>
      <c r="D429" s="426" t="s">
        <v>614</v>
      </c>
      <c r="E429" s="426" t="s">
        <v>701</v>
      </c>
      <c r="F429" s="440"/>
      <c r="G429" s="530"/>
      <c r="H429" s="289"/>
      <c r="I429" s="540"/>
      <c r="J429" s="530"/>
      <c r="K429" s="285"/>
    </row>
    <row r="430" spans="1:11" ht="14.25" customHeight="1" x14ac:dyDescent="0.25">
      <c r="A430" s="284"/>
      <c r="B430" s="529" t="s">
        <v>672</v>
      </c>
      <c r="C430" s="523" t="s">
        <v>674</v>
      </c>
      <c r="D430" s="426" t="s">
        <v>615</v>
      </c>
      <c r="E430" s="426"/>
      <c r="F430" s="440"/>
      <c r="G430" s="530"/>
      <c r="H430" s="289"/>
      <c r="I430" s="540"/>
      <c r="J430" s="530"/>
      <c r="K430" s="285"/>
    </row>
    <row r="431" spans="1:11" ht="14.25" customHeight="1" x14ac:dyDescent="0.25">
      <c r="A431" s="284"/>
      <c r="B431" s="529" t="s">
        <v>672</v>
      </c>
      <c r="C431" s="523" t="s">
        <v>674</v>
      </c>
      <c r="D431" s="426" t="s">
        <v>616</v>
      </c>
      <c r="E431" s="426"/>
      <c r="F431" s="440"/>
      <c r="G431" s="530" t="s">
        <v>701</v>
      </c>
      <c r="H431" s="289"/>
      <c r="I431" s="540"/>
      <c r="J431" s="530"/>
      <c r="K431" s="285"/>
    </row>
    <row r="432" spans="1:11" ht="14.25" customHeight="1" x14ac:dyDescent="0.25">
      <c r="A432" s="284"/>
      <c r="B432" s="529" t="s">
        <v>672</v>
      </c>
      <c r="C432" s="523" t="s">
        <v>674</v>
      </c>
      <c r="D432" s="426" t="s">
        <v>618</v>
      </c>
      <c r="E432" s="426"/>
      <c r="F432" s="440"/>
      <c r="G432" s="530"/>
      <c r="H432" s="289"/>
      <c r="I432" s="540"/>
      <c r="J432" s="530"/>
      <c r="K432" s="285"/>
    </row>
    <row r="433" spans="1:11" ht="14.25" customHeight="1" x14ac:dyDescent="0.25">
      <c r="A433" s="284"/>
      <c r="B433" s="529" t="s">
        <v>672</v>
      </c>
      <c r="C433" s="523" t="s">
        <v>674</v>
      </c>
      <c r="D433" s="426" t="s">
        <v>689</v>
      </c>
      <c r="E433" s="426"/>
      <c r="F433" s="440"/>
      <c r="G433" s="530"/>
      <c r="H433" s="289"/>
      <c r="I433" s="540"/>
      <c r="J433" s="530"/>
      <c r="K433" s="285"/>
    </row>
    <row r="434" spans="1:11" ht="14.25" customHeight="1" x14ac:dyDescent="0.25">
      <c r="A434" s="284"/>
      <c r="B434" s="529" t="s">
        <v>672</v>
      </c>
      <c r="C434" s="523" t="s">
        <v>674</v>
      </c>
      <c r="D434" s="426" t="s">
        <v>619</v>
      </c>
      <c r="E434" s="426"/>
      <c r="F434" s="440"/>
      <c r="G434" s="530"/>
      <c r="H434" s="289"/>
      <c r="I434" s="540"/>
      <c r="J434" s="530"/>
      <c r="K434" s="285"/>
    </row>
    <row r="435" spans="1:11" ht="14.25" customHeight="1" x14ac:dyDescent="0.25">
      <c r="A435" s="284"/>
      <c r="B435" s="529" t="s">
        <v>672</v>
      </c>
      <c r="C435" s="523" t="s">
        <v>674</v>
      </c>
      <c r="D435" s="426" t="s">
        <v>620</v>
      </c>
      <c r="E435" s="426"/>
      <c r="F435" s="440"/>
      <c r="G435" s="530"/>
      <c r="H435" s="289"/>
      <c r="I435" s="540"/>
      <c r="J435" s="530"/>
      <c r="K435" s="285"/>
    </row>
    <row r="436" spans="1:11" ht="14.25" customHeight="1" x14ac:dyDescent="0.25">
      <c r="A436" s="284"/>
      <c r="B436" s="529" t="s">
        <v>672</v>
      </c>
      <c r="C436" s="523" t="s">
        <v>674</v>
      </c>
      <c r="D436" s="426" t="s">
        <v>640</v>
      </c>
      <c r="E436" s="426" t="s">
        <v>701</v>
      </c>
      <c r="F436" s="440"/>
      <c r="G436" s="530"/>
      <c r="H436" s="289"/>
      <c r="I436" s="540"/>
      <c r="J436" s="530"/>
      <c r="K436" s="285"/>
    </row>
    <row r="437" spans="1:11" ht="14.25" customHeight="1" x14ac:dyDescent="0.25">
      <c r="A437" s="284"/>
      <c r="B437" s="529" t="s">
        <v>672</v>
      </c>
      <c r="C437" s="523" t="s">
        <v>674</v>
      </c>
      <c r="D437" s="426" t="s">
        <v>621</v>
      </c>
      <c r="E437" s="426"/>
      <c r="F437" s="440"/>
      <c r="G437" s="530" t="s">
        <v>701</v>
      </c>
      <c r="H437" s="289"/>
      <c r="I437" s="540"/>
      <c r="J437" s="530"/>
      <c r="K437" s="285"/>
    </row>
    <row r="438" spans="1:11" ht="14.25" customHeight="1" x14ac:dyDescent="0.25">
      <c r="A438" s="284"/>
      <c r="B438" s="529" t="s">
        <v>672</v>
      </c>
      <c r="C438" s="523" t="s">
        <v>674</v>
      </c>
      <c r="D438" s="426" t="s">
        <v>617</v>
      </c>
      <c r="E438" s="426"/>
      <c r="F438" s="440"/>
      <c r="G438" s="530"/>
      <c r="H438" s="289"/>
      <c r="I438" s="540"/>
      <c r="J438" s="530"/>
      <c r="K438" s="285"/>
    </row>
    <row r="439" spans="1:11" ht="14.25" customHeight="1" x14ac:dyDescent="0.25">
      <c r="A439" s="284"/>
      <c r="B439" s="529" t="s">
        <v>672</v>
      </c>
      <c r="C439" s="523" t="s">
        <v>674</v>
      </c>
      <c r="D439" s="426" t="s">
        <v>622</v>
      </c>
      <c r="E439" s="426" t="s">
        <v>701</v>
      </c>
      <c r="F439" s="440"/>
      <c r="G439" s="530"/>
      <c r="H439" s="289"/>
      <c r="I439" s="540"/>
      <c r="J439" s="530"/>
      <c r="K439" s="285"/>
    </row>
    <row r="440" spans="1:11" ht="14.25" customHeight="1" x14ac:dyDescent="0.25">
      <c r="A440" s="284"/>
      <c r="B440" s="529" t="s">
        <v>672</v>
      </c>
      <c r="C440" s="523" t="s">
        <v>674</v>
      </c>
      <c r="D440" s="426" t="s">
        <v>623</v>
      </c>
      <c r="E440" s="426"/>
      <c r="F440" s="440"/>
      <c r="G440" s="530" t="s">
        <v>701</v>
      </c>
      <c r="H440" s="289"/>
      <c r="I440" s="540"/>
      <c r="J440" s="530"/>
      <c r="K440" s="285"/>
    </row>
    <row r="441" spans="1:11" ht="14.25" customHeight="1" x14ac:dyDescent="0.25">
      <c r="A441" s="284"/>
      <c r="B441" s="529" t="s">
        <v>672</v>
      </c>
      <c r="C441" s="523" t="s">
        <v>674</v>
      </c>
      <c r="D441" s="426" t="s">
        <v>630</v>
      </c>
      <c r="E441" s="426" t="s">
        <v>701</v>
      </c>
      <c r="F441" s="440"/>
      <c r="G441" s="530"/>
      <c r="H441" s="289"/>
      <c r="I441" s="540"/>
      <c r="J441" s="530"/>
      <c r="K441" s="285"/>
    </row>
    <row r="442" spans="1:11" ht="14.25" customHeight="1" x14ac:dyDescent="0.25">
      <c r="A442" s="284"/>
      <c r="B442" s="529" t="s">
        <v>672</v>
      </c>
      <c r="C442" s="523" t="s">
        <v>674</v>
      </c>
      <c r="D442" s="426" t="s">
        <v>631</v>
      </c>
      <c r="E442" s="426"/>
      <c r="F442" s="440"/>
      <c r="G442" s="530" t="s">
        <v>701</v>
      </c>
      <c r="H442" s="289"/>
      <c r="I442" s="540"/>
      <c r="J442" s="530"/>
      <c r="K442" s="285"/>
    </row>
    <row r="443" spans="1:11" ht="14.25" customHeight="1" x14ac:dyDescent="0.25">
      <c r="A443" s="284"/>
      <c r="B443" s="529" t="s">
        <v>672</v>
      </c>
      <c r="C443" s="523" t="s">
        <v>674</v>
      </c>
      <c r="D443" s="426" t="s">
        <v>624</v>
      </c>
      <c r="E443" s="426" t="s">
        <v>701</v>
      </c>
      <c r="F443" s="440"/>
      <c r="G443" s="530"/>
      <c r="H443" s="289"/>
      <c r="I443" s="540"/>
      <c r="J443" s="530"/>
      <c r="K443" s="285"/>
    </row>
    <row r="444" spans="1:11" ht="14.25" customHeight="1" x14ac:dyDescent="0.25">
      <c r="A444" s="284"/>
      <c r="B444" s="529" t="s">
        <v>672</v>
      </c>
      <c r="C444" s="523" t="s">
        <v>674</v>
      </c>
      <c r="D444" s="426" t="s">
        <v>625</v>
      </c>
      <c r="E444" s="426"/>
      <c r="F444" s="440"/>
      <c r="G444" s="530" t="s">
        <v>701</v>
      </c>
      <c r="H444" s="289"/>
      <c r="I444" s="540"/>
      <c r="J444" s="530"/>
      <c r="K444" s="285"/>
    </row>
    <row r="445" spans="1:11" ht="14.25" customHeight="1" x14ac:dyDescent="0.25">
      <c r="A445" s="284"/>
      <c r="B445" s="529" t="s">
        <v>672</v>
      </c>
      <c r="C445" s="523" t="s">
        <v>674</v>
      </c>
      <c r="D445" s="426" t="s">
        <v>626</v>
      </c>
      <c r="E445" s="426" t="s">
        <v>701</v>
      </c>
      <c r="F445" s="440"/>
      <c r="G445" s="530"/>
      <c r="H445" s="289"/>
      <c r="I445" s="540"/>
      <c r="J445" s="530"/>
      <c r="K445" s="285"/>
    </row>
    <row r="446" spans="1:11" ht="14.25" customHeight="1" x14ac:dyDescent="0.25">
      <c r="A446" s="284"/>
      <c r="B446" s="529" t="s">
        <v>672</v>
      </c>
      <c r="C446" s="523" t="s">
        <v>674</v>
      </c>
      <c r="D446" s="426" t="s">
        <v>627</v>
      </c>
      <c r="E446" s="426"/>
      <c r="F446" s="440"/>
      <c r="G446" s="530" t="s">
        <v>701</v>
      </c>
      <c r="H446" s="289"/>
      <c r="I446" s="540"/>
      <c r="J446" s="530"/>
      <c r="K446" s="285"/>
    </row>
    <row r="447" spans="1:11" ht="14.25" customHeight="1" x14ac:dyDescent="0.25">
      <c r="A447" s="284"/>
      <c r="B447" s="529" t="s">
        <v>672</v>
      </c>
      <c r="C447" s="523" t="s">
        <v>674</v>
      </c>
      <c r="D447" s="426" t="s">
        <v>683</v>
      </c>
      <c r="E447" s="426"/>
      <c r="F447" s="440"/>
      <c r="G447" s="530"/>
      <c r="H447" s="289"/>
      <c r="I447" s="540"/>
      <c r="J447" s="530"/>
      <c r="K447" s="285"/>
    </row>
    <row r="448" spans="1:11" ht="14.25" customHeight="1" x14ac:dyDescent="0.25">
      <c r="A448" s="284"/>
      <c r="B448" s="529" t="s">
        <v>672</v>
      </c>
      <c r="C448" s="523" t="s">
        <v>674</v>
      </c>
      <c r="D448" s="426" t="s">
        <v>684</v>
      </c>
      <c r="E448" s="426"/>
      <c r="F448" s="440"/>
      <c r="G448" s="530"/>
      <c r="H448" s="289"/>
      <c r="I448" s="540"/>
      <c r="J448" s="530"/>
      <c r="K448" s="285"/>
    </row>
    <row r="449" spans="1:11" ht="14.25" customHeight="1" x14ac:dyDescent="0.25">
      <c r="A449" s="284"/>
      <c r="B449" s="529" t="s">
        <v>672</v>
      </c>
      <c r="C449" s="523" t="s">
        <v>674</v>
      </c>
      <c r="D449" s="426" t="s">
        <v>685</v>
      </c>
      <c r="E449" s="426"/>
      <c r="F449" s="440"/>
      <c r="G449" s="530"/>
      <c r="H449" s="289"/>
      <c r="I449" s="540"/>
      <c r="J449" s="530"/>
      <c r="K449" s="285"/>
    </row>
    <row r="450" spans="1:11" ht="14.25" customHeight="1" x14ac:dyDescent="0.25">
      <c r="A450" s="284"/>
      <c r="B450" s="529" t="s">
        <v>672</v>
      </c>
      <c r="C450" s="523" t="s">
        <v>673</v>
      </c>
      <c r="D450" s="426" t="s">
        <v>614</v>
      </c>
      <c r="E450" s="426" t="s">
        <v>701</v>
      </c>
      <c r="F450" s="440"/>
      <c r="G450" s="530"/>
      <c r="H450" s="289"/>
      <c r="I450" s="540"/>
      <c r="J450" s="530"/>
      <c r="K450" s="285"/>
    </row>
    <row r="451" spans="1:11" ht="14.25" customHeight="1" x14ac:dyDescent="0.25">
      <c r="A451" s="284"/>
      <c r="B451" s="529" t="s">
        <v>672</v>
      </c>
      <c r="C451" s="523" t="s">
        <v>673</v>
      </c>
      <c r="D451" s="426" t="s">
        <v>615</v>
      </c>
      <c r="E451" s="426"/>
      <c r="F451" s="440"/>
      <c r="G451" s="530"/>
      <c r="H451" s="289"/>
      <c r="I451" s="540"/>
      <c r="J451" s="530"/>
      <c r="K451" s="285"/>
    </row>
    <row r="452" spans="1:11" ht="14.25" customHeight="1" x14ac:dyDescent="0.25">
      <c r="A452" s="284"/>
      <c r="B452" s="529" t="s">
        <v>672</v>
      </c>
      <c r="C452" s="523" t="s">
        <v>673</v>
      </c>
      <c r="D452" s="426" t="s">
        <v>616</v>
      </c>
      <c r="E452" s="426"/>
      <c r="F452" s="440"/>
      <c r="G452" s="530" t="s">
        <v>701</v>
      </c>
      <c r="H452" s="289"/>
      <c r="I452" s="540"/>
      <c r="J452" s="530"/>
      <c r="K452" s="285"/>
    </row>
    <row r="453" spans="1:11" ht="14.25" customHeight="1" x14ac:dyDescent="0.25">
      <c r="A453" s="284"/>
      <c r="B453" s="529" t="s">
        <v>672</v>
      </c>
      <c r="C453" s="523" t="s">
        <v>673</v>
      </c>
      <c r="D453" s="426" t="s">
        <v>618</v>
      </c>
      <c r="E453" s="426"/>
      <c r="F453" s="440"/>
      <c r="G453" s="530"/>
      <c r="H453" s="289"/>
      <c r="I453" s="540"/>
      <c r="J453" s="530"/>
      <c r="K453" s="285"/>
    </row>
    <row r="454" spans="1:11" ht="14.25" customHeight="1" x14ac:dyDescent="0.25">
      <c r="A454" s="284"/>
      <c r="B454" s="529" t="s">
        <v>672</v>
      </c>
      <c r="C454" s="523" t="s">
        <v>673</v>
      </c>
      <c r="D454" s="426" t="s">
        <v>689</v>
      </c>
      <c r="E454" s="426"/>
      <c r="F454" s="440"/>
      <c r="G454" s="530"/>
      <c r="H454" s="289"/>
      <c r="I454" s="540"/>
      <c r="J454" s="530"/>
      <c r="K454" s="285"/>
    </row>
    <row r="455" spans="1:11" ht="14.25" customHeight="1" x14ac:dyDescent="0.25">
      <c r="A455" s="284"/>
      <c r="B455" s="529" t="s">
        <v>672</v>
      </c>
      <c r="C455" s="523" t="s">
        <v>673</v>
      </c>
      <c r="D455" s="426" t="s">
        <v>619</v>
      </c>
      <c r="E455" s="426"/>
      <c r="F455" s="440"/>
      <c r="G455" s="530"/>
      <c r="H455" s="289"/>
      <c r="I455" s="540"/>
      <c r="J455" s="530"/>
      <c r="K455" s="285"/>
    </row>
    <row r="456" spans="1:11" ht="14.25" customHeight="1" x14ac:dyDescent="0.25">
      <c r="A456" s="284"/>
      <c r="B456" s="529" t="s">
        <v>672</v>
      </c>
      <c r="C456" s="523" t="s">
        <v>673</v>
      </c>
      <c r="D456" s="426" t="s">
        <v>620</v>
      </c>
      <c r="E456" s="426"/>
      <c r="F456" s="440"/>
      <c r="G456" s="530"/>
      <c r="H456" s="289"/>
      <c r="I456" s="540"/>
      <c r="J456" s="530"/>
      <c r="K456" s="285"/>
    </row>
    <row r="457" spans="1:11" ht="14.25" customHeight="1" x14ac:dyDescent="0.25">
      <c r="A457" s="284"/>
      <c r="B457" s="529" t="s">
        <v>672</v>
      </c>
      <c r="C457" s="523" t="s">
        <v>673</v>
      </c>
      <c r="D457" s="426" t="s">
        <v>621</v>
      </c>
      <c r="E457" s="426"/>
      <c r="F457" s="440"/>
      <c r="G457" s="530" t="s">
        <v>701</v>
      </c>
      <c r="H457" s="289"/>
      <c r="I457" s="540"/>
      <c r="J457" s="530"/>
      <c r="K457" s="285"/>
    </row>
    <row r="458" spans="1:11" ht="14.25" customHeight="1" x14ac:dyDescent="0.25">
      <c r="A458" s="284"/>
      <c r="B458" s="529" t="s">
        <v>672</v>
      </c>
      <c r="C458" s="523" t="s">
        <v>673</v>
      </c>
      <c r="D458" s="426" t="s">
        <v>617</v>
      </c>
      <c r="E458" s="426"/>
      <c r="F458" s="440"/>
      <c r="G458" s="530"/>
      <c r="H458" s="289"/>
      <c r="I458" s="540"/>
      <c r="J458" s="530"/>
      <c r="K458" s="285"/>
    </row>
    <row r="459" spans="1:11" ht="14.25" customHeight="1" x14ac:dyDescent="0.25">
      <c r="A459" s="284"/>
      <c r="B459" s="529" t="s">
        <v>672</v>
      </c>
      <c r="C459" s="523" t="s">
        <v>673</v>
      </c>
      <c r="D459" s="426" t="s">
        <v>622</v>
      </c>
      <c r="E459" s="426" t="s">
        <v>701</v>
      </c>
      <c r="F459" s="440"/>
      <c r="G459" s="530"/>
      <c r="H459" s="289"/>
      <c r="I459" s="540"/>
      <c r="J459" s="530"/>
      <c r="K459" s="285"/>
    </row>
    <row r="460" spans="1:11" ht="14.25" customHeight="1" x14ac:dyDescent="0.25">
      <c r="A460" s="284"/>
      <c r="B460" s="529" t="s">
        <v>672</v>
      </c>
      <c r="C460" s="523" t="s">
        <v>673</v>
      </c>
      <c r="D460" s="426" t="s">
        <v>623</v>
      </c>
      <c r="E460" s="426"/>
      <c r="F460" s="440"/>
      <c r="G460" s="530" t="s">
        <v>701</v>
      </c>
      <c r="H460" s="289"/>
      <c r="I460" s="540"/>
      <c r="J460" s="530"/>
      <c r="K460" s="285"/>
    </row>
    <row r="461" spans="1:11" ht="14.25" customHeight="1" x14ac:dyDescent="0.25">
      <c r="A461" s="284"/>
      <c r="B461" s="529" t="s">
        <v>672</v>
      </c>
      <c r="C461" s="523" t="s">
        <v>673</v>
      </c>
      <c r="D461" s="426" t="s">
        <v>624</v>
      </c>
      <c r="E461" s="426" t="s">
        <v>701</v>
      </c>
      <c r="F461" s="440"/>
      <c r="G461" s="530"/>
      <c r="H461" s="289"/>
      <c r="I461" s="540"/>
      <c r="J461" s="530"/>
      <c r="K461" s="285"/>
    </row>
    <row r="462" spans="1:11" ht="14.25" customHeight="1" x14ac:dyDescent="0.25">
      <c r="A462" s="284"/>
      <c r="B462" s="529" t="s">
        <v>672</v>
      </c>
      <c r="C462" s="523" t="s">
        <v>673</v>
      </c>
      <c r="D462" s="426" t="s">
        <v>625</v>
      </c>
      <c r="E462" s="426"/>
      <c r="F462" s="440"/>
      <c r="G462" s="530" t="s">
        <v>701</v>
      </c>
      <c r="H462" s="289"/>
      <c r="I462" s="540"/>
      <c r="J462" s="530"/>
      <c r="K462" s="285"/>
    </row>
    <row r="463" spans="1:11" ht="14.25" customHeight="1" x14ac:dyDescent="0.25">
      <c r="A463" s="284"/>
      <c r="B463" s="529" t="s">
        <v>672</v>
      </c>
      <c r="C463" s="523" t="s">
        <v>673</v>
      </c>
      <c r="D463" s="426" t="s">
        <v>626</v>
      </c>
      <c r="E463" s="426" t="s">
        <v>701</v>
      </c>
      <c r="F463" s="440"/>
      <c r="G463" s="530"/>
      <c r="H463" s="289"/>
      <c r="I463" s="540"/>
      <c r="J463" s="530"/>
      <c r="K463" s="285"/>
    </row>
    <row r="464" spans="1:11" ht="14.25" customHeight="1" x14ac:dyDescent="0.25">
      <c r="A464" s="284"/>
      <c r="B464" s="529" t="s">
        <v>672</v>
      </c>
      <c r="C464" s="523" t="s">
        <v>673</v>
      </c>
      <c r="D464" s="426" t="s">
        <v>627</v>
      </c>
      <c r="E464" s="426"/>
      <c r="F464" s="440"/>
      <c r="G464" s="530" t="s">
        <v>701</v>
      </c>
      <c r="H464" s="289"/>
      <c r="I464" s="540"/>
      <c r="J464" s="530"/>
      <c r="K464" s="285"/>
    </row>
    <row r="465" spans="1:11" ht="14.25" customHeight="1" x14ac:dyDescent="0.25">
      <c r="A465" s="284"/>
      <c r="B465" s="529" t="s">
        <v>672</v>
      </c>
      <c r="C465" s="523" t="s">
        <v>673</v>
      </c>
      <c r="D465" s="426" t="s">
        <v>683</v>
      </c>
      <c r="E465" s="426"/>
      <c r="F465" s="440"/>
      <c r="G465" s="530"/>
      <c r="H465" s="289"/>
      <c r="I465" s="540"/>
      <c r="J465" s="530"/>
      <c r="K465" s="285"/>
    </row>
    <row r="466" spans="1:11" ht="14.25" customHeight="1" x14ac:dyDescent="0.25">
      <c r="A466" s="284"/>
      <c r="B466" s="529" t="s">
        <v>672</v>
      </c>
      <c r="C466" s="523" t="s">
        <v>673</v>
      </c>
      <c r="D466" s="426" t="s">
        <v>684</v>
      </c>
      <c r="E466" s="426"/>
      <c r="F466" s="440"/>
      <c r="G466" s="530"/>
      <c r="H466" s="289"/>
      <c r="I466" s="540"/>
      <c r="J466" s="530"/>
      <c r="K466" s="285"/>
    </row>
    <row r="467" spans="1:11" ht="14.25" customHeight="1" x14ac:dyDescent="0.25">
      <c r="A467" s="284"/>
      <c r="B467" s="529" t="s">
        <v>672</v>
      </c>
      <c r="C467" s="523" t="s">
        <v>673</v>
      </c>
      <c r="D467" s="426" t="s">
        <v>685</v>
      </c>
      <c r="E467" s="426"/>
      <c r="F467" s="440"/>
      <c r="G467" s="530"/>
      <c r="H467" s="289"/>
      <c r="I467" s="540"/>
      <c r="J467" s="530"/>
      <c r="K467" s="285"/>
    </row>
    <row r="468" spans="1:11" ht="14.25" customHeight="1" x14ac:dyDescent="0.25">
      <c r="A468" s="284"/>
      <c r="B468" s="529" t="s">
        <v>671</v>
      </c>
      <c r="C468" s="523" t="s">
        <v>635</v>
      </c>
      <c r="D468" s="426" t="s">
        <v>642</v>
      </c>
      <c r="E468" s="426"/>
      <c r="F468" s="440"/>
      <c r="G468" s="581"/>
      <c r="H468" s="289"/>
      <c r="I468" s="582"/>
      <c r="J468" s="581"/>
      <c r="K468" s="285"/>
    </row>
    <row r="469" spans="1:11" ht="14.25" customHeight="1" x14ac:dyDescent="0.25">
      <c r="A469" s="284"/>
      <c r="B469" s="529" t="s">
        <v>607</v>
      </c>
      <c r="C469" s="523" t="s">
        <v>635</v>
      </c>
      <c r="D469" s="426" t="s">
        <v>1173</v>
      </c>
      <c r="E469" s="426" t="s">
        <v>701</v>
      </c>
      <c r="F469" s="440" t="s">
        <v>701</v>
      </c>
      <c r="G469" s="530"/>
      <c r="H469" s="289"/>
      <c r="I469" s="544"/>
      <c r="J469" s="530">
        <f>SUMIF(E:E,I469,G:G)</f>
        <v>0</v>
      </c>
      <c r="K469" s="285"/>
    </row>
    <row r="470" spans="1:11" ht="14.25" customHeight="1" x14ac:dyDescent="0.25">
      <c r="A470" s="284"/>
      <c r="B470" s="529" t="s">
        <v>612</v>
      </c>
      <c r="C470" s="523" t="s">
        <v>635</v>
      </c>
      <c r="D470" s="426" t="s">
        <v>1173</v>
      </c>
      <c r="E470" s="426" t="s">
        <v>701</v>
      </c>
      <c r="F470" s="440" t="s">
        <v>701</v>
      </c>
      <c r="G470" s="581"/>
      <c r="H470" s="289"/>
      <c r="I470" s="582"/>
      <c r="J470" s="581"/>
      <c r="K470" s="285"/>
    </row>
    <row r="471" spans="1:11" ht="14.25" customHeight="1" x14ac:dyDescent="0.25">
      <c r="A471" s="284"/>
      <c r="B471" s="529"/>
      <c r="C471" s="523" t="s">
        <v>635</v>
      </c>
      <c r="D471" s="426" t="s">
        <v>1174</v>
      </c>
      <c r="E471" s="426" t="s">
        <v>701</v>
      </c>
      <c r="F471" s="440" t="s">
        <v>701</v>
      </c>
      <c r="G471" s="581"/>
      <c r="H471" s="289"/>
      <c r="I471" s="582"/>
      <c r="J471" s="581"/>
      <c r="K471" s="285"/>
    </row>
    <row r="472" spans="1:11" ht="14.25" customHeight="1" x14ac:dyDescent="0.25">
      <c r="A472" s="284"/>
      <c r="B472" s="529"/>
      <c r="C472" s="523" t="s">
        <v>635</v>
      </c>
      <c r="D472" s="426" t="s">
        <v>1177</v>
      </c>
      <c r="E472" s="426" t="s">
        <v>701</v>
      </c>
      <c r="F472" s="440" t="s">
        <v>701</v>
      </c>
      <c r="G472" s="581"/>
      <c r="H472" s="289"/>
      <c r="I472" s="582"/>
      <c r="J472" s="581"/>
      <c r="K472" s="285"/>
    </row>
    <row r="473" spans="1:11" ht="14.25" customHeight="1" x14ac:dyDescent="0.25">
      <c r="A473" s="284"/>
      <c r="B473" s="529"/>
      <c r="C473" s="523" t="s">
        <v>635</v>
      </c>
      <c r="D473" s="426" t="s">
        <v>1177</v>
      </c>
      <c r="E473" s="426" t="s">
        <v>701</v>
      </c>
      <c r="F473" s="440" t="s">
        <v>701</v>
      </c>
      <c r="G473" s="581"/>
      <c r="H473" s="289"/>
      <c r="I473" s="582"/>
      <c r="J473" s="581"/>
      <c r="K473" s="285"/>
    </row>
    <row r="474" spans="1:11" ht="14.25" customHeight="1" x14ac:dyDescent="0.25">
      <c r="A474" s="284"/>
      <c r="B474" s="529"/>
      <c r="C474" s="523"/>
      <c r="D474" s="426"/>
      <c r="E474" s="426"/>
      <c r="F474" s="440"/>
      <c r="G474" s="581"/>
      <c r="H474" s="289"/>
      <c r="I474" s="582"/>
      <c r="J474" s="581"/>
      <c r="K474" s="285"/>
    </row>
    <row r="475" spans="1:11" ht="14.25" customHeight="1" x14ac:dyDescent="0.25">
      <c r="A475" s="284"/>
      <c r="B475" s="529"/>
      <c r="C475" s="523"/>
      <c r="D475" s="426"/>
      <c r="E475" s="426"/>
      <c r="F475" s="440"/>
      <c r="G475" s="581"/>
      <c r="H475" s="289"/>
      <c r="I475" s="582"/>
      <c r="J475" s="581"/>
      <c r="K475" s="285"/>
    </row>
    <row r="476" spans="1:11" ht="14.25" customHeight="1" x14ac:dyDescent="0.25">
      <c r="A476" s="284"/>
      <c r="B476" s="529"/>
      <c r="C476" s="523"/>
      <c r="D476" s="426"/>
      <c r="E476" s="426"/>
      <c r="F476" s="440"/>
      <c r="G476" s="581"/>
      <c r="H476" s="289"/>
      <c r="I476" s="582"/>
      <c r="J476" s="581"/>
      <c r="K476" s="285"/>
    </row>
    <row r="477" spans="1:11" ht="14.25" customHeight="1" x14ac:dyDescent="0.25">
      <c r="A477" s="284"/>
      <c r="B477" s="529"/>
      <c r="C477" s="523"/>
      <c r="D477" s="426"/>
      <c r="E477" s="426"/>
      <c r="F477" s="440"/>
      <c r="G477" s="581"/>
      <c r="H477" s="289"/>
      <c r="I477" s="582"/>
      <c r="J477" s="581"/>
      <c r="K477" s="285"/>
    </row>
    <row r="478" spans="1:11" ht="14.25" customHeight="1" x14ac:dyDescent="0.25">
      <c r="A478" s="284"/>
      <c r="B478" s="529"/>
      <c r="C478" s="523"/>
      <c r="D478" s="426"/>
      <c r="E478" s="426"/>
      <c r="F478" s="440"/>
      <c r="G478" s="581"/>
      <c r="H478" s="289"/>
      <c r="I478" s="582"/>
      <c r="J478" s="581"/>
      <c r="K478" s="285"/>
    </row>
    <row r="479" spans="1:11" ht="14.25" customHeight="1" x14ac:dyDescent="0.25">
      <c r="A479" s="284"/>
      <c r="B479" s="529"/>
      <c r="C479" s="523"/>
      <c r="D479" s="426"/>
      <c r="E479" s="426"/>
      <c r="F479" s="440"/>
      <c r="G479" s="581"/>
      <c r="H479" s="289"/>
      <c r="I479" s="582"/>
      <c r="J479" s="581"/>
      <c r="K479" s="285"/>
    </row>
    <row r="480" spans="1:11" ht="14.25" customHeight="1" thickBot="1" x14ac:dyDescent="0.3">
      <c r="A480" s="284"/>
      <c r="B480" s="532"/>
      <c r="C480" s="533"/>
      <c r="D480" s="534"/>
      <c r="E480" s="534"/>
      <c r="F480" s="535"/>
      <c r="G480" s="538"/>
      <c r="H480" s="289"/>
      <c r="I480" s="541"/>
      <c r="J480" s="538"/>
      <c r="K480" s="285"/>
    </row>
    <row r="481" spans="1:11" ht="14.25" customHeight="1" x14ac:dyDescent="0.25">
      <c r="A481" s="289"/>
      <c r="F481" s="251"/>
      <c r="G481" s="251"/>
      <c r="H481" s="289"/>
      <c r="J481" s="251"/>
      <c r="K481" s="289"/>
    </row>
    <row r="482" spans="1:11" ht="14.25" customHeight="1" x14ac:dyDescent="0.25">
      <c r="A482" s="289"/>
      <c r="F482" s="251"/>
      <c r="G482" s="251"/>
      <c r="H482" s="289"/>
      <c r="J482" s="251"/>
      <c r="K482" s="289"/>
    </row>
    <row r="483" spans="1:11" ht="14.25" customHeight="1" x14ac:dyDescent="0.25">
      <c r="A483" s="289"/>
      <c r="F483" s="251"/>
      <c r="G483" s="251"/>
      <c r="H483" s="289"/>
      <c r="J483" s="251"/>
      <c r="K483" s="289"/>
    </row>
    <row r="484" spans="1:11" ht="14.25" customHeight="1" x14ac:dyDescent="0.25">
      <c r="A484" s="289"/>
      <c r="F484" s="251"/>
      <c r="G484" s="251"/>
      <c r="H484" s="289"/>
      <c r="J484" s="251"/>
      <c r="K484" s="289"/>
    </row>
    <row r="485" spans="1:11" ht="14.25" customHeight="1" x14ac:dyDescent="0.25">
      <c r="A485" s="289"/>
      <c r="F485" s="251"/>
      <c r="G485" s="251"/>
      <c r="H485" s="289"/>
      <c r="J485" s="251"/>
      <c r="K485" s="289"/>
    </row>
    <row r="486" spans="1:11" ht="14.25" customHeight="1" x14ac:dyDescent="0.25">
      <c r="A486" s="289"/>
      <c r="F486" s="251"/>
      <c r="G486" s="251"/>
      <c r="H486" s="289"/>
      <c r="J486" s="251"/>
      <c r="K486" s="289"/>
    </row>
    <row r="487" spans="1:11" ht="14.25" customHeight="1" x14ac:dyDescent="0.25">
      <c r="A487" s="289"/>
      <c r="F487" s="251"/>
      <c r="G487" s="251"/>
      <c r="H487" s="289"/>
      <c r="J487" s="251"/>
      <c r="K487" s="289"/>
    </row>
    <row r="488" spans="1:11" ht="14.25" customHeight="1" x14ac:dyDescent="0.25">
      <c r="A488" s="289"/>
      <c r="F488" s="251"/>
      <c r="G488" s="251"/>
      <c r="H488" s="289"/>
      <c r="J488" s="251"/>
      <c r="K488" s="289"/>
    </row>
    <row r="489" spans="1:11" ht="14.25" customHeight="1" x14ac:dyDescent="0.25">
      <c r="A489" s="289"/>
      <c r="F489" s="251"/>
      <c r="G489" s="251"/>
      <c r="H489" s="289"/>
      <c r="J489" s="251"/>
      <c r="K489" s="289"/>
    </row>
    <row r="490" spans="1:11" ht="14.25" customHeight="1" x14ac:dyDescent="0.25">
      <c r="A490" s="289"/>
      <c r="F490" s="251"/>
      <c r="G490" s="251"/>
      <c r="H490" s="289"/>
      <c r="J490" s="251"/>
      <c r="K490" s="289"/>
    </row>
    <row r="491" spans="1:11" ht="14.25" customHeight="1" x14ac:dyDescent="0.25">
      <c r="A491" s="289"/>
      <c r="F491" s="251"/>
      <c r="G491" s="251"/>
      <c r="H491" s="289"/>
      <c r="J491" s="251"/>
      <c r="K491" s="289"/>
    </row>
    <row r="492" spans="1:11" ht="14.25" customHeight="1" x14ac:dyDescent="0.25">
      <c r="A492" s="289"/>
      <c r="F492" s="251"/>
      <c r="G492" s="251"/>
      <c r="H492" s="289"/>
      <c r="J492" s="251"/>
      <c r="K492" s="289"/>
    </row>
    <row r="493" spans="1:11" ht="14.25" customHeight="1" x14ac:dyDescent="0.25">
      <c r="A493" s="289"/>
      <c r="F493" s="251"/>
      <c r="G493" s="251"/>
      <c r="H493" s="289"/>
      <c r="J493" s="251"/>
      <c r="K493" s="289"/>
    </row>
    <row r="494" spans="1:11" ht="14.25" customHeight="1" x14ac:dyDescent="0.25">
      <c r="A494" s="289"/>
      <c r="F494" s="251"/>
      <c r="G494" s="251"/>
      <c r="H494" s="289"/>
      <c r="J494" s="251"/>
      <c r="K494" s="289"/>
    </row>
    <row r="495" spans="1:11" ht="14.25" customHeight="1" x14ac:dyDescent="0.25">
      <c r="A495" s="289"/>
      <c r="F495" s="251"/>
      <c r="G495" s="251"/>
      <c r="H495" s="289"/>
      <c r="J495" s="251"/>
      <c r="K495" s="289"/>
    </row>
    <row r="496" spans="1:11" ht="14.25" customHeight="1" x14ac:dyDescent="0.25">
      <c r="A496" s="289"/>
      <c r="F496" s="251"/>
      <c r="G496" s="251"/>
      <c r="H496" s="289"/>
      <c r="J496" s="251"/>
      <c r="K496" s="289"/>
    </row>
    <row r="497" spans="1:11" ht="14.25" customHeight="1" x14ac:dyDescent="0.25">
      <c r="A497" s="289"/>
      <c r="F497" s="251"/>
      <c r="G497" s="251"/>
      <c r="H497" s="289"/>
      <c r="J497" s="251"/>
      <c r="K497" s="289"/>
    </row>
    <row r="498" spans="1:11" ht="14.25" customHeight="1" x14ac:dyDescent="0.25">
      <c r="A498" s="289"/>
      <c r="F498" s="251"/>
      <c r="G498" s="251"/>
      <c r="H498" s="289"/>
      <c r="J498" s="251"/>
      <c r="K498" s="289"/>
    </row>
    <row r="499" spans="1:11" ht="14.25" customHeight="1" x14ac:dyDescent="0.25">
      <c r="A499" s="289"/>
      <c r="F499" s="251"/>
      <c r="G499" s="251"/>
      <c r="H499" s="289"/>
      <c r="J499" s="251"/>
      <c r="K499" s="289"/>
    </row>
    <row r="500" spans="1:11" ht="14.25" customHeight="1" x14ac:dyDescent="0.25">
      <c r="A500" s="289"/>
      <c r="F500" s="251"/>
      <c r="G500" s="251"/>
      <c r="H500" s="289"/>
      <c r="J500" s="251"/>
      <c r="K500" s="289"/>
    </row>
    <row r="501" spans="1:11" ht="14.25" customHeight="1" x14ac:dyDescent="0.25">
      <c r="A501" s="289"/>
      <c r="F501" s="251"/>
      <c r="G501" s="251"/>
      <c r="H501" s="289"/>
      <c r="J501" s="251"/>
      <c r="K501" s="289"/>
    </row>
    <row r="502" spans="1:11" ht="14.25" customHeight="1" x14ac:dyDescent="0.25">
      <c r="A502" s="289"/>
      <c r="F502" s="251"/>
      <c r="G502" s="251"/>
      <c r="H502" s="289"/>
      <c r="J502" s="251"/>
      <c r="K502" s="289"/>
    </row>
    <row r="503" spans="1:11" ht="14.25" customHeight="1" x14ac:dyDescent="0.25">
      <c r="A503" s="289"/>
      <c r="F503" s="251"/>
      <c r="G503" s="251"/>
      <c r="H503" s="289"/>
      <c r="J503" s="251"/>
      <c r="K503" s="289"/>
    </row>
    <row r="504" spans="1:11" ht="14.25" customHeight="1" x14ac:dyDescent="0.25">
      <c r="A504" s="289"/>
      <c r="F504" s="251"/>
      <c r="G504" s="251"/>
      <c r="H504" s="289"/>
      <c r="J504" s="251"/>
      <c r="K504" s="289"/>
    </row>
    <row r="505" spans="1:11" ht="14.25" customHeight="1" x14ac:dyDescent="0.25">
      <c r="A505" s="289"/>
      <c r="F505" s="251"/>
      <c r="G505" s="251"/>
      <c r="H505" s="289"/>
      <c r="J505" s="251"/>
      <c r="K505" s="289"/>
    </row>
    <row r="506" spans="1:11" ht="14.25" customHeight="1" x14ac:dyDescent="0.25">
      <c r="A506" s="289"/>
      <c r="F506" s="251"/>
      <c r="G506" s="251"/>
      <c r="H506" s="289"/>
      <c r="J506" s="251"/>
      <c r="K506" s="289"/>
    </row>
    <row r="507" spans="1:11" ht="14.25" customHeight="1" x14ac:dyDescent="0.25">
      <c r="A507" s="289"/>
      <c r="F507" s="251"/>
      <c r="G507" s="251"/>
      <c r="H507" s="289"/>
      <c r="J507" s="251"/>
      <c r="K507" s="289"/>
    </row>
    <row r="508" spans="1:11" ht="14.25" customHeight="1" x14ac:dyDescent="0.25">
      <c r="A508" s="289"/>
      <c r="F508" s="251"/>
      <c r="G508" s="251"/>
      <c r="H508" s="289"/>
      <c r="J508" s="251"/>
      <c r="K508" s="289"/>
    </row>
    <row r="509" spans="1:11" ht="14.25" customHeight="1" x14ac:dyDescent="0.25">
      <c r="A509" s="289"/>
      <c r="F509" s="251"/>
      <c r="G509" s="251"/>
      <c r="H509" s="289"/>
      <c r="J509" s="251"/>
      <c r="K509" s="289"/>
    </row>
    <row r="510" spans="1:11" ht="14.25" customHeight="1" x14ac:dyDescent="0.25">
      <c r="A510" s="289"/>
      <c r="F510" s="251"/>
      <c r="G510" s="251"/>
      <c r="H510" s="289"/>
      <c r="J510" s="251"/>
      <c r="K510" s="289"/>
    </row>
    <row r="511" spans="1:11" ht="14.25" customHeight="1" x14ac:dyDescent="0.25">
      <c r="A511" s="289"/>
      <c r="F511" s="251"/>
      <c r="G511" s="251"/>
      <c r="H511" s="289"/>
      <c r="J511" s="251"/>
      <c r="K511" s="289"/>
    </row>
    <row r="512" spans="1:11" ht="14.25" customHeight="1" x14ac:dyDescent="0.25">
      <c r="A512" s="289"/>
      <c r="F512" s="251"/>
      <c r="G512" s="251"/>
      <c r="H512" s="289"/>
      <c r="J512" s="251"/>
      <c r="K512" s="289"/>
    </row>
    <row r="513" spans="1:11" ht="14.25" customHeight="1" x14ac:dyDescent="0.25">
      <c r="A513" s="289"/>
      <c r="F513" s="251"/>
      <c r="G513" s="251"/>
      <c r="H513" s="289"/>
      <c r="J513" s="251"/>
      <c r="K513" s="289"/>
    </row>
    <row r="514" spans="1:11" ht="14.25" customHeight="1" x14ac:dyDescent="0.25">
      <c r="A514" s="289"/>
      <c r="F514" s="251"/>
      <c r="G514" s="251"/>
      <c r="H514" s="289"/>
      <c r="J514" s="251"/>
      <c r="K514" s="289"/>
    </row>
    <row r="515" spans="1:11" ht="14.25" customHeight="1" x14ac:dyDescent="0.25">
      <c r="A515" s="289"/>
      <c r="F515" s="251"/>
      <c r="G515" s="251"/>
      <c r="H515" s="289"/>
      <c r="J515" s="251"/>
      <c r="K515" s="289"/>
    </row>
    <row r="516" spans="1:11" ht="14.25" customHeight="1" x14ac:dyDescent="0.25">
      <c r="A516" s="289"/>
      <c r="F516" s="251"/>
      <c r="G516" s="251"/>
      <c r="H516" s="289"/>
      <c r="J516" s="251"/>
      <c r="K516" s="289"/>
    </row>
    <row r="517" spans="1:11" ht="14.25" customHeight="1" x14ac:dyDescent="0.25">
      <c r="A517" s="289"/>
      <c r="F517" s="251"/>
      <c r="G517" s="251"/>
      <c r="H517" s="289"/>
      <c r="J517" s="251"/>
      <c r="K517" s="289"/>
    </row>
    <row r="518" spans="1:11" ht="14.25" customHeight="1" x14ac:dyDescent="0.25">
      <c r="A518" s="289"/>
      <c r="F518" s="251"/>
      <c r="G518" s="251"/>
      <c r="H518" s="289"/>
      <c r="J518" s="251"/>
      <c r="K518" s="289"/>
    </row>
    <row r="519" spans="1:11" ht="14.25" customHeight="1" x14ac:dyDescent="0.25">
      <c r="A519" s="289"/>
      <c r="F519" s="251"/>
      <c r="G519" s="251"/>
      <c r="H519" s="289"/>
      <c r="J519" s="251"/>
      <c r="K519" s="289"/>
    </row>
    <row r="520" spans="1:11" ht="14.25" customHeight="1" x14ac:dyDescent="0.25">
      <c r="A520" s="289"/>
      <c r="F520" s="251"/>
      <c r="G520" s="251"/>
      <c r="H520" s="289"/>
      <c r="J520" s="251"/>
      <c r="K520" s="289"/>
    </row>
    <row r="521" spans="1:11" ht="14.25" customHeight="1" x14ac:dyDescent="0.25">
      <c r="A521" s="289"/>
      <c r="F521" s="251"/>
      <c r="G521" s="251"/>
      <c r="H521" s="289"/>
      <c r="J521" s="251"/>
      <c r="K521" s="289"/>
    </row>
    <row r="522" spans="1:11" ht="14.25" customHeight="1" x14ac:dyDescent="0.25">
      <c r="A522" s="289"/>
      <c r="F522" s="251"/>
      <c r="G522" s="251"/>
      <c r="H522" s="289"/>
      <c r="J522" s="251"/>
      <c r="K522" s="289"/>
    </row>
    <row r="523" spans="1:11" ht="14.25" customHeight="1" x14ac:dyDescent="0.25">
      <c r="A523" s="289"/>
      <c r="F523" s="251"/>
      <c r="G523" s="251"/>
      <c r="H523" s="289"/>
      <c r="J523" s="251"/>
      <c r="K523" s="289"/>
    </row>
    <row r="524" spans="1:11" ht="14.25" customHeight="1" x14ac:dyDescent="0.25">
      <c r="A524" s="289"/>
      <c r="F524" s="251"/>
      <c r="G524" s="251"/>
      <c r="H524" s="289"/>
      <c r="J524" s="251"/>
      <c r="K524" s="289"/>
    </row>
    <row r="525" spans="1:11" ht="14.25" customHeight="1" x14ac:dyDescent="0.25">
      <c r="A525" s="289"/>
      <c r="F525" s="251"/>
      <c r="G525" s="251"/>
      <c r="H525" s="289"/>
      <c r="J525" s="251"/>
      <c r="K525" s="289"/>
    </row>
    <row r="526" spans="1:11" ht="14.25" customHeight="1" x14ac:dyDescent="0.25">
      <c r="A526" s="289"/>
      <c r="F526" s="251"/>
      <c r="G526" s="251"/>
      <c r="H526" s="289"/>
      <c r="J526" s="251"/>
      <c r="K526" s="289"/>
    </row>
    <row r="527" spans="1:11" ht="14.25" customHeight="1" x14ac:dyDescent="0.25">
      <c r="A527" s="289"/>
      <c r="F527" s="251"/>
      <c r="G527" s="251"/>
      <c r="H527" s="289"/>
      <c r="J527" s="251"/>
      <c r="K527" s="289"/>
    </row>
    <row r="528" spans="1:11" ht="14.25" customHeight="1" x14ac:dyDescent="0.25">
      <c r="A528" s="289"/>
      <c r="F528" s="251"/>
      <c r="G528" s="251"/>
      <c r="H528" s="289"/>
      <c r="J528" s="251"/>
      <c r="K528" s="289"/>
    </row>
    <row r="529" spans="1:11" ht="14.25" customHeight="1" x14ac:dyDescent="0.25">
      <c r="A529" s="289"/>
      <c r="F529" s="251"/>
      <c r="G529" s="251"/>
      <c r="H529" s="289"/>
      <c r="J529" s="251"/>
      <c r="K529" s="289"/>
    </row>
    <row r="530" spans="1:11" ht="14.25" customHeight="1" x14ac:dyDescent="0.25">
      <c r="A530" s="289"/>
      <c r="F530" s="251"/>
      <c r="G530" s="251"/>
      <c r="H530" s="289"/>
      <c r="J530" s="251"/>
      <c r="K530" s="289"/>
    </row>
    <row r="531" spans="1:11" ht="14.25" customHeight="1" x14ac:dyDescent="0.25">
      <c r="A531" s="289"/>
      <c r="F531" s="251"/>
      <c r="G531" s="251"/>
      <c r="H531" s="289"/>
      <c r="J531" s="251"/>
      <c r="K531" s="289"/>
    </row>
    <row r="532" spans="1:11" ht="14.25" customHeight="1" x14ac:dyDescent="0.25">
      <c r="A532" s="289"/>
      <c r="F532" s="251"/>
      <c r="G532" s="251"/>
      <c r="H532" s="289"/>
      <c r="J532" s="251"/>
      <c r="K532" s="289"/>
    </row>
    <row r="533" spans="1:11" ht="14.25" customHeight="1" x14ac:dyDescent="0.25">
      <c r="A533" s="289"/>
      <c r="F533" s="251"/>
      <c r="G533" s="251"/>
      <c r="H533" s="289"/>
      <c r="J533" s="251"/>
      <c r="K533" s="289"/>
    </row>
    <row r="534" spans="1:11" ht="14.25" customHeight="1" x14ac:dyDescent="0.25">
      <c r="A534" s="289"/>
      <c r="F534" s="251"/>
      <c r="G534" s="251"/>
      <c r="H534" s="289"/>
      <c r="J534" s="251"/>
      <c r="K534" s="289"/>
    </row>
    <row r="535" spans="1:11" ht="14.25" customHeight="1" x14ac:dyDescent="0.25">
      <c r="A535" s="289"/>
      <c r="F535" s="251"/>
      <c r="G535" s="251"/>
      <c r="H535" s="289"/>
      <c r="J535" s="251"/>
      <c r="K535" s="289"/>
    </row>
    <row r="536" spans="1:11" ht="14.25" customHeight="1" x14ac:dyDescent="0.25">
      <c r="A536" s="289"/>
      <c r="F536" s="251"/>
      <c r="G536" s="251"/>
      <c r="H536" s="289"/>
      <c r="J536" s="251"/>
      <c r="K536" s="289"/>
    </row>
    <row r="537" spans="1:11" ht="14.25" customHeight="1" x14ac:dyDescent="0.25">
      <c r="A537" s="289"/>
      <c r="F537" s="251"/>
      <c r="G537" s="251"/>
      <c r="H537" s="289"/>
      <c r="J537" s="251"/>
      <c r="K537" s="289"/>
    </row>
    <row r="538" spans="1:11" ht="14.25" customHeight="1" x14ac:dyDescent="0.25">
      <c r="A538" s="289"/>
      <c r="F538" s="251"/>
      <c r="G538" s="251"/>
      <c r="H538" s="289"/>
      <c r="J538" s="251"/>
      <c r="K538" s="289"/>
    </row>
    <row r="539" spans="1:11" ht="14.25" customHeight="1" x14ac:dyDescent="0.25">
      <c r="A539" s="289"/>
      <c r="F539" s="251"/>
      <c r="G539" s="251"/>
      <c r="H539" s="289"/>
      <c r="J539" s="251"/>
      <c r="K539" s="289"/>
    </row>
    <row r="540" spans="1:11" ht="14.25" customHeight="1" x14ac:dyDescent="0.25">
      <c r="A540" s="289"/>
      <c r="F540" s="251"/>
      <c r="G540" s="251"/>
      <c r="H540" s="289"/>
      <c r="J540" s="251"/>
      <c r="K540" s="289"/>
    </row>
    <row r="541" spans="1:11" ht="14.25" customHeight="1" x14ac:dyDescent="0.25">
      <c r="A541" s="289"/>
      <c r="F541" s="251"/>
      <c r="G541" s="251"/>
      <c r="H541" s="289"/>
      <c r="J541" s="251"/>
      <c r="K541" s="289"/>
    </row>
    <row r="542" spans="1:11" ht="14.25" customHeight="1" x14ac:dyDescent="0.25">
      <c r="A542" s="289"/>
      <c r="F542" s="251"/>
      <c r="G542" s="251"/>
      <c r="H542" s="289"/>
      <c r="J542" s="251"/>
      <c r="K542" s="289"/>
    </row>
    <row r="543" spans="1:11" ht="14.25" customHeight="1" x14ac:dyDescent="0.25">
      <c r="A543" s="289"/>
      <c r="F543" s="251"/>
      <c r="G543" s="251"/>
      <c r="H543" s="289"/>
      <c r="J543" s="251"/>
      <c r="K543" s="289"/>
    </row>
    <row r="544" spans="1:11" ht="14.25" customHeight="1" x14ac:dyDescent="0.25">
      <c r="A544" s="289"/>
      <c r="F544" s="251"/>
      <c r="G544" s="251"/>
      <c r="H544" s="289"/>
      <c r="J544" s="251"/>
      <c r="K544" s="289"/>
    </row>
    <row r="545" spans="1:11" ht="14.25" customHeight="1" x14ac:dyDescent="0.25">
      <c r="A545" s="289"/>
      <c r="F545" s="251"/>
      <c r="G545" s="251"/>
      <c r="H545" s="289"/>
      <c r="J545" s="251"/>
      <c r="K545" s="289"/>
    </row>
    <row r="546" spans="1:11" ht="14.25" customHeight="1" x14ac:dyDescent="0.25">
      <c r="A546" s="289"/>
      <c r="F546" s="251"/>
      <c r="G546" s="251"/>
      <c r="H546" s="289"/>
      <c r="J546" s="251"/>
      <c r="K546" s="289"/>
    </row>
    <row r="547" spans="1:11" ht="14.25" customHeight="1" x14ac:dyDescent="0.25">
      <c r="A547" s="289"/>
      <c r="F547" s="251"/>
      <c r="G547" s="251"/>
      <c r="H547" s="289"/>
      <c r="J547" s="251"/>
      <c r="K547" s="289"/>
    </row>
    <row r="548" spans="1:11" ht="14.25" customHeight="1" x14ac:dyDescent="0.25">
      <c r="A548" s="289"/>
      <c r="F548" s="251"/>
      <c r="G548" s="251"/>
      <c r="H548" s="289"/>
      <c r="J548" s="251"/>
      <c r="K548" s="289"/>
    </row>
    <row r="549" spans="1:11" ht="14.25" customHeight="1" x14ac:dyDescent="0.25">
      <c r="A549" s="289"/>
      <c r="F549" s="251"/>
      <c r="G549" s="251"/>
      <c r="H549" s="289"/>
      <c r="J549" s="251"/>
      <c r="K549" s="289"/>
    </row>
    <row r="550" spans="1:11" ht="14.25" customHeight="1" x14ac:dyDescent="0.25">
      <c r="A550" s="289"/>
      <c r="F550" s="251"/>
      <c r="G550" s="251"/>
      <c r="H550" s="289"/>
      <c r="J550" s="251"/>
      <c r="K550" s="289"/>
    </row>
    <row r="551" spans="1:11" ht="14.25" customHeight="1" x14ac:dyDescent="0.25">
      <c r="A551" s="289"/>
      <c r="F551" s="251"/>
      <c r="G551" s="251"/>
      <c r="H551" s="289"/>
      <c r="J551" s="251"/>
      <c r="K551" s="289"/>
    </row>
    <row r="552" spans="1:11" ht="14.25" customHeight="1" x14ac:dyDescent="0.25">
      <c r="A552" s="289"/>
      <c r="F552" s="251"/>
      <c r="G552" s="251"/>
      <c r="H552" s="289"/>
      <c r="J552" s="251"/>
      <c r="K552" s="289"/>
    </row>
    <row r="553" spans="1:11" ht="14.25" customHeight="1" x14ac:dyDescent="0.25">
      <c r="A553" s="289"/>
      <c r="F553" s="251"/>
      <c r="G553" s="251"/>
      <c r="H553" s="289"/>
      <c r="J553" s="251"/>
      <c r="K553" s="289"/>
    </row>
    <row r="554" spans="1:11" ht="14.25" customHeight="1" x14ac:dyDescent="0.25">
      <c r="A554" s="289"/>
      <c r="F554" s="251"/>
      <c r="G554" s="251"/>
      <c r="H554" s="289"/>
      <c r="J554" s="251"/>
      <c r="K554" s="289"/>
    </row>
    <row r="555" spans="1:11" ht="14.25" customHeight="1" x14ac:dyDescent="0.25">
      <c r="A555" s="289"/>
      <c r="F555" s="251"/>
      <c r="G555" s="251"/>
      <c r="H555" s="289"/>
      <c r="J555" s="251"/>
      <c r="K555" s="289"/>
    </row>
    <row r="556" spans="1:11" ht="14.25" customHeight="1" x14ac:dyDescent="0.25">
      <c r="A556" s="289"/>
      <c r="F556" s="251"/>
      <c r="G556" s="251"/>
      <c r="H556" s="289"/>
      <c r="J556" s="251"/>
      <c r="K556" s="289"/>
    </row>
    <row r="557" spans="1:11" ht="14.25" customHeight="1" x14ac:dyDescent="0.25">
      <c r="A557" s="289"/>
      <c r="F557" s="251"/>
      <c r="G557" s="251"/>
      <c r="H557" s="289"/>
      <c r="J557" s="251"/>
      <c r="K557" s="289"/>
    </row>
    <row r="558" spans="1:11" ht="14.25" customHeight="1" x14ac:dyDescent="0.25">
      <c r="A558" s="289"/>
      <c r="F558" s="251"/>
      <c r="G558" s="251"/>
      <c r="H558" s="289"/>
      <c r="J558" s="251"/>
      <c r="K558" s="289"/>
    </row>
    <row r="559" spans="1:11" ht="14.25" customHeight="1" x14ac:dyDescent="0.25">
      <c r="A559" s="289"/>
      <c r="F559" s="251"/>
      <c r="G559" s="251"/>
      <c r="H559" s="289"/>
      <c r="J559" s="251"/>
      <c r="K559" s="289"/>
    </row>
    <row r="560" spans="1:11" ht="14.25" customHeight="1" x14ac:dyDescent="0.25">
      <c r="A560" s="289"/>
      <c r="F560" s="251"/>
      <c r="G560" s="251"/>
      <c r="H560" s="289"/>
      <c r="J560" s="251"/>
      <c r="K560" s="289"/>
    </row>
    <row r="561" spans="1:11" ht="14.25" customHeight="1" x14ac:dyDescent="0.25">
      <c r="A561" s="289"/>
      <c r="F561" s="251"/>
      <c r="G561" s="251"/>
      <c r="H561" s="289"/>
      <c r="J561" s="251"/>
      <c r="K561" s="289"/>
    </row>
    <row r="562" spans="1:11" ht="14.25" customHeight="1" x14ac:dyDescent="0.25">
      <c r="A562" s="289"/>
      <c r="F562" s="251"/>
      <c r="G562" s="251"/>
      <c r="H562" s="289"/>
      <c r="J562" s="251"/>
      <c r="K562" s="289"/>
    </row>
    <row r="563" spans="1:11" ht="14.25" customHeight="1" x14ac:dyDescent="0.25">
      <c r="A563" s="289"/>
      <c r="F563" s="251"/>
      <c r="G563" s="251"/>
      <c r="H563" s="289"/>
      <c r="J563" s="251"/>
      <c r="K563" s="289"/>
    </row>
    <row r="564" spans="1:11" ht="14.25" customHeight="1" x14ac:dyDescent="0.25">
      <c r="A564" s="289"/>
      <c r="F564" s="251"/>
      <c r="G564" s="251"/>
      <c r="H564" s="289"/>
      <c r="J564" s="251"/>
      <c r="K564" s="289"/>
    </row>
    <row r="565" spans="1:11" ht="14.25" customHeight="1" x14ac:dyDescent="0.25">
      <c r="A565" s="289"/>
      <c r="F565" s="251"/>
      <c r="G565" s="251"/>
      <c r="H565" s="289"/>
      <c r="J565" s="251"/>
      <c r="K565" s="289"/>
    </row>
    <row r="566" spans="1:11" ht="14.25" customHeight="1" x14ac:dyDescent="0.25">
      <c r="A566" s="289"/>
      <c r="F566" s="251"/>
      <c r="G566" s="251"/>
      <c r="H566" s="289"/>
      <c r="J566" s="251"/>
      <c r="K566" s="289"/>
    </row>
    <row r="567" spans="1:11" ht="14.25" customHeight="1" x14ac:dyDescent="0.25">
      <c r="A567" s="289"/>
      <c r="F567" s="251"/>
      <c r="G567" s="251"/>
      <c r="H567" s="289"/>
      <c r="J567" s="251"/>
      <c r="K567" s="289"/>
    </row>
    <row r="568" spans="1:11" ht="14.25" customHeight="1" x14ac:dyDescent="0.25">
      <c r="A568" s="289"/>
      <c r="F568" s="251"/>
      <c r="G568" s="251"/>
      <c r="H568" s="289"/>
      <c r="J568" s="251"/>
      <c r="K568" s="289"/>
    </row>
    <row r="569" spans="1:11" ht="14.25" customHeight="1" x14ac:dyDescent="0.25">
      <c r="A569" s="289"/>
      <c r="F569" s="251"/>
      <c r="G569" s="251"/>
      <c r="H569" s="289"/>
      <c r="J569" s="251"/>
      <c r="K569" s="289"/>
    </row>
    <row r="570" spans="1:11" ht="14.25" customHeight="1" x14ac:dyDescent="0.25">
      <c r="A570" s="289"/>
      <c r="F570" s="251"/>
      <c r="G570" s="251"/>
      <c r="H570" s="289"/>
      <c r="J570" s="251"/>
      <c r="K570" s="289"/>
    </row>
    <row r="571" spans="1:11" ht="14.25" customHeight="1" x14ac:dyDescent="0.25">
      <c r="A571" s="289"/>
      <c r="F571" s="251"/>
      <c r="G571" s="251"/>
      <c r="H571" s="289"/>
      <c r="J571" s="251"/>
      <c r="K571" s="289"/>
    </row>
    <row r="572" spans="1:11" ht="14.25" customHeight="1" x14ac:dyDescent="0.25">
      <c r="A572" s="289"/>
      <c r="F572" s="251"/>
      <c r="G572" s="251"/>
      <c r="H572" s="289"/>
      <c r="J572" s="251"/>
      <c r="K572" s="289"/>
    </row>
    <row r="573" spans="1:11" ht="14.25" customHeight="1" x14ac:dyDescent="0.25">
      <c r="A573" s="289"/>
      <c r="F573" s="251"/>
      <c r="G573" s="251"/>
      <c r="H573" s="289"/>
      <c r="J573" s="251"/>
      <c r="K573" s="289"/>
    </row>
    <row r="574" spans="1:11" ht="14.25" customHeight="1" x14ac:dyDescent="0.25">
      <c r="A574" s="289"/>
      <c r="F574" s="251"/>
      <c r="G574" s="251"/>
      <c r="H574" s="289"/>
      <c r="J574" s="251"/>
      <c r="K574" s="289"/>
    </row>
    <row r="575" spans="1:11" ht="14.25" customHeight="1" x14ac:dyDescent="0.25">
      <c r="A575" s="289"/>
      <c r="F575" s="251"/>
      <c r="G575" s="251"/>
      <c r="H575" s="289"/>
      <c r="J575" s="251"/>
      <c r="K575" s="289"/>
    </row>
    <row r="576" spans="1:11" ht="14.25" customHeight="1" x14ac:dyDescent="0.25">
      <c r="A576" s="289"/>
      <c r="F576" s="251"/>
      <c r="G576" s="251"/>
      <c r="H576" s="289"/>
      <c r="J576" s="251"/>
      <c r="K576" s="289"/>
    </row>
    <row r="577" spans="1:11" ht="14.25" customHeight="1" x14ac:dyDescent="0.25">
      <c r="A577" s="289"/>
      <c r="F577" s="251"/>
      <c r="G577" s="251"/>
      <c r="H577" s="289"/>
      <c r="J577" s="251"/>
      <c r="K577" s="289"/>
    </row>
    <row r="578" spans="1:11" ht="14.25" customHeight="1" x14ac:dyDescent="0.25">
      <c r="A578" s="289"/>
      <c r="F578" s="251"/>
      <c r="G578" s="251"/>
      <c r="H578" s="289"/>
      <c r="J578" s="251"/>
      <c r="K578" s="289"/>
    </row>
    <row r="579" spans="1:11" ht="14.25" customHeight="1" x14ac:dyDescent="0.25">
      <c r="A579" s="289"/>
      <c r="F579" s="251"/>
      <c r="G579" s="251"/>
      <c r="H579" s="289"/>
      <c r="J579" s="251"/>
      <c r="K579" s="289"/>
    </row>
    <row r="580" spans="1:11" ht="14.25" customHeight="1" x14ac:dyDescent="0.25">
      <c r="A580" s="289"/>
      <c r="F580" s="251"/>
      <c r="G580" s="251"/>
      <c r="H580" s="289"/>
      <c r="J580" s="251"/>
      <c r="K580" s="289"/>
    </row>
    <row r="581" spans="1:11" ht="14.25" customHeight="1" x14ac:dyDescent="0.25">
      <c r="A581" s="289"/>
      <c r="F581" s="251"/>
      <c r="G581" s="251"/>
      <c r="H581" s="289"/>
      <c r="J581" s="251"/>
      <c r="K581" s="289"/>
    </row>
    <row r="582" spans="1:11" ht="14.25" customHeight="1" x14ac:dyDescent="0.25">
      <c r="A582" s="289"/>
      <c r="F582" s="251"/>
      <c r="G582" s="251"/>
      <c r="H582" s="289"/>
      <c r="J582" s="251"/>
      <c r="K582" s="289"/>
    </row>
    <row r="583" spans="1:11" ht="14.25" customHeight="1" x14ac:dyDescent="0.25">
      <c r="A583" s="289"/>
      <c r="F583" s="251"/>
      <c r="G583" s="251"/>
      <c r="H583" s="289"/>
      <c r="J583" s="251"/>
      <c r="K583" s="289"/>
    </row>
    <row r="584" spans="1:11" ht="14.25" customHeight="1" x14ac:dyDescent="0.25">
      <c r="A584" s="289"/>
      <c r="F584" s="251"/>
      <c r="G584" s="251"/>
      <c r="H584" s="289"/>
      <c r="J584" s="251"/>
      <c r="K584" s="289"/>
    </row>
    <row r="585" spans="1:11" ht="14.25" customHeight="1" x14ac:dyDescent="0.25">
      <c r="A585" s="289"/>
      <c r="F585" s="251"/>
      <c r="G585" s="251"/>
      <c r="H585" s="289"/>
      <c r="J585" s="251"/>
      <c r="K585" s="289"/>
    </row>
    <row r="586" spans="1:11" ht="14.25" customHeight="1" x14ac:dyDescent="0.25">
      <c r="A586" s="289"/>
      <c r="F586" s="251"/>
      <c r="G586" s="251"/>
      <c r="H586" s="289"/>
      <c r="J586" s="251"/>
      <c r="K586" s="289"/>
    </row>
    <row r="587" spans="1:11" ht="14.25" customHeight="1" x14ac:dyDescent="0.25">
      <c r="A587" s="289"/>
      <c r="F587" s="251"/>
      <c r="G587" s="251"/>
      <c r="H587" s="289"/>
      <c r="J587" s="251"/>
      <c r="K587" s="289"/>
    </row>
    <row r="588" spans="1:11" ht="14.25" customHeight="1" x14ac:dyDescent="0.25">
      <c r="A588" s="289"/>
      <c r="F588" s="251"/>
      <c r="G588" s="251"/>
      <c r="H588" s="289"/>
      <c r="J588" s="251"/>
      <c r="K588" s="289"/>
    </row>
    <row r="589" spans="1:11" ht="14.25" customHeight="1" x14ac:dyDescent="0.25">
      <c r="A589" s="289"/>
      <c r="F589" s="251"/>
      <c r="G589" s="251"/>
      <c r="H589" s="289"/>
      <c r="J589" s="251"/>
      <c r="K589" s="289"/>
    </row>
    <row r="590" spans="1:11" ht="14.25" customHeight="1" x14ac:dyDescent="0.25">
      <c r="A590" s="289"/>
      <c r="F590" s="251"/>
      <c r="G590" s="251"/>
      <c r="H590" s="289"/>
      <c r="J590" s="251"/>
      <c r="K590" s="289"/>
    </row>
    <row r="591" spans="1:11" ht="14.25" customHeight="1" x14ac:dyDescent="0.25">
      <c r="A591" s="289"/>
      <c r="F591" s="251"/>
      <c r="G591" s="251"/>
      <c r="H591" s="289"/>
      <c r="J591" s="251"/>
      <c r="K591" s="289"/>
    </row>
    <row r="592" spans="1:11" ht="14.25" customHeight="1" x14ac:dyDescent="0.25">
      <c r="A592" s="289"/>
      <c r="F592" s="251"/>
      <c r="G592" s="251"/>
      <c r="H592" s="289"/>
      <c r="J592" s="251"/>
      <c r="K592" s="289"/>
    </row>
    <row r="593" spans="1:11" ht="14.25" customHeight="1" x14ac:dyDescent="0.25">
      <c r="A593" s="289"/>
      <c r="F593" s="251"/>
      <c r="G593" s="251"/>
      <c r="H593" s="289"/>
      <c r="J593" s="251"/>
      <c r="K593" s="289"/>
    </row>
    <row r="594" spans="1:11" ht="14.25" customHeight="1" x14ac:dyDescent="0.25">
      <c r="A594" s="289"/>
      <c r="F594" s="251"/>
      <c r="G594" s="251"/>
      <c r="H594" s="289"/>
      <c r="J594" s="251"/>
      <c r="K594" s="289"/>
    </row>
    <row r="595" spans="1:11" ht="14.25" customHeight="1" x14ac:dyDescent="0.25">
      <c r="A595" s="289"/>
      <c r="F595" s="251"/>
      <c r="G595" s="251"/>
      <c r="H595" s="289"/>
      <c r="J595" s="251"/>
      <c r="K595" s="289"/>
    </row>
    <row r="596" spans="1:11" ht="14.25" customHeight="1" x14ac:dyDescent="0.25">
      <c r="A596" s="289"/>
      <c r="F596" s="251"/>
      <c r="G596" s="251"/>
      <c r="H596" s="289"/>
      <c r="J596" s="251"/>
      <c r="K596" s="289"/>
    </row>
    <row r="597" spans="1:11" ht="14.25" customHeight="1" x14ac:dyDescent="0.25">
      <c r="A597" s="289"/>
      <c r="F597" s="251"/>
      <c r="G597" s="251"/>
      <c r="H597" s="289"/>
      <c r="J597" s="251"/>
      <c r="K597" s="289"/>
    </row>
    <row r="598" spans="1:11" ht="14.25" customHeight="1" x14ac:dyDescent="0.25">
      <c r="A598" s="289"/>
      <c r="F598" s="251"/>
      <c r="G598" s="251"/>
      <c r="H598" s="289"/>
      <c r="J598" s="251"/>
      <c r="K598" s="289"/>
    </row>
    <row r="599" spans="1:11" ht="14.25" customHeight="1" x14ac:dyDescent="0.25">
      <c r="A599" s="289"/>
      <c r="F599" s="251"/>
      <c r="G599" s="251"/>
      <c r="H599" s="289"/>
      <c r="J599" s="251"/>
      <c r="K599" s="289"/>
    </row>
    <row r="600" spans="1:11" ht="14.25" customHeight="1" x14ac:dyDescent="0.25">
      <c r="A600" s="289"/>
      <c r="F600" s="251"/>
      <c r="G600" s="251"/>
      <c r="H600" s="289"/>
      <c r="J600" s="251"/>
      <c r="K600" s="289"/>
    </row>
    <row r="601" spans="1:11" ht="14.25" customHeight="1" x14ac:dyDescent="0.25">
      <c r="A601" s="289"/>
      <c r="F601" s="251"/>
      <c r="G601" s="251"/>
      <c r="H601" s="289"/>
      <c r="J601" s="251"/>
      <c r="K601" s="289"/>
    </row>
    <row r="602" spans="1:11" ht="14.25" customHeight="1" x14ac:dyDescent="0.25">
      <c r="A602" s="289"/>
      <c r="F602" s="251"/>
      <c r="G602" s="251"/>
      <c r="H602" s="289"/>
      <c r="J602" s="251"/>
      <c r="K602" s="289"/>
    </row>
    <row r="603" spans="1:11" ht="14.25" customHeight="1" x14ac:dyDescent="0.25">
      <c r="A603" s="289"/>
      <c r="F603" s="251"/>
      <c r="G603" s="251"/>
      <c r="H603" s="289"/>
      <c r="J603" s="251"/>
      <c r="K603" s="289"/>
    </row>
    <row r="604" spans="1:11" ht="14.25" customHeight="1" x14ac:dyDescent="0.25">
      <c r="A604" s="289"/>
      <c r="F604" s="251"/>
      <c r="G604" s="251"/>
      <c r="H604" s="289"/>
      <c r="J604" s="251"/>
      <c r="K604" s="289"/>
    </row>
    <row r="605" spans="1:11" ht="14.25" customHeight="1" x14ac:dyDescent="0.25">
      <c r="A605" s="289"/>
      <c r="F605" s="251"/>
      <c r="G605" s="251"/>
      <c r="H605" s="289"/>
      <c r="J605" s="251"/>
      <c r="K605" s="289"/>
    </row>
    <row r="606" spans="1:11" ht="14.25" customHeight="1" x14ac:dyDescent="0.25">
      <c r="A606" s="289"/>
      <c r="F606" s="251"/>
      <c r="G606" s="251"/>
      <c r="H606" s="289"/>
      <c r="J606" s="251"/>
      <c r="K606" s="289"/>
    </row>
    <row r="607" spans="1:11" ht="14.25" customHeight="1" x14ac:dyDescent="0.25">
      <c r="A607" s="289"/>
      <c r="F607" s="251"/>
      <c r="G607" s="251"/>
      <c r="H607" s="289"/>
      <c r="J607" s="251"/>
      <c r="K607" s="289"/>
    </row>
    <row r="608" spans="1:11" ht="14.25" customHeight="1" x14ac:dyDescent="0.25">
      <c r="A608" s="289"/>
      <c r="F608" s="251"/>
      <c r="G608" s="251"/>
      <c r="H608" s="289"/>
      <c r="J608" s="251"/>
      <c r="K608" s="289"/>
    </row>
    <row r="609" spans="1:11" ht="14.25" customHeight="1" x14ac:dyDescent="0.25">
      <c r="A609" s="289"/>
      <c r="F609" s="251"/>
      <c r="G609" s="251"/>
      <c r="H609" s="289"/>
      <c r="J609" s="251"/>
      <c r="K609" s="289"/>
    </row>
    <row r="610" spans="1:11" ht="14.25" customHeight="1" x14ac:dyDescent="0.25">
      <c r="A610" s="289"/>
      <c r="F610" s="251"/>
      <c r="G610" s="251"/>
      <c r="H610" s="289"/>
      <c r="J610" s="251"/>
      <c r="K610" s="289"/>
    </row>
    <row r="611" spans="1:11" ht="14.25" customHeight="1" x14ac:dyDescent="0.25">
      <c r="A611" s="289"/>
      <c r="F611" s="251"/>
      <c r="G611" s="251"/>
      <c r="H611" s="289"/>
      <c r="J611" s="251"/>
      <c r="K611" s="289"/>
    </row>
    <row r="612" spans="1:11" ht="14.25" customHeight="1" x14ac:dyDescent="0.25">
      <c r="A612" s="289"/>
      <c r="F612" s="251"/>
      <c r="G612" s="251"/>
      <c r="H612" s="289"/>
      <c r="J612" s="251"/>
      <c r="K612" s="289"/>
    </row>
    <row r="613" spans="1:11" ht="14.25" customHeight="1" x14ac:dyDescent="0.25">
      <c r="A613" s="289"/>
      <c r="F613" s="251"/>
      <c r="G613" s="251"/>
      <c r="H613" s="289"/>
      <c r="J613" s="251"/>
      <c r="K613" s="289"/>
    </row>
    <row r="614" spans="1:11" ht="14.25" customHeight="1" x14ac:dyDescent="0.25">
      <c r="A614" s="289"/>
      <c r="F614" s="251"/>
      <c r="G614" s="251"/>
      <c r="H614" s="289"/>
      <c r="J614" s="251"/>
      <c r="K614" s="289"/>
    </row>
    <row r="615" spans="1:11" ht="14.25" customHeight="1" x14ac:dyDescent="0.25">
      <c r="A615" s="289"/>
      <c r="F615" s="251"/>
      <c r="G615" s="251"/>
      <c r="H615" s="289"/>
      <c r="J615" s="251"/>
      <c r="K615" s="289"/>
    </row>
    <row r="616" spans="1:11" ht="14.25" customHeight="1" x14ac:dyDescent="0.25">
      <c r="A616" s="289"/>
      <c r="F616" s="251"/>
      <c r="G616" s="251"/>
      <c r="H616" s="289"/>
      <c r="J616" s="251"/>
      <c r="K616" s="289"/>
    </row>
    <row r="617" spans="1:11" ht="14.25" customHeight="1" x14ac:dyDescent="0.25">
      <c r="A617" s="289"/>
      <c r="F617" s="251"/>
      <c r="G617" s="251"/>
      <c r="H617" s="289"/>
      <c r="J617" s="251"/>
      <c r="K617" s="289"/>
    </row>
    <row r="618" spans="1:11" ht="14.25" customHeight="1" x14ac:dyDescent="0.25">
      <c r="A618" s="289"/>
      <c r="F618" s="251"/>
      <c r="G618" s="251"/>
      <c r="H618" s="289"/>
      <c r="J618" s="251"/>
      <c r="K618" s="289"/>
    </row>
    <row r="619" spans="1:11" ht="14.25" customHeight="1" x14ac:dyDescent="0.25">
      <c r="A619" s="289"/>
      <c r="F619" s="251"/>
      <c r="G619" s="251"/>
      <c r="H619" s="289"/>
      <c r="J619" s="251"/>
      <c r="K619" s="289"/>
    </row>
    <row r="620" spans="1:11" ht="14.25" customHeight="1" x14ac:dyDescent="0.25">
      <c r="A620" s="289"/>
      <c r="F620" s="251"/>
      <c r="G620" s="251"/>
      <c r="H620" s="289"/>
      <c r="J620" s="251"/>
      <c r="K620" s="289"/>
    </row>
    <row r="621" spans="1:11" ht="14.25" customHeight="1" x14ac:dyDescent="0.25">
      <c r="A621" s="289"/>
      <c r="F621" s="251"/>
      <c r="G621" s="251"/>
      <c r="H621" s="289"/>
      <c r="J621" s="251"/>
      <c r="K621" s="289"/>
    </row>
    <row r="622" spans="1:11" ht="14.25" customHeight="1" x14ac:dyDescent="0.25">
      <c r="A622" s="289"/>
      <c r="F622" s="251"/>
      <c r="G622" s="251"/>
      <c r="H622" s="289"/>
      <c r="J622" s="251"/>
      <c r="K622" s="289"/>
    </row>
    <row r="623" spans="1:11" ht="14.25" customHeight="1" x14ac:dyDescent="0.25">
      <c r="A623" s="289"/>
      <c r="F623" s="251"/>
      <c r="G623" s="251"/>
      <c r="H623" s="289"/>
      <c r="J623" s="251"/>
      <c r="K623" s="289"/>
    </row>
    <row r="624" spans="1:11" ht="14.25" customHeight="1" x14ac:dyDescent="0.25">
      <c r="A624" s="289"/>
      <c r="F624" s="251"/>
      <c r="G624" s="251"/>
      <c r="H624" s="289"/>
      <c r="J624" s="251"/>
      <c r="K624" s="289"/>
    </row>
    <row r="625" spans="1:11" ht="14.25" customHeight="1" x14ac:dyDescent="0.25">
      <c r="A625" s="289"/>
      <c r="F625" s="251"/>
      <c r="G625" s="251"/>
      <c r="H625" s="289"/>
      <c r="J625" s="251"/>
      <c r="K625" s="289"/>
    </row>
    <row r="626" spans="1:11" ht="14.25" customHeight="1" x14ac:dyDescent="0.25">
      <c r="A626" s="289"/>
      <c r="F626" s="251"/>
      <c r="G626" s="251"/>
      <c r="H626" s="289"/>
      <c r="J626" s="251"/>
      <c r="K626" s="289"/>
    </row>
    <row r="627" spans="1:11" ht="14.25" customHeight="1" x14ac:dyDescent="0.25">
      <c r="A627" s="289"/>
      <c r="F627" s="251"/>
      <c r="G627" s="251"/>
      <c r="H627" s="289"/>
      <c r="J627" s="251"/>
      <c r="K627" s="289"/>
    </row>
    <row r="628" spans="1:11" ht="14.25" customHeight="1" x14ac:dyDescent="0.25">
      <c r="A628" s="289"/>
      <c r="F628" s="251"/>
      <c r="G628" s="251"/>
      <c r="H628" s="289"/>
      <c r="J628" s="251"/>
      <c r="K628" s="289"/>
    </row>
    <row r="629" spans="1:11" ht="14.25" customHeight="1" x14ac:dyDescent="0.25">
      <c r="A629" s="289"/>
      <c r="F629" s="251"/>
      <c r="G629" s="251"/>
      <c r="H629" s="289"/>
      <c r="J629" s="251"/>
      <c r="K629" s="289"/>
    </row>
    <row r="630" spans="1:11" ht="14.25" customHeight="1" x14ac:dyDescent="0.25">
      <c r="A630" s="289"/>
      <c r="F630" s="251"/>
      <c r="G630" s="251"/>
      <c r="H630" s="289"/>
      <c r="J630" s="251"/>
      <c r="K630" s="289"/>
    </row>
    <row r="631" spans="1:11" ht="14.25" customHeight="1" x14ac:dyDescent="0.25">
      <c r="A631" s="289"/>
      <c r="F631" s="251"/>
      <c r="G631" s="251"/>
      <c r="H631" s="289"/>
      <c r="J631" s="251"/>
      <c r="K631" s="289"/>
    </row>
    <row r="632" spans="1:11" ht="14.25" customHeight="1" x14ac:dyDescent="0.25">
      <c r="A632" s="289"/>
      <c r="F632" s="251"/>
      <c r="G632" s="251"/>
      <c r="H632" s="289"/>
      <c r="J632" s="251"/>
      <c r="K632" s="289"/>
    </row>
    <row r="633" spans="1:11" ht="14.25" customHeight="1" x14ac:dyDescent="0.25">
      <c r="A633" s="289"/>
      <c r="F633" s="251"/>
      <c r="G633" s="251"/>
      <c r="H633" s="289"/>
      <c r="J633" s="251"/>
      <c r="K633" s="289"/>
    </row>
    <row r="634" spans="1:11" ht="14.25" customHeight="1" x14ac:dyDescent="0.25">
      <c r="A634" s="289"/>
      <c r="F634" s="251"/>
      <c r="G634" s="251"/>
      <c r="H634" s="289"/>
      <c r="J634" s="251"/>
      <c r="K634" s="289"/>
    </row>
    <row r="635" spans="1:11" ht="14.25" customHeight="1" x14ac:dyDescent="0.25">
      <c r="A635" s="289"/>
      <c r="F635" s="251"/>
      <c r="G635" s="251"/>
      <c r="H635" s="289"/>
      <c r="J635" s="251"/>
      <c r="K635" s="289"/>
    </row>
    <row r="636" spans="1:11" ht="14.25" customHeight="1" x14ac:dyDescent="0.25">
      <c r="A636" s="289"/>
      <c r="F636" s="251"/>
      <c r="G636" s="251"/>
      <c r="H636" s="289"/>
      <c r="J636" s="251"/>
      <c r="K636" s="289"/>
    </row>
    <row r="637" spans="1:11" ht="14.25" customHeight="1" x14ac:dyDescent="0.25">
      <c r="A637" s="289"/>
      <c r="F637" s="251"/>
      <c r="G637" s="251"/>
      <c r="H637" s="289"/>
      <c r="J637" s="251"/>
      <c r="K637" s="289"/>
    </row>
    <row r="638" spans="1:11" ht="14.25" customHeight="1" x14ac:dyDescent="0.25">
      <c r="A638" s="289"/>
      <c r="F638" s="251"/>
      <c r="G638" s="251"/>
      <c r="H638" s="289"/>
      <c r="J638" s="251"/>
      <c r="K638" s="289"/>
    </row>
    <row r="639" spans="1:11" ht="14.25" customHeight="1" x14ac:dyDescent="0.25">
      <c r="A639" s="289"/>
      <c r="F639" s="251"/>
      <c r="G639" s="251"/>
      <c r="H639" s="289"/>
      <c r="J639" s="251"/>
      <c r="K639" s="289"/>
    </row>
    <row r="640" spans="1:11" ht="14.25" customHeight="1" x14ac:dyDescent="0.25">
      <c r="A640" s="289"/>
      <c r="F640" s="251"/>
      <c r="G640" s="251"/>
      <c r="H640" s="289"/>
      <c r="J640" s="251"/>
      <c r="K640" s="289"/>
    </row>
    <row r="641" spans="1:11" ht="14.25" customHeight="1" x14ac:dyDescent="0.25">
      <c r="A641" s="289"/>
      <c r="F641" s="251"/>
      <c r="G641" s="251"/>
      <c r="H641" s="289"/>
      <c r="J641" s="251"/>
      <c r="K641" s="289"/>
    </row>
    <row r="642" spans="1:11" ht="14.25" customHeight="1" x14ac:dyDescent="0.25">
      <c r="A642" s="289"/>
      <c r="F642" s="251"/>
      <c r="G642" s="251"/>
      <c r="H642" s="289"/>
      <c r="J642" s="251"/>
      <c r="K642" s="289"/>
    </row>
    <row r="643" spans="1:11" ht="14.25" customHeight="1" x14ac:dyDescent="0.25">
      <c r="A643" s="289"/>
      <c r="F643" s="251"/>
      <c r="G643" s="251"/>
      <c r="H643" s="289"/>
      <c r="J643" s="251"/>
      <c r="K643" s="289"/>
    </row>
    <row r="644" spans="1:11" ht="14.25" customHeight="1" x14ac:dyDescent="0.25">
      <c r="A644" s="289"/>
      <c r="F644" s="251"/>
      <c r="G644" s="251"/>
      <c r="H644" s="289"/>
      <c r="J644" s="251"/>
      <c r="K644" s="289"/>
    </row>
    <row r="645" spans="1:11" ht="14.25" customHeight="1" x14ac:dyDescent="0.25">
      <c r="A645" s="289"/>
      <c r="F645" s="251"/>
      <c r="G645" s="251"/>
      <c r="H645" s="289"/>
      <c r="J645" s="251"/>
      <c r="K645" s="289"/>
    </row>
    <row r="646" spans="1:11" ht="14.25" customHeight="1" x14ac:dyDescent="0.25">
      <c r="A646" s="289"/>
      <c r="F646" s="251"/>
      <c r="G646" s="251"/>
      <c r="H646" s="289"/>
      <c r="J646" s="251"/>
      <c r="K646" s="289"/>
    </row>
    <row r="647" spans="1:11" ht="14.25" customHeight="1" x14ac:dyDescent="0.25">
      <c r="A647" s="289"/>
      <c r="F647" s="251"/>
      <c r="G647" s="251"/>
      <c r="H647" s="289"/>
      <c r="J647" s="251"/>
      <c r="K647" s="289"/>
    </row>
    <row r="648" spans="1:11" ht="14.25" customHeight="1" x14ac:dyDescent="0.25">
      <c r="A648" s="289"/>
      <c r="F648" s="251"/>
      <c r="G648" s="251"/>
      <c r="H648" s="289"/>
      <c r="J648" s="251"/>
      <c r="K648" s="289"/>
    </row>
    <row r="649" spans="1:11" ht="14.25" customHeight="1" x14ac:dyDescent="0.25">
      <c r="A649" s="289"/>
      <c r="F649" s="251"/>
      <c r="G649" s="251"/>
      <c r="H649" s="289"/>
      <c r="J649" s="251"/>
      <c r="K649" s="289"/>
    </row>
    <row r="650" spans="1:11" ht="14.25" customHeight="1" x14ac:dyDescent="0.25">
      <c r="A650" s="289"/>
      <c r="F650" s="251"/>
      <c r="G650" s="251"/>
      <c r="H650" s="289"/>
      <c r="J650" s="251"/>
      <c r="K650" s="289"/>
    </row>
    <row r="651" spans="1:11" ht="14.25" customHeight="1" x14ac:dyDescent="0.25">
      <c r="A651" s="289"/>
      <c r="F651" s="251"/>
      <c r="G651" s="251"/>
      <c r="H651" s="289"/>
      <c r="J651" s="251"/>
      <c r="K651" s="289"/>
    </row>
    <row r="652" spans="1:11" ht="14.25" customHeight="1" x14ac:dyDescent="0.25">
      <c r="A652" s="289"/>
      <c r="F652" s="251"/>
      <c r="G652" s="251"/>
      <c r="H652" s="289"/>
      <c r="J652" s="251"/>
      <c r="K652" s="289"/>
    </row>
    <row r="653" spans="1:11" ht="14.25" customHeight="1" x14ac:dyDescent="0.25">
      <c r="A653" s="289"/>
      <c r="F653" s="251"/>
      <c r="G653" s="251"/>
      <c r="H653" s="289"/>
      <c r="J653" s="251"/>
      <c r="K653" s="289"/>
    </row>
    <row r="654" spans="1:11" ht="14.25" customHeight="1" x14ac:dyDescent="0.25">
      <c r="A654" s="289"/>
      <c r="F654" s="251"/>
      <c r="G654" s="251"/>
      <c r="H654" s="289"/>
      <c r="J654" s="251"/>
      <c r="K654" s="289"/>
    </row>
    <row r="655" spans="1:11" ht="14.25" customHeight="1" x14ac:dyDescent="0.25">
      <c r="A655" s="289"/>
      <c r="F655" s="251"/>
      <c r="G655" s="251"/>
      <c r="H655" s="289"/>
      <c r="J655" s="251"/>
      <c r="K655" s="289"/>
    </row>
    <row r="656" spans="1:11" ht="14.25" customHeight="1" x14ac:dyDescent="0.25">
      <c r="A656" s="289"/>
      <c r="F656" s="251"/>
      <c r="G656" s="251"/>
      <c r="H656" s="289"/>
      <c r="J656" s="251"/>
      <c r="K656" s="289"/>
    </row>
    <row r="657" spans="1:11" ht="14.25" customHeight="1" x14ac:dyDescent="0.25">
      <c r="A657" s="289"/>
      <c r="F657" s="251"/>
      <c r="G657" s="251"/>
      <c r="H657" s="289"/>
      <c r="J657" s="251"/>
      <c r="K657" s="289"/>
    </row>
    <row r="658" spans="1:11" ht="14.25" customHeight="1" x14ac:dyDescent="0.25">
      <c r="A658" s="289"/>
      <c r="F658" s="251"/>
      <c r="G658" s="251"/>
      <c r="H658" s="289"/>
      <c r="J658" s="251"/>
      <c r="K658" s="289"/>
    </row>
    <row r="659" spans="1:11" ht="14.25" customHeight="1" x14ac:dyDescent="0.25">
      <c r="A659" s="289"/>
      <c r="F659" s="251"/>
      <c r="G659" s="251"/>
      <c r="H659" s="289"/>
      <c r="J659" s="251"/>
      <c r="K659" s="289"/>
    </row>
    <row r="660" spans="1:11" ht="14.25" customHeight="1" x14ac:dyDescent="0.25">
      <c r="A660" s="289"/>
      <c r="F660" s="251"/>
      <c r="G660" s="251"/>
      <c r="H660" s="289"/>
      <c r="J660" s="251"/>
      <c r="K660" s="289"/>
    </row>
    <row r="661" spans="1:11" ht="14.25" customHeight="1" x14ac:dyDescent="0.25">
      <c r="A661" s="289"/>
      <c r="F661" s="251"/>
      <c r="G661" s="251"/>
      <c r="H661" s="289"/>
      <c r="J661" s="251"/>
      <c r="K661" s="289"/>
    </row>
    <row r="662" spans="1:11" ht="14.25" customHeight="1" x14ac:dyDescent="0.25">
      <c r="A662" s="289"/>
      <c r="F662" s="251"/>
      <c r="G662" s="251"/>
      <c r="H662" s="289"/>
      <c r="J662" s="251"/>
      <c r="K662" s="289"/>
    </row>
    <row r="663" spans="1:11" ht="14.25" customHeight="1" x14ac:dyDescent="0.25">
      <c r="A663" s="289"/>
      <c r="F663" s="251"/>
      <c r="G663" s="251"/>
      <c r="H663" s="289"/>
      <c r="J663" s="251"/>
      <c r="K663" s="289"/>
    </row>
    <row r="664" spans="1:11" ht="14.25" customHeight="1" x14ac:dyDescent="0.25">
      <c r="A664" s="289"/>
      <c r="F664" s="251"/>
      <c r="G664" s="251"/>
      <c r="H664" s="289"/>
      <c r="J664" s="251"/>
      <c r="K664" s="289"/>
    </row>
    <row r="665" spans="1:11" ht="14.25" customHeight="1" x14ac:dyDescent="0.25">
      <c r="A665" s="289"/>
      <c r="F665" s="251"/>
      <c r="G665" s="251"/>
      <c r="H665" s="289"/>
      <c r="J665" s="251"/>
      <c r="K665" s="289"/>
    </row>
    <row r="666" spans="1:11" ht="14.25" customHeight="1" x14ac:dyDescent="0.25">
      <c r="A666" s="289"/>
      <c r="F666" s="251"/>
      <c r="G666" s="251"/>
      <c r="H666" s="289"/>
      <c r="J666" s="251"/>
      <c r="K666" s="289"/>
    </row>
    <row r="667" spans="1:11" ht="14.25" customHeight="1" x14ac:dyDescent="0.25">
      <c r="A667" s="289"/>
      <c r="F667" s="251"/>
      <c r="G667" s="251"/>
      <c r="H667" s="289"/>
      <c r="J667" s="251"/>
      <c r="K667" s="289"/>
    </row>
    <row r="668" spans="1:11" ht="14.25" customHeight="1" x14ac:dyDescent="0.25">
      <c r="A668" s="289"/>
      <c r="F668" s="251"/>
      <c r="G668" s="251"/>
      <c r="H668" s="289"/>
      <c r="J668" s="251"/>
      <c r="K668" s="289"/>
    </row>
    <row r="669" spans="1:11" ht="14.25" customHeight="1" x14ac:dyDescent="0.25">
      <c r="A669" s="289"/>
      <c r="F669" s="251"/>
      <c r="G669" s="251"/>
      <c r="H669" s="289"/>
      <c r="J669" s="251"/>
      <c r="K669" s="289"/>
    </row>
    <row r="670" spans="1:11" ht="14.25" customHeight="1" x14ac:dyDescent="0.25">
      <c r="A670" s="289"/>
      <c r="F670" s="251"/>
      <c r="G670" s="251"/>
      <c r="H670" s="289"/>
      <c r="J670" s="251"/>
      <c r="K670" s="289"/>
    </row>
    <row r="671" spans="1:11" ht="14.25" customHeight="1" x14ac:dyDescent="0.25">
      <c r="A671" s="289"/>
      <c r="F671" s="251"/>
      <c r="G671" s="251"/>
      <c r="H671" s="289"/>
      <c r="J671" s="251"/>
      <c r="K671" s="289"/>
    </row>
    <row r="672" spans="1:11" ht="14.25" customHeight="1" x14ac:dyDescent="0.25">
      <c r="A672" s="289"/>
      <c r="F672" s="251"/>
      <c r="G672" s="251"/>
      <c r="H672" s="289"/>
      <c r="J672" s="251"/>
      <c r="K672" s="289"/>
    </row>
    <row r="673" spans="1:11" ht="14.25" customHeight="1" x14ac:dyDescent="0.25">
      <c r="A673" s="289"/>
      <c r="F673" s="251"/>
      <c r="G673" s="251"/>
      <c r="H673" s="289"/>
      <c r="J673" s="251"/>
      <c r="K673" s="289"/>
    </row>
    <row r="674" spans="1:11" ht="14.25" customHeight="1" x14ac:dyDescent="0.25">
      <c r="A674" s="289"/>
      <c r="F674" s="251"/>
      <c r="G674" s="251"/>
      <c r="H674" s="289"/>
      <c r="J674" s="251"/>
      <c r="K674" s="289"/>
    </row>
    <row r="675" spans="1:11" ht="14.25" customHeight="1" x14ac:dyDescent="0.25">
      <c r="A675" s="289"/>
      <c r="F675" s="251"/>
      <c r="G675" s="251"/>
      <c r="H675" s="289"/>
      <c r="J675" s="251"/>
      <c r="K675" s="289"/>
    </row>
    <row r="676" spans="1:11" ht="14.25" customHeight="1" x14ac:dyDescent="0.25">
      <c r="A676" s="289"/>
      <c r="F676" s="251"/>
      <c r="G676" s="251"/>
      <c r="H676" s="289"/>
      <c r="J676" s="251"/>
      <c r="K676" s="289"/>
    </row>
    <row r="677" spans="1:11" ht="14.25" customHeight="1" x14ac:dyDescent="0.25">
      <c r="A677" s="289"/>
      <c r="F677" s="251"/>
      <c r="G677" s="251"/>
      <c r="H677" s="289"/>
      <c r="J677" s="251"/>
      <c r="K677" s="289"/>
    </row>
    <row r="678" spans="1:11" ht="14.25" customHeight="1" x14ac:dyDescent="0.25">
      <c r="A678" s="289"/>
      <c r="F678" s="251"/>
      <c r="G678" s="251"/>
      <c r="H678" s="289"/>
      <c r="J678" s="251"/>
      <c r="K678" s="289"/>
    </row>
    <row r="679" spans="1:11" ht="14.25" customHeight="1" x14ac:dyDescent="0.25">
      <c r="A679" s="289"/>
      <c r="F679" s="251"/>
      <c r="G679" s="251"/>
      <c r="H679" s="289"/>
      <c r="J679" s="251"/>
      <c r="K679" s="289"/>
    </row>
    <row r="680" spans="1:11" ht="14.25" customHeight="1" x14ac:dyDescent="0.25">
      <c r="A680" s="289"/>
      <c r="F680" s="251"/>
      <c r="G680" s="251"/>
      <c r="H680" s="289"/>
      <c r="J680" s="251"/>
      <c r="K680" s="289"/>
    </row>
    <row r="681" spans="1:11" ht="14.25" customHeight="1" x14ac:dyDescent="0.25">
      <c r="A681" s="289"/>
      <c r="F681" s="251"/>
      <c r="G681" s="251"/>
      <c r="H681" s="289"/>
      <c r="J681" s="251"/>
      <c r="K681" s="289"/>
    </row>
    <row r="682" spans="1:11" ht="14.25" customHeight="1" x14ac:dyDescent="0.25">
      <c r="A682" s="289"/>
      <c r="F682" s="251"/>
      <c r="G682" s="251"/>
      <c r="H682" s="289"/>
      <c r="J682" s="251"/>
      <c r="K682" s="289"/>
    </row>
    <row r="683" spans="1:11" ht="14.25" customHeight="1" x14ac:dyDescent="0.25">
      <c r="A683" s="289"/>
      <c r="F683" s="251"/>
      <c r="G683" s="251"/>
      <c r="H683" s="289"/>
      <c r="J683" s="251"/>
      <c r="K683" s="289"/>
    </row>
    <row r="684" spans="1:11" ht="14.25" customHeight="1" x14ac:dyDescent="0.25">
      <c r="A684" s="289"/>
      <c r="F684" s="251"/>
      <c r="G684" s="251"/>
      <c r="H684" s="289"/>
      <c r="J684" s="251"/>
      <c r="K684" s="289"/>
    </row>
    <row r="685" spans="1:11" ht="14.25" customHeight="1" x14ac:dyDescent="0.25">
      <c r="A685" s="289"/>
      <c r="F685" s="251"/>
      <c r="G685" s="251"/>
      <c r="H685" s="289"/>
      <c r="J685" s="251"/>
      <c r="K685" s="289"/>
    </row>
    <row r="686" spans="1:11" ht="14.25" customHeight="1" x14ac:dyDescent="0.25">
      <c r="A686" s="289"/>
      <c r="F686" s="251"/>
      <c r="G686" s="251"/>
      <c r="H686" s="289"/>
      <c r="J686" s="251"/>
      <c r="K686" s="289"/>
    </row>
    <row r="687" spans="1:11" ht="14.25" customHeight="1" x14ac:dyDescent="0.25">
      <c r="A687" s="289"/>
      <c r="F687" s="251"/>
      <c r="G687" s="251"/>
      <c r="H687" s="289"/>
      <c r="J687" s="251"/>
      <c r="K687" s="289"/>
    </row>
    <row r="688" spans="1:11" ht="14.25" customHeight="1" x14ac:dyDescent="0.25">
      <c r="A688" s="289"/>
      <c r="F688" s="251"/>
      <c r="G688" s="251"/>
      <c r="H688" s="289"/>
      <c r="J688" s="251"/>
      <c r="K688" s="289"/>
    </row>
    <row r="689" spans="1:11" ht="14.25" customHeight="1" x14ac:dyDescent="0.25">
      <c r="A689" s="289"/>
      <c r="F689" s="251"/>
      <c r="G689" s="251"/>
      <c r="H689" s="289"/>
      <c r="J689" s="251"/>
      <c r="K689" s="289"/>
    </row>
    <row r="690" spans="1:11" ht="14.25" customHeight="1" x14ac:dyDescent="0.25">
      <c r="A690" s="289"/>
      <c r="F690" s="251"/>
      <c r="G690" s="251"/>
      <c r="H690" s="289"/>
      <c r="J690" s="251"/>
      <c r="K690" s="289"/>
    </row>
    <row r="691" spans="1:11" ht="14.25" customHeight="1" x14ac:dyDescent="0.25">
      <c r="A691" s="289"/>
      <c r="F691" s="251"/>
      <c r="G691" s="251"/>
      <c r="H691" s="289"/>
      <c r="J691" s="251"/>
      <c r="K691" s="289"/>
    </row>
    <row r="692" spans="1:11" ht="14.25" customHeight="1" x14ac:dyDescent="0.25">
      <c r="A692" s="289"/>
      <c r="F692" s="251"/>
      <c r="G692" s="251"/>
      <c r="H692" s="289"/>
      <c r="J692" s="251"/>
      <c r="K692" s="289"/>
    </row>
    <row r="693" spans="1:11" ht="14.25" customHeight="1" x14ac:dyDescent="0.25">
      <c r="A693" s="289"/>
      <c r="F693" s="251"/>
      <c r="G693" s="251"/>
      <c r="H693" s="289"/>
      <c r="J693" s="251"/>
      <c r="K693" s="289"/>
    </row>
    <row r="694" spans="1:11" ht="14.25" customHeight="1" x14ac:dyDescent="0.25">
      <c r="A694" s="289"/>
      <c r="F694" s="251"/>
      <c r="G694" s="251"/>
      <c r="H694" s="289"/>
      <c r="J694" s="251"/>
      <c r="K694" s="289"/>
    </row>
    <row r="695" spans="1:11" ht="14.25" customHeight="1" x14ac:dyDescent="0.25">
      <c r="A695" s="289"/>
      <c r="F695" s="251"/>
      <c r="G695" s="251"/>
      <c r="H695" s="289"/>
      <c r="J695" s="251"/>
      <c r="K695" s="289"/>
    </row>
    <row r="696" spans="1:11" ht="14.25" customHeight="1" x14ac:dyDescent="0.25">
      <c r="A696" s="289"/>
      <c r="F696" s="251"/>
      <c r="G696" s="251"/>
      <c r="H696" s="289"/>
      <c r="J696" s="251"/>
      <c r="K696" s="289"/>
    </row>
    <row r="697" spans="1:11" ht="14.25" customHeight="1" x14ac:dyDescent="0.25">
      <c r="A697" s="289"/>
      <c r="F697" s="251"/>
      <c r="G697" s="251"/>
      <c r="H697" s="289"/>
      <c r="J697" s="251"/>
      <c r="K697" s="289"/>
    </row>
    <row r="698" spans="1:11" ht="14.25" customHeight="1" x14ac:dyDescent="0.25">
      <c r="A698" s="289"/>
      <c r="F698" s="251"/>
      <c r="G698" s="251"/>
      <c r="H698" s="289"/>
      <c r="J698" s="251"/>
      <c r="K698" s="289"/>
    </row>
    <row r="699" spans="1:11" ht="14.25" customHeight="1" x14ac:dyDescent="0.25">
      <c r="A699" s="289"/>
      <c r="F699" s="251"/>
      <c r="G699" s="251"/>
      <c r="H699" s="289"/>
      <c r="J699" s="251"/>
      <c r="K699" s="289"/>
    </row>
    <row r="700" spans="1:11" ht="14.25" customHeight="1" x14ac:dyDescent="0.25">
      <c r="A700" s="289"/>
      <c r="F700" s="251"/>
      <c r="G700" s="251"/>
      <c r="H700" s="289"/>
      <c r="J700" s="251"/>
      <c r="K700" s="289"/>
    </row>
    <row r="701" spans="1:11" ht="14.25" customHeight="1" x14ac:dyDescent="0.25">
      <c r="A701" s="289"/>
      <c r="F701" s="251"/>
      <c r="G701" s="251"/>
      <c r="H701" s="289"/>
      <c r="J701" s="251"/>
      <c r="K701" s="289"/>
    </row>
    <row r="702" spans="1:11" ht="14.25" customHeight="1" x14ac:dyDescent="0.25">
      <c r="A702" s="289"/>
      <c r="F702" s="251"/>
      <c r="G702" s="251"/>
      <c r="H702" s="289"/>
      <c r="J702" s="251"/>
      <c r="K702" s="289"/>
    </row>
    <row r="703" spans="1:11" ht="14.25" customHeight="1" x14ac:dyDescent="0.25">
      <c r="A703" s="289"/>
      <c r="F703" s="251"/>
      <c r="G703" s="251"/>
      <c r="H703" s="289"/>
      <c r="J703" s="251"/>
      <c r="K703" s="289"/>
    </row>
    <row r="704" spans="1:11" ht="14.25" customHeight="1" x14ac:dyDescent="0.25">
      <c r="A704" s="289"/>
      <c r="F704" s="251"/>
      <c r="G704" s="251"/>
      <c r="H704" s="289"/>
      <c r="J704" s="251"/>
      <c r="K704" s="289"/>
    </row>
    <row r="705" spans="1:11" ht="14.25" customHeight="1" x14ac:dyDescent="0.25">
      <c r="A705" s="289"/>
      <c r="F705" s="251"/>
      <c r="G705" s="251"/>
      <c r="H705" s="289"/>
      <c r="J705" s="251"/>
      <c r="K705" s="289"/>
    </row>
    <row r="706" spans="1:11" ht="14.25" customHeight="1" x14ac:dyDescent="0.25">
      <c r="A706" s="289"/>
      <c r="F706" s="251"/>
      <c r="G706" s="251"/>
      <c r="H706" s="289"/>
      <c r="J706" s="251"/>
      <c r="K706" s="289"/>
    </row>
    <row r="707" spans="1:11" ht="14.25" customHeight="1" x14ac:dyDescent="0.25">
      <c r="A707" s="289"/>
      <c r="F707" s="251"/>
      <c r="G707" s="251"/>
      <c r="H707" s="289"/>
      <c r="J707" s="251"/>
      <c r="K707" s="289"/>
    </row>
    <row r="708" spans="1:11" ht="14.25" customHeight="1" x14ac:dyDescent="0.25">
      <c r="A708" s="289"/>
      <c r="F708" s="251"/>
      <c r="G708" s="251"/>
      <c r="H708" s="289"/>
      <c r="J708" s="251"/>
      <c r="K708" s="289"/>
    </row>
    <row r="709" spans="1:11" ht="14.25" customHeight="1" x14ac:dyDescent="0.25">
      <c r="A709" s="289"/>
      <c r="F709" s="251"/>
      <c r="G709" s="251"/>
      <c r="H709" s="289"/>
      <c r="J709" s="251"/>
      <c r="K709" s="289"/>
    </row>
    <row r="710" spans="1:11" ht="14.25" customHeight="1" x14ac:dyDescent="0.25">
      <c r="A710" s="289"/>
      <c r="F710" s="251"/>
      <c r="G710" s="251"/>
      <c r="H710" s="289"/>
      <c r="J710" s="251"/>
      <c r="K710" s="289"/>
    </row>
    <row r="711" spans="1:11" ht="14.25" customHeight="1" x14ac:dyDescent="0.25">
      <c r="A711" s="289"/>
      <c r="F711" s="251"/>
      <c r="G711" s="251"/>
      <c r="H711" s="289"/>
      <c r="J711" s="251"/>
      <c r="K711" s="289"/>
    </row>
    <row r="712" spans="1:11" ht="14.25" customHeight="1" x14ac:dyDescent="0.25">
      <c r="A712" s="289"/>
      <c r="F712" s="251"/>
      <c r="G712" s="251"/>
      <c r="H712" s="289"/>
      <c r="J712" s="251"/>
      <c r="K712" s="289"/>
    </row>
    <row r="713" spans="1:11" ht="14.25" customHeight="1" x14ac:dyDescent="0.25">
      <c r="A713" s="289"/>
      <c r="F713" s="251"/>
      <c r="G713" s="251"/>
      <c r="H713" s="289"/>
      <c r="J713" s="251"/>
      <c r="K713" s="289"/>
    </row>
    <row r="714" spans="1:11" ht="14.25" customHeight="1" x14ac:dyDescent="0.25">
      <c r="A714" s="289"/>
      <c r="F714" s="251"/>
      <c r="G714" s="251"/>
      <c r="H714" s="289"/>
      <c r="J714" s="251"/>
      <c r="K714" s="289"/>
    </row>
    <row r="715" spans="1:11" ht="14.25" customHeight="1" x14ac:dyDescent="0.25">
      <c r="A715" s="289"/>
      <c r="F715" s="251"/>
      <c r="G715" s="251"/>
      <c r="H715" s="289"/>
      <c r="J715" s="251"/>
      <c r="K715" s="289"/>
    </row>
    <row r="716" spans="1:11" ht="14.25" customHeight="1" x14ac:dyDescent="0.25">
      <c r="A716" s="289"/>
      <c r="F716" s="251"/>
      <c r="G716" s="251"/>
      <c r="H716" s="289"/>
      <c r="J716" s="251"/>
      <c r="K716" s="289"/>
    </row>
    <row r="717" spans="1:11" ht="14.25" customHeight="1" x14ac:dyDescent="0.25">
      <c r="A717" s="289"/>
      <c r="F717" s="251"/>
      <c r="G717" s="251"/>
      <c r="H717" s="289"/>
      <c r="J717" s="251"/>
      <c r="K717" s="289"/>
    </row>
    <row r="718" spans="1:11" ht="14.25" customHeight="1" x14ac:dyDescent="0.25">
      <c r="A718" s="289"/>
      <c r="F718" s="251"/>
      <c r="G718" s="251"/>
      <c r="H718" s="289"/>
      <c r="J718" s="251"/>
      <c r="K718" s="289"/>
    </row>
    <row r="719" spans="1:11" ht="14.25" customHeight="1" x14ac:dyDescent="0.25">
      <c r="A719" s="289"/>
      <c r="F719" s="251"/>
      <c r="G719" s="251"/>
      <c r="H719" s="289"/>
      <c r="J719" s="251"/>
      <c r="K719" s="289"/>
    </row>
    <row r="720" spans="1:11" ht="14.25" customHeight="1" x14ac:dyDescent="0.25">
      <c r="A720" s="289"/>
      <c r="F720" s="251"/>
      <c r="G720" s="251"/>
      <c r="H720" s="289"/>
      <c r="J720" s="251"/>
      <c r="K720" s="289"/>
    </row>
    <row r="721" spans="1:11" ht="14.25" customHeight="1" x14ac:dyDescent="0.25">
      <c r="A721" s="289"/>
      <c r="F721" s="251"/>
      <c r="G721" s="251"/>
      <c r="H721" s="289"/>
      <c r="J721" s="251"/>
      <c r="K721" s="289"/>
    </row>
    <row r="722" spans="1:11" ht="14.25" customHeight="1" x14ac:dyDescent="0.25">
      <c r="A722" s="289"/>
      <c r="F722" s="251"/>
      <c r="G722" s="251"/>
      <c r="H722" s="289"/>
      <c r="J722" s="251"/>
      <c r="K722" s="289"/>
    </row>
    <row r="723" spans="1:11" ht="14.25" customHeight="1" x14ac:dyDescent="0.25">
      <c r="A723" s="289"/>
      <c r="F723" s="251"/>
      <c r="G723" s="251"/>
      <c r="H723" s="289"/>
      <c r="J723" s="251"/>
      <c r="K723" s="289"/>
    </row>
    <row r="724" spans="1:11" ht="14.25" customHeight="1" x14ac:dyDescent="0.25">
      <c r="A724" s="289"/>
      <c r="F724" s="251"/>
      <c r="G724" s="251"/>
      <c r="H724" s="289"/>
      <c r="J724" s="251"/>
      <c r="K724" s="289"/>
    </row>
    <row r="725" spans="1:11" ht="14.25" customHeight="1" x14ac:dyDescent="0.25">
      <c r="A725" s="289"/>
      <c r="F725" s="251"/>
      <c r="G725" s="251"/>
      <c r="H725" s="289"/>
      <c r="J725" s="251"/>
      <c r="K725" s="289"/>
    </row>
    <row r="726" spans="1:11" ht="14.25" customHeight="1" x14ac:dyDescent="0.25">
      <c r="A726" s="289"/>
      <c r="F726" s="251"/>
      <c r="G726" s="251"/>
      <c r="H726" s="289"/>
      <c r="J726" s="251"/>
      <c r="K726" s="289"/>
    </row>
    <row r="727" spans="1:11" ht="14.25" customHeight="1" x14ac:dyDescent="0.25">
      <c r="A727" s="289"/>
      <c r="F727" s="251"/>
      <c r="G727" s="251"/>
      <c r="H727" s="289"/>
      <c r="J727" s="251"/>
      <c r="K727" s="289"/>
    </row>
    <row r="728" spans="1:11" ht="14.25" customHeight="1" x14ac:dyDescent="0.25">
      <c r="A728" s="289"/>
      <c r="F728" s="251"/>
      <c r="G728" s="251"/>
      <c r="H728" s="289"/>
      <c r="J728" s="251"/>
      <c r="K728" s="289"/>
    </row>
    <row r="729" spans="1:11" ht="14.25" customHeight="1" x14ac:dyDescent="0.25">
      <c r="A729" s="289"/>
      <c r="F729" s="251"/>
      <c r="G729" s="251"/>
      <c r="H729" s="289"/>
      <c r="J729" s="251"/>
      <c r="K729" s="289"/>
    </row>
    <row r="730" spans="1:11" ht="14.25" customHeight="1" x14ac:dyDescent="0.25">
      <c r="A730" s="289"/>
      <c r="F730" s="251"/>
      <c r="G730" s="251"/>
      <c r="H730" s="289"/>
      <c r="J730" s="251"/>
      <c r="K730" s="289"/>
    </row>
    <row r="731" spans="1:11" ht="14.25" customHeight="1" x14ac:dyDescent="0.25">
      <c r="A731" s="289"/>
      <c r="F731" s="251"/>
      <c r="G731" s="251"/>
      <c r="H731" s="289"/>
      <c r="J731" s="251"/>
      <c r="K731" s="289"/>
    </row>
    <row r="732" spans="1:11" ht="14.25" customHeight="1" x14ac:dyDescent="0.25">
      <c r="A732" s="289"/>
      <c r="F732" s="251"/>
      <c r="G732" s="251"/>
      <c r="H732" s="289"/>
      <c r="J732" s="251"/>
      <c r="K732" s="289"/>
    </row>
    <row r="733" spans="1:11" ht="14.25" customHeight="1" x14ac:dyDescent="0.25">
      <c r="A733" s="289"/>
      <c r="F733" s="251"/>
      <c r="G733" s="251"/>
      <c r="H733" s="289"/>
      <c r="J733" s="251"/>
      <c r="K733" s="289"/>
    </row>
    <row r="734" spans="1:11" ht="14.25" customHeight="1" x14ac:dyDescent="0.25">
      <c r="A734" s="289"/>
      <c r="F734" s="251"/>
      <c r="G734" s="251"/>
      <c r="H734" s="289"/>
      <c r="J734" s="251"/>
      <c r="K734" s="289"/>
    </row>
    <row r="735" spans="1:11" ht="14.25" customHeight="1" x14ac:dyDescent="0.25">
      <c r="A735" s="289"/>
      <c r="F735" s="251"/>
      <c r="G735" s="251"/>
      <c r="H735" s="289"/>
      <c r="J735" s="251"/>
      <c r="K735" s="289"/>
    </row>
    <row r="736" spans="1:11" ht="14.25" customHeight="1" x14ac:dyDescent="0.25">
      <c r="A736" s="289"/>
      <c r="F736" s="251"/>
      <c r="G736" s="251"/>
      <c r="H736" s="289"/>
      <c r="J736" s="251"/>
      <c r="K736" s="289"/>
    </row>
    <row r="737" spans="1:11" ht="14.25" customHeight="1" x14ac:dyDescent="0.25">
      <c r="A737" s="289"/>
      <c r="F737" s="251"/>
      <c r="G737" s="251"/>
      <c r="H737" s="289"/>
      <c r="J737" s="251"/>
      <c r="K737" s="289"/>
    </row>
    <row r="738" spans="1:11" ht="14.25" customHeight="1" x14ac:dyDescent="0.25">
      <c r="A738" s="289"/>
      <c r="F738" s="251"/>
      <c r="G738" s="251"/>
      <c r="H738" s="289"/>
      <c r="J738" s="251"/>
      <c r="K738" s="289"/>
    </row>
    <row r="739" spans="1:11" ht="14.25" customHeight="1" x14ac:dyDescent="0.25">
      <c r="A739" s="289"/>
      <c r="F739" s="251"/>
      <c r="G739" s="251"/>
      <c r="H739" s="289"/>
      <c r="J739" s="251"/>
      <c r="K739" s="289"/>
    </row>
    <row r="740" spans="1:11" ht="14.25" customHeight="1" x14ac:dyDescent="0.25">
      <c r="A740" s="289"/>
      <c r="F740" s="251"/>
      <c r="G740" s="251"/>
      <c r="H740" s="289"/>
      <c r="J740" s="251"/>
      <c r="K740" s="289"/>
    </row>
    <row r="741" spans="1:11" ht="14.25" customHeight="1" x14ac:dyDescent="0.25">
      <c r="A741" s="289"/>
      <c r="F741" s="251"/>
      <c r="G741" s="251"/>
      <c r="H741" s="289"/>
      <c r="J741" s="251"/>
      <c r="K741" s="289"/>
    </row>
    <row r="742" spans="1:11" ht="14.25" customHeight="1" x14ac:dyDescent="0.25">
      <c r="A742" s="289"/>
      <c r="F742" s="251"/>
      <c r="G742" s="251"/>
      <c r="H742" s="289"/>
      <c r="J742" s="251"/>
      <c r="K742" s="289"/>
    </row>
    <row r="743" spans="1:11" ht="14.25" customHeight="1" x14ac:dyDescent="0.25">
      <c r="A743" s="289"/>
      <c r="F743" s="251"/>
      <c r="G743" s="251"/>
      <c r="H743" s="289"/>
      <c r="J743" s="251"/>
      <c r="K743" s="289"/>
    </row>
    <row r="744" spans="1:11" ht="14.25" customHeight="1" x14ac:dyDescent="0.25">
      <c r="A744" s="289"/>
      <c r="F744" s="251"/>
      <c r="G744" s="251"/>
      <c r="H744" s="289"/>
      <c r="J744" s="251"/>
      <c r="K744" s="289"/>
    </row>
    <row r="745" spans="1:11" ht="14.25" customHeight="1" x14ac:dyDescent="0.25">
      <c r="A745" s="289"/>
      <c r="F745" s="251"/>
      <c r="G745" s="251"/>
      <c r="H745" s="289"/>
      <c r="J745" s="251"/>
      <c r="K745" s="289"/>
    </row>
    <row r="746" spans="1:11" ht="14.25" customHeight="1" x14ac:dyDescent="0.25">
      <c r="A746" s="289"/>
      <c r="F746" s="251"/>
      <c r="G746" s="251"/>
      <c r="H746" s="289"/>
      <c r="J746" s="251"/>
      <c r="K746" s="289"/>
    </row>
    <row r="747" spans="1:11" ht="14.25" customHeight="1" x14ac:dyDescent="0.25">
      <c r="A747" s="289"/>
      <c r="F747" s="251"/>
      <c r="G747" s="251"/>
      <c r="H747" s="289"/>
      <c r="J747" s="251"/>
      <c r="K747" s="289"/>
    </row>
    <row r="748" spans="1:11" ht="14.25" customHeight="1" x14ac:dyDescent="0.25">
      <c r="A748" s="289"/>
      <c r="F748" s="251"/>
      <c r="G748" s="251"/>
      <c r="H748" s="289"/>
      <c r="J748" s="251"/>
      <c r="K748" s="289"/>
    </row>
    <row r="749" spans="1:11" ht="14.25" customHeight="1" x14ac:dyDescent="0.25">
      <c r="A749" s="289"/>
      <c r="F749" s="251"/>
      <c r="G749" s="251"/>
      <c r="H749" s="289"/>
      <c r="J749" s="251"/>
      <c r="K749" s="289"/>
    </row>
    <row r="750" spans="1:11" ht="14.25" customHeight="1" x14ac:dyDescent="0.25">
      <c r="A750" s="289"/>
      <c r="F750" s="251"/>
      <c r="G750" s="251"/>
      <c r="H750" s="289"/>
      <c r="J750" s="251"/>
      <c r="K750" s="289"/>
    </row>
    <row r="751" spans="1:11" ht="14.25" customHeight="1" x14ac:dyDescent="0.25">
      <c r="A751" s="289"/>
      <c r="F751" s="251"/>
      <c r="G751" s="251"/>
      <c r="H751" s="289"/>
      <c r="J751" s="251"/>
      <c r="K751" s="289"/>
    </row>
    <row r="752" spans="1:11" ht="14.25" customHeight="1" x14ac:dyDescent="0.25">
      <c r="A752" s="289"/>
      <c r="F752" s="251"/>
      <c r="G752" s="251"/>
      <c r="H752" s="289"/>
      <c r="J752" s="251"/>
      <c r="K752" s="289"/>
    </row>
    <row r="753" spans="1:11" ht="14.25" customHeight="1" x14ac:dyDescent="0.25">
      <c r="A753" s="289"/>
      <c r="F753" s="251"/>
      <c r="G753" s="251"/>
      <c r="H753" s="289"/>
      <c r="J753" s="251"/>
      <c r="K753" s="289"/>
    </row>
    <row r="754" spans="1:11" ht="14.25" customHeight="1" x14ac:dyDescent="0.25">
      <c r="A754" s="289"/>
      <c r="F754" s="251"/>
      <c r="G754" s="251"/>
      <c r="H754" s="289"/>
      <c r="J754" s="251"/>
      <c r="K754" s="289"/>
    </row>
    <row r="755" spans="1:11" ht="14.25" customHeight="1" x14ac:dyDescent="0.25">
      <c r="A755" s="289"/>
      <c r="F755" s="251"/>
      <c r="G755" s="251"/>
      <c r="H755" s="289"/>
      <c r="J755" s="251"/>
      <c r="K755" s="289"/>
    </row>
    <row r="756" spans="1:11" ht="14.25" customHeight="1" x14ac:dyDescent="0.25">
      <c r="A756" s="289"/>
      <c r="F756" s="251"/>
      <c r="G756" s="251"/>
      <c r="H756" s="289"/>
      <c r="J756" s="251"/>
      <c r="K756" s="289"/>
    </row>
    <row r="757" spans="1:11" ht="14.25" customHeight="1" x14ac:dyDescent="0.25">
      <c r="A757" s="289"/>
      <c r="F757" s="251"/>
      <c r="G757" s="251"/>
      <c r="H757" s="289"/>
      <c r="J757" s="251"/>
      <c r="K757" s="289"/>
    </row>
    <row r="758" spans="1:11" ht="14.25" customHeight="1" x14ac:dyDescent="0.25">
      <c r="A758" s="289"/>
      <c r="F758" s="251"/>
      <c r="G758" s="251"/>
      <c r="H758" s="289"/>
      <c r="J758" s="251"/>
      <c r="K758" s="289"/>
    </row>
    <row r="759" spans="1:11" ht="14.25" customHeight="1" x14ac:dyDescent="0.25">
      <c r="A759" s="289"/>
      <c r="F759" s="251"/>
      <c r="G759" s="251"/>
      <c r="H759" s="289"/>
      <c r="J759" s="251"/>
      <c r="K759" s="289"/>
    </row>
    <row r="760" spans="1:11" ht="14.25" customHeight="1" x14ac:dyDescent="0.25">
      <c r="A760" s="289"/>
      <c r="F760" s="251"/>
      <c r="G760" s="251"/>
      <c r="H760" s="289"/>
      <c r="J760" s="251"/>
      <c r="K760" s="289"/>
    </row>
    <row r="761" spans="1:11" ht="14.25" customHeight="1" x14ac:dyDescent="0.25">
      <c r="A761" s="289"/>
      <c r="F761" s="251"/>
      <c r="G761" s="251"/>
      <c r="H761" s="289"/>
      <c r="J761" s="251"/>
      <c r="K761" s="289"/>
    </row>
    <row r="762" spans="1:11" ht="14.25" customHeight="1" x14ac:dyDescent="0.25">
      <c r="A762" s="289"/>
      <c r="F762" s="251"/>
      <c r="G762" s="251"/>
      <c r="H762" s="289"/>
      <c r="J762" s="251"/>
      <c r="K762" s="289"/>
    </row>
    <row r="763" spans="1:11" ht="14.25" customHeight="1" x14ac:dyDescent="0.25">
      <c r="A763" s="289"/>
      <c r="F763" s="251"/>
      <c r="G763" s="251"/>
      <c r="H763" s="289"/>
      <c r="J763" s="251"/>
      <c r="K763" s="289"/>
    </row>
    <row r="764" spans="1:11" ht="14.25" customHeight="1" x14ac:dyDescent="0.25">
      <c r="A764" s="289"/>
      <c r="F764" s="251"/>
      <c r="G764" s="251"/>
      <c r="H764" s="289"/>
      <c r="J764" s="251"/>
      <c r="K764" s="289"/>
    </row>
    <row r="765" spans="1:11" ht="14.25" customHeight="1" x14ac:dyDescent="0.25">
      <c r="A765" s="289"/>
      <c r="F765" s="251"/>
      <c r="G765" s="251"/>
      <c r="H765" s="289"/>
      <c r="J765" s="251"/>
      <c r="K765" s="289"/>
    </row>
    <row r="766" spans="1:11" ht="14.25" customHeight="1" x14ac:dyDescent="0.25">
      <c r="A766" s="289"/>
      <c r="F766" s="251"/>
      <c r="G766" s="251"/>
      <c r="H766" s="289"/>
      <c r="J766" s="251"/>
      <c r="K766" s="289"/>
    </row>
    <row r="767" spans="1:11" ht="14.25" customHeight="1" x14ac:dyDescent="0.25">
      <c r="A767" s="289"/>
      <c r="F767" s="251"/>
      <c r="G767" s="251"/>
      <c r="H767" s="289"/>
      <c r="J767" s="251"/>
      <c r="K767" s="289"/>
    </row>
    <row r="768" spans="1:11" ht="14.25" customHeight="1" x14ac:dyDescent="0.25">
      <c r="A768" s="289"/>
      <c r="F768" s="251"/>
      <c r="G768" s="251"/>
      <c r="H768" s="289"/>
      <c r="J768" s="251"/>
      <c r="K768" s="289"/>
    </row>
    <row r="769" spans="1:11" ht="14.25" customHeight="1" x14ac:dyDescent="0.25">
      <c r="A769" s="289"/>
      <c r="F769" s="251"/>
      <c r="G769" s="251"/>
      <c r="H769" s="289"/>
      <c r="J769" s="251"/>
      <c r="K769" s="289"/>
    </row>
    <row r="770" spans="1:11" ht="14.25" customHeight="1" x14ac:dyDescent="0.25">
      <c r="A770" s="289"/>
      <c r="F770" s="251"/>
      <c r="G770" s="251"/>
      <c r="H770" s="289"/>
      <c r="J770" s="251"/>
      <c r="K770" s="289"/>
    </row>
    <row r="771" spans="1:11" ht="14.25" customHeight="1" x14ac:dyDescent="0.25">
      <c r="A771" s="289"/>
      <c r="F771" s="251"/>
      <c r="G771" s="251"/>
      <c r="H771" s="289"/>
      <c r="J771" s="251"/>
      <c r="K771" s="289"/>
    </row>
    <row r="772" spans="1:11" ht="14.25" customHeight="1" x14ac:dyDescent="0.25">
      <c r="A772" s="289"/>
      <c r="F772" s="251"/>
      <c r="G772" s="251"/>
      <c r="H772" s="289"/>
      <c r="J772" s="251"/>
      <c r="K772" s="289"/>
    </row>
    <row r="773" spans="1:11" ht="14.25" customHeight="1" x14ac:dyDescent="0.25">
      <c r="A773" s="289"/>
      <c r="F773" s="251"/>
      <c r="G773" s="251"/>
      <c r="H773" s="289"/>
      <c r="J773" s="251"/>
      <c r="K773" s="289"/>
    </row>
    <row r="774" spans="1:11" ht="14.25" customHeight="1" x14ac:dyDescent="0.25">
      <c r="A774" s="289"/>
      <c r="F774" s="251"/>
      <c r="G774" s="251"/>
      <c r="H774" s="289"/>
      <c r="J774" s="251"/>
      <c r="K774" s="289"/>
    </row>
    <row r="775" spans="1:11" ht="14.25" customHeight="1" x14ac:dyDescent="0.25">
      <c r="A775" s="289"/>
      <c r="F775" s="251"/>
      <c r="G775" s="251"/>
      <c r="H775" s="289"/>
      <c r="J775" s="251"/>
      <c r="K775" s="289"/>
    </row>
    <row r="776" spans="1:11" ht="14.25" customHeight="1" x14ac:dyDescent="0.25">
      <c r="A776" s="289"/>
      <c r="F776" s="251"/>
      <c r="G776" s="251"/>
      <c r="H776" s="289"/>
      <c r="J776" s="251"/>
      <c r="K776" s="289"/>
    </row>
    <row r="777" spans="1:11" ht="14.25" customHeight="1" x14ac:dyDescent="0.25">
      <c r="A777" s="289"/>
      <c r="F777" s="251"/>
      <c r="G777" s="251"/>
      <c r="H777" s="289"/>
      <c r="J777" s="251"/>
      <c r="K777" s="289"/>
    </row>
    <row r="778" spans="1:11" ht="14.25" customHeight="1" x14ac:dyDescent="0.25">
      <c r="A778" s="289"/>
      <c r="F778" s="251"/>
      <c r="G778" s="251"/>
      <c r="H778" s="289"/>
      <c r="J778" s="251"/>
      <c r="K778" s="289"/>
    </row>
    <row r="779" spans="1:11" ht="14.25" customHeight="1" x14ac:dyDescent="0.25">
      <c r="A779" s="289"/>
      <c r="F779" s="251"/>
      <c r="G779" s="251"/>
      <c r="H779" s="289"/>
      <c r="J779" s="251"/>
      <c r="K779" s="289"/>
    </row>
    <row r="780" spans="1:11" ht="14.25" customHeight="1" x14ac:dyDescent="0.25">
      <c r="A780" s="289"/>
      <c r="F780" s="251"/>
      <c r="G780" s="251"/>
      <c r="H780" s="289"/>
      <c r="J780" s="251"/>
      <c r="K780" s="289"/>
    </row>
    <row r="781" spans="1:11" ht="14.25" customHeight="1" x14ac:dyDescent="0.25">
      <c r="A781" s="289"/>
      <c r="F781" s="251"/>
      <c r="G781" s="251"/>
      <c r="H781" s="289"/>
      <c r="J781" s="251"/>
      <c r="K781" s="289"/>
    </row>
    <row r="782" spans="1:11" ht="14.25" customHeight="1" x14ac:dyDescent="0.25">
      <c r="A782" s="289"/>
      <c r="F782" s="251"/>
      <c r="G782" s="251"/>
      <c r="H782" s="289"/>
      <c r="J782" s="251"/>
      <c r="K782" s="289"/>
    </row>
    <row r="783" spans="1:11" ht="14.25" customHeight="1" x14ac:dyDescent="0.25">
      <c r="A783" s="289"/>
      <c r="F783" s="251"/>
      <c r="G783" s="251"/>
      <c r="H783" s="289"/>
      <c r="J783" s="251"/>
      <c r="K783" s="289"/>
    </row>
    <row r="784" spans="1:11" ht="14.25" customHeight="1" x14ac:dyDescent="0.25">
      <c r="A784" s="289"/>
      <c r="F784" s="251"/>
      <c r="G784" s="251"/>
      <c r="H784" s="289"/>
      <c r="J784" s="251"/>
      <c r="K784" s="289"/>
    </row>
    <row r="785" spans="1:11" ht="14.25" customHeight="1" x14ac:dyDescent="0.25">
      <c r="A785" s="289"/>
      <c r="F785" s="251"/>
      <c r="G785" s="251"/>
      <c r="H785" s="289"/>
      <c r="J785" s="251"/>
      <c r="K785" s="289"/>
    </row>
    <row r="786" spans="1:11" ht="14.25" customHeight="1" x14ac:dyDescent="0.25">
      <c r="A786" s="289"/>
      <c r="F786" s="251"/>
      <c r="G786" s="251"/>
      <c r="H786" s="289"/>
      <c r="J786" s="251"/>
      <c r="K786" s="289"/>
    </row>
    <row r="787" spans="1:11" ht="14.25" customHeight="1" x14ac:dyDescent="0.25">
      <c r="A787" s="289"/>
      <c r="F787" s="251"/>
      <c r="G787" s="251"/>
      <c r="H787" s="289"/>
      <c r="J787" s="251"/>
      <c r="K787" s="289"/>
    </row>
    <row r="788" spans="1:11" ht="14.25" customHeight="1" x14ac:dyDescent="0.25">
      <c r="A788" s="289"/>
      <c r="F788" s="251"/>
      <c r="G788" s="251"/>
      <c r="H788" s="289"/>
      <c r="J788" s="251"/>
      <c r="K788" s="289"/>
    </row>
    <row r="789" spans="1:11" ht="14.25" customHeight="1" x14ac:dyDescent="0.25">
      <c r="A789" s="289"/>
      <c r="F789" s="251"/>
      <c r="G789" s="251"/>
      <c r="H789" s="289"/>
      <c r="J789" s="251"/>
      <c r="K789" s="289"/>
    </row>
    <row r="790" spans="1:11" ht="14.25" customHeight="1" x14ac:dyDescent="0.25">
      <c r="A790" s="289"/>
      <c r="F790" s="251"/>
      <c r="G790" s="251"/>
      <c r="H790" s="289"/>
      <c r="J790" s="251"/>
      <c r="K790" s="289"/>
    </row>
    <row r="791" spans="1:11" ht="14.25" customHeight="1" x14ac:dyDescent="0.25">
      <c r="A791" s="289"/>
      <c r="F791" s="251"/>
      <c r="G791" s="251"/>
      <c r="H791" s="289"/>
      <c r="J791" s="251"/>
      <c r="K791" s="289"/>
    </row>
    <row r="792" spans="1:11" ht="14.25" customHeight="1" x14ac:dyDescent="0.25">
      <c r="A792" s="289"/>
      <c r="F792" s="251"/>
      <c r="G792" s="251"/>
      <c r="H792" s="289"/>
      <c r="J792" s="251"/>
      <c r="K792" s="289"/>
    </row>
    <row r="793" spans="1:11" ht="14.25" customHeight="1" x14ac:dyDescent="0.25">
      <c r="A793" s="289"/>
      <c r="F793" s="251"/>
      <c r="G793" s="251"/>
      <c r="H793" s="289"/>
      <c r="J793" s="251"/>
      <c r="K793" s="289"/>
    </row>
    <row r="794" spans="1:11" ht="14.25" customHeight="1" x14ac:dyDescent="0.25">
      <c r="A794" s="289"/>
      <c r="F794" s="251"/>
      <c r="G794" s="251"/>
      <c r="H794" s="289"/>
      <c r="J794" s="251"/>
      <c r="K794" s="289"/>
    </row>
    <row r="795" spans="1:11" ht="14.25" customHeight="1" x14ac:dyDescent="0.25">
      <c r="A795" s="289"/>
      <c r="F795" s="251"/>
      <c r="G795" s="251"/>
      <c r="H795" s="289"/>
      <c r="J795" s="251"/>
      <c r="K795" s="289"/>
    </row>
    <row r="796" spans="1:11" ht="14.25" customHeight="1" x14ac:dyDescent="0.25">
      <c r="A796" s="289"/>
      <c r="F796" s="251"/>
      <c r="G796" s="251"/>
      <c r="H796" s="289"/>
      <c r="J796" s="251"/>
      <c r="K796" s="289"/>
    </row>
    <row r="797" spans="1:11" ht="14.25" customHeight="1" x14ac:dyDescent="0.25">
      <c r="A797" s="289"/>
      <c r="F797" s="251"/>
      <c r="G797" s="251"/>
      <c r="H797" s="289"/>
      <c r="J797" s="251"/>
      <c r="K797" s="289"/>
    </row>
    <row r="798" spans="1:11" ht="14.25" customHeight="1" x14ac:dyDescent="0.25">
      <c r="A798" s="289"/>
      <c r="F798" s="251"/>
      <c r="G798" s="251"/>
      <c r="H798" s="289"/>
      <c r="J798" s="251"/>
      <c r="K798" s="289"/>
    </row>
    <row r="799" spans="1:11" ht="14.25" customHeight="1" x14ac:dyDescent="0.25">
      <c r="A799" s="289"/>
      <c r="F799" s="251"/>
      <c r="G799" s="251"/>
      <c r="H799" s="289"/>
      <c r="J799" s="251"/>
      <c r="K799" s="289"/>
    </row>
    <row r="800" spans="1:11" ht="14.25" customHeight="1" x14ac:dyDescent="0.25">
      <c r="A800" s="289"/>
      <c r="F800" s="251"/>
      <c r="G800" s="251"/>
      <c r="H800" s="289"/>
      <c r="J800" s="251"/>
      <c r="K800" s="289"/>
    </row>
    <row r="801" spans="1:11" ht="14.25" customHeight="1" x14ac:dyDescent="0.25">
      <c r="A801" s="289"/>
      <c r="F801" s="251"/>
      <c r="G801" s="251"/>
      <c r="H801" s="289"/>
      <c r="J801" s="251"/>
      <c r="K801" s="289"/>
    </row>
    <row r="802" spans="1:11" ht="14.25" customHeight="1" x14ac:dyDescent="0.25">
      <c r="A802" s="289"/>
      <c r="F802" s="251"/>
      <c r="G802" s="251"/>
      <c r="H802" s="289"/>
      <c r="J802" s="251"/>
      <c r="K802" s="289"/>
    </row>
    <row r="803" spans="1:11" ht="14.25" customHeight="1" x14ac:dyDescent="0.25">
      <c r="A803" s="289"/>
      <c r="F803" s="251"/>
      <c r="G803" s="251"/>
      <c r="H803" s="289"/>
      <c r="J803" s="251"/>
      <c r="K803" s="289"/>
    </row>
    <row r="804" spans="1:11" ht="14.25" customHeight="1" x14ac:dyDescent="0.25">
      <c r="A804" s="289"/>
      <c r="F804" s="251"/>
      <c r="G804" s="251"/>
      <c r="H804" s="289"/>
      <c r="J804" s="251"/>
      <c r="K804" s="289"/>
    </row>
    <row r="805" spans="1:11" ht="14.25" customHeight="1" x14ac:dyDescent="0.25">
      <c r="A805" s="289"/>
      <c r="F805" s="251"/>
      <c r="G805" s="251"/>
      <c r="H805" s="289"/>
      <c r="J805" s="251"/>
      <c r="K805" s="289"/>
    </row>
    <row r="806" spans="1:11" ht="14.25" customHeight="1" x14ac:dyDescent="0.25">
      <c r="A806" s="289"/>
      <c r="F806" s="251"/>
      <c r="G806" s="251"/>
      <c r="H806" s="289"/>
      <c r="J806" s="251"/>
      <c r="K806" s="289"/>
    </row>
    <row r="807" spans="1:11" ht="14.25" customHeight="1" x14ac:dyDescent="0.25">
      <c r="A807" s="289"/>
      <c r="F807" s="251"/>
      <c r="G807" s="251"/>
      <c r="H807" s="289"/>
      <c r="J807" s="251"/>
      <c r="K807" s="289"/>
    </row>
    <row r="808" spans="1:11" ht="14.25" customHeight="1" x14ac:dyDescent="0.25">
      <c r="A808" s="289"/>
      <c r="F808" s="251"/>
      <c r="G808" s="251"/>
      <c r="H808" s="289"/>
      <c r="J808" s="251"/>
      <c r="K808" s="289"/>
    </row>
    <row r="809" spans="1:11" ht="14.25" customHeight="1" x14ac:dyDescent="0.25">
      <c r="A809" s="289"/>
      <c r="F809" s="251"/>
      <c r="G809" s="251"/>
      <c r="H809" s="289"/>
      <c r="J809" s="251"/>
      <c r="K809" s="289"/>
    </row>
    <row r="810" spans="1:11" ht="14.25" customHeight="1" x14ac:dyDescent="0.25">
      <c r="A810" s="289"/>
      <c r="F810" s="251"/>
      <c r="G810" s="251"/>
      <c r="H810" s="289"/>
      <c r="J810" s="251"/>
      <c r="K810" s="289"/>
    </row>
    <row r="811" spans="1:11" ht="14.25" customHeight="1" x14ac:dyDescent="0.25">
      <c r="A811" s="289"/>
      <c r="F811" s="251"/>
      <c r="G811" s="251"/>
      <c r="H811" s="289"/>
      <c r="J811" s="251"/>
      <c r="K811" s="289"/>
    </row>
    <row r="812" spans="1:11" ht="14.25" customHeight="1" x14ac:dyDescent="0.25">
      <c r="A812" s="289"/>
      <c r="F812" s="251"/>
      <c r="G812" s="251"/>
      <c r="H812" s="289"/>
      <c r="J812" s="251"/>
      <c r="K812" s="289"/>
    </row>
    <row r="813" spans="1:11" ht="14.25" customHeight="1" x14ac:dyDescent="0.25">
      <c r="A813" s="289"/>
      <c r="F813" s="251"/>
      <c r="G813" s="251"/>
      <c r="H813" s="289"/>
      <c r="J813" s="251"/>
      <c r="K813" s="289"/>
    </row>
    <row r="814" spans="1:11" ht="14.25" customHeight="1" x14ac:dyDescent="0.25">
      <c r="A814" s="289"/>
      <c r="F814" s="251"/>
      <c r="G814" s="251"/>
      <c r="H814" s="289"/>
      <c r="J814" s="251"/>
      <c r="K814" s="289"/>
    </row>
    <row r="815" spans="1:11" ht="14.25" customHeight="1" x14ac:dyDescent="0.25">
      <c r="A815" s="289"/>
      <c r="F815" s="251"/>
      <c r="G815" s="251"/>
      <c r="H815" s="289"/>
      <c r="J815" s="251"/>
      <c r="K815" s="289"/>
    </row>
    <row r="816" spans="1:11" ht="14.25" customHeight="1" x14ac:dyDescent="0.25">
      <c r="A816" s="289"/>
      <c r="F816" s="251"/>
      <c r="G816" s="251"/>
      <c r="H816" s="289"/>
      <c r="J816" s="251"/>
      <c r="K816" s="289"/>
    </row>
    <row r="817" spans="1:11" ht="14.25" customHeight="1" x14ac:dyDescent="0.25">
      <c r="A817" s="289"/>
      <c r="F817" s="251"/>
      <c r="G817" s="251"/>
      <c r="H817" s="289"/>
      <c r="J817" s="251"/>
      <c r="K817" s="289"/>
    </row>
    <row r="818" spans="1:11" ht="14.25" customHeight="1" x14ac:dyDescent="0.25">
      <c r="A818" s="289"/>
      <c r="F818" s="251"/>
      <c r="G818" s="251"/>
      <c r="H818" s="289"/>
      <c r="J818" s="251"/>
      <c r="K818" s="289"/>
    </row>
    <row r="819" spans="1:11" ht="14.25" customHeight="1" x14ac:dyDescent="0.25">
      <c r="A819" s="289"/>
      <c r="F819" s="251"/>
      <c r="G819" s="251"/>
      <c r="H819" s="289"/>
      <c r="J819" s="251"/>
      <c r="K819" s="289"/>
    </row>
    <row r="820" spans="1:11" ht="14.25" customHeight="1" x14ac:dyDescent="0.25">
      <c r="A820" s="289"/>
      <c r="F820" s="251"/>
      <c r="G820" s="251"/>
      <c r="H820" s="289"/>
      <c r="J820" s="251"/>
      <c r="K820" s="289"/>
    </row>
    <row r="821" spans="1:11" ht="14.25" customHeight="1" x14ac:dyDescent="0.25">
      <c r="A821" s="289"/>
      <c r="F821" s="251"/>
      <c r="G821" s="251"/>
      <c r="H821" s="289"/>
      <c r="J821" s="251"/>
      <c r="K821" s="289"/>
    </row>
    <row r="822" spans="1:11" ht="14.25" customHeight="1" x14ac:dyDescent="0.25">
      <c r="A822" s="289"/>
      <c r="F822" s="251"/>
      <c r="G822" s="251"/>
      <c r="H822" s="289"/>
      <c r="J822" s="251"/>
      <c r="K822" s="289"/>
    </row>
    <row r="823" spans="1:11" ht="14.25" customHeight="1" x14ac:dyDescent="0.25">
      <c r="A823" s="289"/>
      <c r="F823" s="251"/>
      <c r="G823" s="251"/>
      <c r="H823" s="289"/>
      <c r="J823" s="251"/>
      <c r="K823" s="289"/>
    </row>
    <row r="824" spans="1:11" ht="14.25" customHeight="1" x14ac:dyDescent="0.25">
      <c r="A824" s="289"/>
      <c r="F824" s="251"/>
      <c r="G824" s="251"/>
      <c r="H824" s="289"/>
      <c r="J824" s="251"/>
      <c r="K824" s="289"/>
    </row>
    <row r="825" spans="1:11" ht="14.25" customHeight="1" x14ac:dyDescent="0.25">
      <c r="A825" s="289"/>
      <c r="F825" s="251"/>
      <c r="G825" s="251"/>
      <c r="H825" s="289"/>
      <c r="J825" s="251"/>
      <c r="K825" s="289"/>
    </row>
    <row r="826" spans="1:11" ht="14.25" customHeight="1" x14ac:dyDescent="0.25">
      <c r="A826" s="289"/>
      <c r="F826" s="251"/>
      <c r="G826" s="251"/>
      <c r="H826" s="289"/>
      <c r="J826" s="251"/>
      <c r="K826" s="289"/>
    </row>
    <row r="827" spans="1:11" ht="14.25" customHeight="1" x14ac:dyDescent="0.25">
      <c r="A827" s="289"/>
      <c r="F827" s="251"/>
      <c r="G827" s="251"/>
      <c r="H827" s="289"/>
      <c r="J827" s="251"/>
      <c r="K827" s="289"/>
    </row>
    <row r="828" spans="1:11" ht="14.25" customHeight="1" x14ac:dyDescent="0.25">
      <c r="A828" s="289"/>
      <c r="F828" s="251"/>
      <c r="G828" s="251"/>
      <c r="H828" s="289"/>
      <c r="J828" s="251"/>
      <c r="K828" s="289"/>
    </row>
    <row r="829" spans="1:11" ht="14.25" customHeight="1" x14ac:dyDescent="0.25">
      <c r="A829" s="289"/>
      <c r="F829" s="251"/>
      <c r="G829" s="251"/>
      <c r="H829" s="289"/>
      <c r="J829" s="251"/>
      <c r="K829" s="289"/>
    </row>
    <row r="830" spans="1:11" ht="14.25" customHeight="1" x14ac:dyDescent="0.25">
      <c r="A830" s="289"/>
      <c r="F830" s="251"/>
      <c r="G830" s="251"/>
      <c r="H830" s="289"/>
      <c r="J830" s="251"/>
      <c r="K830" s="289"/>
    </row>
    <row r="831" spans="1:11" ht="14.25" customHeight="1" x14ac:dyDescent="0.25">
      <c r="A831" s="289"/>
      <c r="F831" s="251"/>
      <c r="G831" s="251"/>
      <c r="H831" s="289"/>
      <c r="J831" s="251"/>
      <c r="K831" s="289"/>
    </row>
    <row r="832" spans="1:11" ht="14.25" customHeight="1" x14ac:dyDescent="0.25">
      <c r="A832" s="289"/>
      <c r="F832" s="251"/>
      <c r="G832" s="251"/>
      <c r="H832" s="289"/>
      <c r="J832" s="251"/>
      <c r="K832" s="289"/>
    </row>
    <row r="833" spans="1:11" ht="14.25" customHeight="1" x14ac:dyDescent="0.25">
      <c r="A833" s="289"/>
      <c r="F833" s="251"/>
      <c r="G833" s="251"/>
      <c r="H833" s="289"/>
      <c r="J833" s="251"/>
      <c r="K833" s="289"/>
    </row>
    <row r="834" spans="1:11" ht="14.25" customHeight="1" x14ac:dyDescent="0.25">
      <c r="A834" s="289"/>
      <c r="F834" s="251"/>
      <c r="G834" s="251"/>
      <c r="H834" s="289"/>
      <c r="J834" s="251"/>
      <c r="K834" s="289"/>
    </row>
    <row r="835" spans="1:11" ht="14.25" customHeight="1" x14ac:dyDescent="0.25">
      <c r="A835" s="289"/>
      <c r="F835" s="251"/>
      <c r="G835" s="251"/>
      <c r="H835" s="289"/>
      <c r="J835" s="251"/>
      <c r="K835" s="289"/>
    </row>
    <row r="836" spans="1:11" ht="14.25" customHeight="1" x14ac:dyDescent="0.25">
      <c r="A836" s="289"/>
      <c r="F836" s="251"/>
      <c r="G836" s="251"/>
      <c r="H836" s="289"/>
      <c r="J836" s="251"/>
      <c r="K836" s="289"/>
    </row>
    <row r="837" spans="1:11" ht="14.25" customHeight="1" x14ac:dyDescent="0.25">
      <c r="A837" s="289"/>
      <c r="F837" s="251"/>
      <c r="G837" s="251"/>
      <c r="H837" s="289"/>
      <c r="J837" s="251"/>
      <c r="K837" s="289"/>
    </row>
    <row r="838" spans="1:11" ht="14.25" customHeight="1" x14ac:dyDescent="0.25">
      <c r="A838" s="289"/>
      <c r="F838" s="251"/>
      <c r="G838" s="251"/>
      <c r="H838" s="289"/>
      <c r="J838" s="251"/>
      <c r="K838" s="289"/>
    </row>
    <row r="839" spans="1:11" ht="14.25" customHeight="1" x14ac:dyDescent="0.25">
      <c r="A839" s="289"/>
      <c r="F839" s="251"/>
      <c r="G839" s="251"/>
      <c r="H839" s="289"/>
      <c r="J839" s="251"/>
      <c r="K839" s="289"/>
    </row>
    <row r="840" spans="1:11" ht="14.25" customHeight="1" x14ac:dyDescent="0.25">
      <c r="A840" s="289"/>
      <c r="F840" s="251"/>
      <c r="G840" s="251"/>
      <c r="H840" s="289"/>
      <c r="J840" s="251"/>
      <c r="K840" s="289"/>
    </row>
    <row r="841" spans="1:11" ht="14.25" customHeight="1" x14ac:dyDescent="0.25">
      <c r="A841" s="289"/>
      <c r="F841" s="251"/>
      <c r="G841" s="251"/>
      <c r="H841" s="289"/>
      <c r="J841" s="251"/>
      <c r="K841" s="289"/>
    </row>
    <row r="842" spans="1:11" ht="14.25" customHeight="1" x14ac:dyDescent="0.25">
      <c r="A842" s="289"/>
      <c r="F842" s="251"/>
      <c r="G842" s="251"/>
      <c r="H842" s="289"/>
      <c r="J842" s="251"/>
      <c r="K842" s="289"/>
    </row>
    <row r="843" spans="1:11" ht="14.25" customHeight="1" x14ac:dyDescent="0.25">
      <c r="A843" s="289"/>
      <c r="F843" s="251"/>
      <c r="G843" s="251"/>
      <c r="H843" s="289"/>
      <c r="J843" s="251"/>
      <c r="K843" s="289"/>
    </row>
    <row r="844" spans="1:11" ht="14.25" customHeight="1" x14ac:dyDescent="0.25">
      <c r="A844" s="289"/>
      <c r="F844" s="251"/>
      <c r="G844" s="251"/>
      <c r="H844" s="289"/>
      <c r="J844" s="251"/>
      <c r="K844" s="289"/>
    </row>
    <row r="845" spans="1:11" ht="14.25" customHeight="1" x14ac:dyDescent="0.25">
      <c r="A845" s="289"/>
      <c r="F845" s="251"/>
      <c r="G845" s="251"/>
      <c r="H845" s="289"/>
      <c r="J845" s="251"/>
      <c r="K845" s="289"/>
    </row>
    <row r="846" spans="1:11" ht="14.25" customHeight="1" x14ac:dyDescent="0.25">
      <c r="A846" s="289"/>
      <c r="F846" s="251"/>
      <c r="G846" s="251"/>
      <c r="H846" s="289"/>
      <c r="J846" s="251"/>
      <c r="K846" s="289"/>
    </row>
    <row r="847" spans="1:11" ht="14.25" customHeight="1" x14ac:dyDescent="0.25">
      <c r="A847" s="289"/>
      <c r="F847" s="251"/>
      <c r="G847" s="251"/>
      <c r="H847" s="289"/>
      <c r="J847" s="251"/>
      <c r="K847" s="289"/>
    </row>
    <row r="848" spans="1:11" ht="14.25" customHeight="1" x14ac:dyDescent="0.25">
      <c r="A848" s="289"/>
      <c r="F848" s="251"/>
      <c r="G848" s="251"/>
      <c r="H848" s="289"/>
      <c r="J848" s="251"/>
      <c r="K848" s="289"/>
    </row>
    <row r="849" spans="1:11" ht="14.25" customHeight="1" x14ac:dyDescent="0.25">
      <c r="A849" s="289"/>
      <c r="F849" s="251"/>
      <c r="G849" s="251"/>
      <c r="H849" s="289"/>
      <c r="J849" s="251"/>
      <c r="K849" s="289"/>
    </row>
    <row r="850" spans="1:11" ht="14.25" customHeight="1" x14ac:dyDescent="0.25">
      <c r="A850" s="289"/>
      <c r="F850" s="251"/>
      <c r="G850" s="251"/>
      <c r="H850" s="289"/>
      <c r="J850" s="251"/>
      <c r="K850" s="289"/>
    </row>
    <row r="851" spans="1:11" ht="14.25" customHeight="1" x14ac:dyDescent="0.25">
      <c r="A851" s="289"/>
      <c r="F851" s="251"/>
      <c r="G851" s="251"/>
      <c r="H851" s="289"/>
      <c r="J851" s="251"/>
      <c r="K851" s="289"/>
    </row>
    <row r="852" spans="1:11" ht="14.25" customHeight="1" x14ac:dyDescent="0.25">
      <c r="A852" s="289"/>
      <c r="F852" s="251"/>
      <c r="G852" s="251"/>
      <c r="H852" s="289"/>
      <c r="J852" s="251"/>
      <c r="K852" s="289"/>
    </row>
    <row r="853" spans="1:11" ht="14.25" customHeight="1" x14ac:dyDescent="0.25">
      <c r="A853" s="289"/>
      <c r="F853" s="251"/>
      <c r="G853" s="251"/>
      <c r="H853" s="289"/>
      <c r="J853" s="251"/>
      <c r="K853" s="289"/>
    </row>
    <row r="854" spans="1:11" ht="14.25" customHeight="1" x14ac:dyDescent="0.25">
      <c r="A854" s="289"/>
      <c r="F854" s="251"/>
      <c r="G854" s="251"/>
      <c r="H854" s="289"/>
      <c r="J854" s="251"/>
      <c r="K854" s="289"/>
    </row>
    <row r="855" spans="1:11" ht="14.25" customHeight="1" x14ac:dyDescent="0.25">
      <c r="A855" s="289"/>
      <c r="F855" s="251"/>
      <c r="G855" s="251"/>
      <c r="H855" s="289"/>
      <c r="J855" s="251"/>
      <c r="K855" s="289"/>
    </row>
    <row r="856" spans="1:11" ht="14.25" customHeight="1" x14ac:dyDescent="0.25">
      <c r="A856" s="289"/>
      <c r="F856" s="251"/>
      <c r="G856" s="251"/>
      <c r="H856" s="289"/>
      <c r="J856" s="251"/>
      <c r="K856" s="289"/>
    </row>
    <row r="857" spans="1:11" ht="14.25" customHeight="1" x14ac:dyDescent="0.25">
      <c r="A857" s="289"/>
      <c r="F857" s="251"/>
      <c r="G857" s="251"/>
      <c r="H857" s="289"/>
      <c r="J857" s="251"/>
      <c r="K857" s="289"/>
    </row>
    <row r="858" spans="1:11" ht="14.25" customHeight="1" x14ac:dyDescent="0.25">
      <c r="A858" s="289"/>
      <c r="F858" s="251"/>
      <c r="G858" s="251"/>
      <c r="H858" s="289"/>
      <c r="J858" s="251"/>
      <c r="K858" s="289"/>
    </row>
    <row r="859" spans="1:11" ht="14.25" customHeight="1" x14ac:dyDescent="0.25">
      <c r="A859" s="289"/>
      <c r="F859" s="251"/>
      <c r="G859" s="251"/>
      <c r="H859" s="289"/>
      <c r="J859" s="251"/>
      <c r="K859" s="289"/>
    </row>
    <row r="860" spans="1:11" ht="14.25" customHeight="1" x14ac:dyDescent="0.25">
      <c r="A860" s="289"/>
      <c r="F860" s="251"/>
      <c r="G860" s="251"/>
      <c r="H860" s="289"/>
      <c r="J860" s="251"/>
      <c r="K860" s="289"/>
    </row>
    <row r="861" spans="1:11" ht="14.25" customHeight="1" x14ac:dyDescent="0.25">
      <c r="A861" s="289"/>
      <c r="F861" s="251"/>
      <c r="G861" s="251"/>
      <c r="H861" s="289"/>
      <c r="J861" s="251"/>
      <c r="K861" s="289"/>
    </row>
    <row r="862" spans="1:11" ht="14.25" customHeight="1" x14ac:dyDescent="0.25">
      <c r="A862" s="289"/>
      <c r="F862" s="251"/>
      <c r="G862" s="251"/>
      <c r="H862" s="289"/>
      <c r="J862" s="251"/>
      <c r="K862" s="289"/>
    </row>
    <row r="863" spans="1:11" ht="14.25" customHeight="1" x14ac:dyDescent="0.25">
      <c r="A863" s="289"/>
      <c r="F863" s="251"/>
      <c r="G863" s="251"/>
      <c r="H863" s="289"/>
      <c r="J863" s="251"/>
      <c r="K863" s="289"/>
    </row>
    <row r="864" spans="1:11" ht="14.25" customHeight="1" x14ac:dyDescent="0.25">
      <c r="A864" s="289"/>
      <c r="F864" s="251"/>
      <c r="G864" s="251"/>
      <c r="H864" s="289"/>
      <c r="J864" s="251"/>
      <c r="K864" s="289"/>
    </row>
    <row r="865" spans="1:11" ht="14.25" customHeight="1" x14ac:dyDescent="0.25">
      <c r="A865" s="289"/>
      <c r="F865" s="251"/>
      <c r="G865" s="251"/>
      <c r="H865" s="289"/>
      <c r="J865" s="251"/>
      <c r="K865" s="289"/>
    </row>
    <row r="866" spans="1:11" ht="14.25" customHeight="1" x14ac:dyDescent="0.25">
      <c r="A866" s="289"/>
      <c r="F866" s="251"/>
      <c r="G866" s="251"/>
      <c r="H866" s="289"/>
      <c r="J866" s="251"/>
      <c r="K866" s="289"/>
    </row>
    <row r="867" spans="1:11" ht="14.25" customHeight="1" x14ac:dyDescent="0.25">
      <c r="A867" s="289"/>
      <c r="F867" s="251"/>
      <c r="G867" s="251"/>
      <c r="H867" s="289"/>
      <c r="J867" s="251"/>
      <c r="K867" s="289"/>
    </row>
    <row r="868" spans="1:11" ht="14.25" customHeight="1" x14ac:dyDescent="0.25">
      <c r="A868" s="289"/>
      <c r="F868" s="251"/>
      <c r="G868" s="251"/>
      <c r="H868" s="289"/>
      <c r="J868" s="251"/>
      <c r="K868" s="289"/>
    </row>
    <row r="869" spans="1:11" ht="14.25" customHeight="1" x14ac:dyDescent="0.25">
      <c r="A869" s="289"/>
      <c r="F869" s="251"/>
      <c r="G869" s="251"/>
      <c r="H869" s="289"/>
      <c r="J869" s="251"/>
      <c r="K869" s="289"/>
    </row>
    <row r="870" spans="1:11" ht="14.25" customHeight="1" x14ac:dyDescent="0.25">
      <c r="A870" s="289"/>
      <c r="F870" s="251"/>
      <c r="G870" s="251"/>
      <c r="H870" s="289"/>
      <c r="J870" s="251"/>
      <c r="K870" s="289"/>
    </row>
    <row r="871" spans="1:11" ht="14.25" customHeight="1" x14ac:dyDescent="0.25">
      <c r="A871" s="289"/>
      <c r="F871" s="251"/>
      <c r="G871" s="251"/>
      <c r="H871" s="289"/>
      <c r="J871" s="251"/>
      <c r="K871" s="289"/>
    </row>
    <row r="872" spans="1:11" ht="14.25" customHeight="1" x14ac:dyDescent="0.25">
      <c r="A872" s="289"/>
      <c r="F872" s="251"/>
      <c r="G872" s="251"/>
      <c r="H872" s="289"/>
      <c r="J872" s="251"/>
      <c r="K872" s="289"/>
    </row>
    <row r="873" spans="1:11" ht="14.25" customHeight="1" x14ac:dyDescent="0.25">
      <c r="A873" s="289"/>
      <c r="F873" s="251"/>
      <c r="G873" s="251"/>
      <c r="H873" s="289"/>
      <c r="J873" s="251"/>
      <c r="K873" s="289"/>
    </row>
    <row r="874" spans="1:11" ht="14.25" customHeight="1" x14ac:dyDescent="0.25">
      <c r="A874" s="289"/>
      <c r="F874" s="251"/>
      <c r="G874" s="251"/>
      <c r="H874" s="289"/>
      <c r="J874" s="251"/>
      <c r="K874" s="289"/>
    </row>
    <row r="875" spans="1:11" ht="14.25" customHeight="1" x14ac:dyDescent="0.25">
      <c r="A875" s="289"/>
      <c r="F875" s="251"/>
      <c r="G875" s="251"/>
      <c r="H875" s="289"/>
      <c r="J875" s="251"/>
      <c r="K875" s="289"/>
    </row>
    <row r="876" spans="1:11" ht="14.25" customHeight="1" x14ac:dyDescent="0.25">
      <c r="A876" s="289"/>
      <c r="F876" s="251"/>
      <c r="G876" s="251"/>
      <c r="H876" s="289"/>
      <c r="J876" s="251"/>
      <c r="K876" s="289"/>
    </row>
    <row r="877" spans="1:11" ht="14.25" customHeight="1" x14ac:dyDescent="0.25">
      <c r="A877" s="289"/>
      <c r="F877" s="251"/>
      <c r="G877" s="251"/>
      <c r="H877" s="289"/>
      <c r="J877" s="251"/>
      <c r="K877" s="289"/>
    </row>
    <row r="878" spans="1:11" ht="14.25" customHeight="1" x14ac:dyDescent="0.25">
      <c r="A878" s="289"/>
      <c r="F878" s="251"/>
      <c r="G878" s="251"/>
      <c r="H878" s="289"/>
      <c r="J878" s="251"/>
      <c r="K878" s="289"/>
    </row>
    <row r="879" spans="1:11" ht="14.25" customHeight="1" x14ac:dyDescent="0.25">
      <c r="A879" s="289"/>
      <c r="F879" s="251"/>
      <c r="G879" s="251"/>
      <c r="H879" s="289"/>
      <c r="J879" s="251"/>
      <c r="K879" s="289"/>
    </row>
    <row r="880" spans="1:11" ht="14.25" customHeight="1" x14ac:dyDescent="0.25">
      <c r="A880" s="289"/>
      <c r="F880" s="251"/>
      <c r="G880" s="251"/>
      <c r="H880" s="289"/>
      <c r="J880" s="251"/>
      <c r="K880" s="289"/>
    </row>
    <row r="881" spans="1:11" ht="14.25" customHeight="1" x14ac:dyDescent="0.25">
      <c r="A881" s="289"/>
      <c r="F881" s="251"/>
      <c r="G881" s="251"/>
      <c r="H881" s="289"/>
      <c r="J881" s="251"/>
      <c r="K881" s="289"/>
    </row>
    <row r="882" spans="1:11" ht="14.25" customHeight="1" x14ac:dyDescent="0.25">
      <c r="A882" s="289"/>
      <c r="F882" s="251"/>
      <c r="G882" s="251"/>
      <c r="H882" s="289"/>
      <c r="J882" s="251"/>
      <c r="K882" s="289"/>
    </row>
    <row r="883" spans="1:11" ht="14.25" customHeight="1" x14ac:dyDescent="0.25">
      <c r="A883" s="289"/>
      <c r="F883" s="251"/>
      <c r="G883" s="251"/>
      <c r="H883" s="289"/>
      <c r="J883" s="251"/>
      <c r="K883" s="289"/>
    </row>
    <row r="884" spans="1:11" ht="14.25" customHeight="1" x14ac:dyDescent="0.25">
      <c r="A884" s="289"/>
      <c r="F884" s="251"/>
      <c r="G884" s="251"/>
      <c r="H884" s="289"/>
      <c r="J884" s="251"/>
      <c r="K884" s="289"/>
    </row>
    <row r="885" spans="1:11" ht="14.25" customHeight="1" x14ac:dyDescent="0.25">
      <c r="A885" s="289"/>
      <c r="F885" s="251"/>
      <c r="G885" s="251"/>
      <c r="H885" s="289"/>
      <c r="J885" s="251"/>
      <c r="K885" s="289"/>
    </row>
    <row r="886" spans="1:11" ht="14.25" customHeight="1" x14ac:dyDescent="0.25">
      <c r="A886" s="289"/>
      <c r="F886" s="251"/>
      <c r="G886" s="251"/>
      <c r="H886" s="289"/>
      <c r="J886" s="251"/>
      <c r="K886" s="289"/>
    </row>
    <row r="887" spans="1:11" ht="14.25" customHeight="1" x14ac:dyDescent="0.25">
      <c r="A887" s="289"/>
      <c r="F887" s="251"/>
      <c r="G887" s="251"/>
      <c r="H887" s="289"/>
      <c r="J887" s="251"/>
      <c r="K887" s="289"/>
    </row>
    <row r="888" spans="1:11" ht="14.25" customHeight="1" x14ac:dyDescent="0.25">
      <c r="A888" s="289"/>
      <c r="F888" s="251"/>
      <c r="G888" s="251"/>
      <c r="H888" s="289"/>
      <c r="J888" s="251"/>
      <c r="K888" s="289"/>
    </row>
    <row r="889" spans="1:11" ht="14.25" customHeight="1" x14ac:dyDescent="0.25">
      <c r="A889" s="289"/>
      <c r="F889" s="251"/>
      <c r="G889" s="251"/>
      <c r="H889" s="289"/>
      <c r="J889" s="251"/>
      <c r="K889" s="289"/>
    </row>
    <row r="890" spans="1:11" ht="14.25" customHeight="1" x14ac:dyDescent="0.25">
      <c r="A890" s="289"/>
      <c r="F890" s="251"/>
      <c r="G890" s="251"/>
      <c r="H890" s="289"/>
      <c r="J890" s="251"/>
      <c r="K890" s="289"/>
    </row>
    <row r="891" spans="1:11" ht="14.25" customHeight="1" x14ac:dyDescent="0.25">
      <c r="A891" s="289"/>
      <c r="F891" s="251"/>
      <c r="G891" s="251"/>
      <c r="H891" s="289"/>
      <c r="J891" s="251"/>
      <c r="K891" s="289"/>
    </row>
    <row r="892" spans="1:11" ht="14.25" customHeight="1" x14ac:dyDescent="0.25">
      <c r="A892" s="289"/>
      <c r="F892" s="251"/>
      <c r="G892" s="251"/>
      <c r="H892" s="289"/>
      <c r="J892" s="251"/>
      <c r="K892" s="289"/>
    </row>
    <row r="893" spans="1:11" ht="14.25" customHeight="1" x14ac:dyDescent="0.25">
      <c r="A893" s="289"/>
      <c r="F893" s="251"/>
      <c r="G893" s="251"/>
      <c r="H893" s="289"/>
      <c r="J893" s="251"/>
      <c r="K893" s="289"/>
    </row>
    <row r="894" spans="1:11" ht="14.25" customHeight="1" x14ac:dyDescent="0.25">
      <c r="A894" s="289"/>
      <c r="F894" s="251"/>
      <c r="G894" s="251"/>
      <c r="H894" s="289"/>
      <c r="J894" s="251"/>
      <c r="K894" s="289"/>
    </row>
    <row r="895" spans="1:11" ht="14.25" customHeight="1" x14ac:dyDescent="0.25">
      <c r="A895" s="289"/>
      <c r="F895" s="251"/>
      <c r="G895" s="251"/>
      <c r="H895" s="289"/>
      <c r="J895" s="251"/>
      <c r="K895" s="289"/>
    </row>
    <row r="896" spans="1:11" ht="14.25" customHeight="1" x14ac:dyDescent="0.25">
      <c r="A896" s="289"/>
      <c r="F896" s="251"/>
      <c r="G896" s="251"/>
      <c r="H896" s="289"/>
      <c r="J896" s="251"/>
      <c r="K896" s="289"/>
    </row>
    <row r="897" spans="1:11" ht="14.25" customHeight="1" x14ac:dyDescent="0.25">
      <c r="A897" s="289"/>
      <c r="F897" s="251"/>
      <c r="G897" s="251"/>
      <c r="H897" s="289"/>
      <c r="J897" s="251"/>
      <c r="K897" s="289"/>
    </row>
    <row r="898" spans="1:11" ht="14.25" customHeight="1" x14ac:dyDescent="0.25">
      <c r="A898" s="289"/>
      <c r="F898" s="251"/>
      <c r="G898" s="251"/>
      <c r="H898" s="289"/>
      <c r="J898" s="251"/>
      <c r="K898" s="289"/>
    </row>
    <row r="899" spans="1:11" ht="14.25" customHeight="1" x14ac:dyDescent="0.25">
      <c r="A899" s="289"/>
      <c r="F899" s="251"/>
      <c r="G899" s="251"/>
      <c r="H899" s="289"/>
      <c r="J899" s="251"/>
      <c r="K899" s="289"/>
    </row>
    <row r="900" spans="1:11" ht="14.25" customHeight="1" x14ac:dyDescent="0.25">
      <c r="A900" s="289"/>
      <c r="F900" s="251"/>
      <c r="G900" s="251"/>
      <c r="H900" s="289"/>
      <c r="J900" s="251"/>
      <c r="K900" s="289"/>
    </row>
    <row r="901" spans="1:11" ht="14.25" customHeight="1" x14ac:dyDescent="0.25">
      <c r="A901" s="289"/>
      <c r="F901" s="251"/>
      <c r="G901" s="251"/>
      <c r="H901" s="289"/>
      <c r="J901" s="251"/>
      <c r="K901" s="289"/>
    </row>
    <row r="902" spans="1:11" ht="14.25" customHeight="1" x14ac:dyDescent="0.25">
      <c r="A902" s="289"/>
      <c r="F902" s="251"/>
      <c r="G902" s="251"/>
      <c r="H902" s="289"/>
      <c r="J902" s="251"/>
      <c r="K902" s="289"/>
    </row>
    <row r="903" spans="1:11" ht="14.25" customHeight="1" x14ac:dyDescent="0.25">
      <c r="A903" s="289"/>
      <c r="F903" s="251"/>
      <c r="G903" s="251"/>
      <c r="H903" s="289"/>
      <c r="J903" s="251"/>
      <c r="K903" s="289"/>
    </row>
    <row r="904" spans="1:11" ht="14.25" customHeight="1" x14ac:dyDescent="0.25">
      <c r="A904" s="289"/>
      <c r="F904" s="251"/>
      <c r="G904" s="251"/>
      <c r="H904" s="289"/>
      <c r="J904" s="251"/>
      <c r="K904" s="289"/>
    </row>
    <row r="905" spans="1:11" ht="14.25" customHeight="1" x14ac:dyDescent="0.25">
      <c r="A905" s="289"/>
      <c r="F905" s="251"/>
      <c r="G905" s="251"/>
      <c r="H905" s="289"/>
      <c r="J905" s="251"/>
      <c r="K905" s="289"/>
    </row>
    <row r="906" spans="1:11" ht="14.25" customHeight="1" x14ac:dyDescent="0.25">
      <c r="A906" s="289"/>
      <c r="F906" s="251"/>
      <c r="G906" s="251"/>
      <c r="H906" s="289"/>
      <c r="J906" s="251"/>
      <c r="K906" s="289"/>
    </row>
    <row r="907" spans="1:11" ht="14.25" customHeight="1" x14ac:dyDescent="0.25">
      <c r="A907" s="289"/>
      <c r="F907" s="251"/>
      <c r="G907" s="251"/>
      <c r="H907" s="289"/>
      <c r="J907" s="251"/>
      <c r="K907" s="289"/>
    </row>
    <row r="908" spans="1:11" ht="14.25" customHeight="1" x14ac:dyDescent="0.25">
      <c r="A908" s="289"/>
      <c r="F908" s="251"/>
      <c r="G908" s="251"/>
      <c r="H908" s="289"/>
      <c r="J908" s="251"/>
      <c r="K908" s="289"/>
    </row>
    <row r="909" spans="1:11" ht="14.25" customHeight="1" x14ac:dyDescent="0.25">
      <c r="A909" s="289"/>
      <c r="F909" s="251"/>
      <c r="G909" s="251"/>
      <c r="H909" s="289"/>
      <c r="J909" s="251"/>
      <c r="K909" s="289"/>
    </row>
    <row r="910" spans="1:11" ht="14.25" customHeight="1" x14ac:dyDescent="0.25">
      <c r="A910" s="289"/>
      <c r="F910" s="251"/>
      <c r="G910" s="251"/>
      <c r="H910" s="289"/>
      <c r="J910" s="251"/>
      <c r="K910" s="289"/>
    </row>
    <row r="911" spans="1:11" ht="14.25" customHeight="1" x14ac:dyDescent="0.25">
      <c r="A911" s="289"/>
      <c r="F911" s="251"/>
      <c r="G911" s="251"/>
      <c r="H911" s="289"/>
      <c r="J911" s="251"/>
      <c r="K911" s="289"/>
    </row>
    <row r="912" spans="1:11" ht="14.25" customHeight="1" x14ac:dyDescent="0.25">
      <c r="A912" s="289"/>
      <c r="F912" s="251"/>
      <c r="G912" s="251"/>
      <c r="H912" s="289"/>
      <c r="J912" s="251"/>
      <c r="K912" s="289"/>
    </row>
    <row r="913" spans="1:11" ht="14.25" customHeight="1" x14ac:dyDescent="0.25">
      <c r="A913" s="289"/>
      <c r="F913" s="251"/>
      <c r="G913" s="251"/>
      <c r="H913" s="289"/>
      <c r="J913" s="251"/>
      <c r="K913" s="289"/>
    </row>
    <row r="914" spans="1:11" ht="14.25" customHeight="1" x14ac:dyDescent="0.25">
      <c r="A914" s="289"/>
      <c r="F914" s="251"/>
      <c r="G914" s="251"/>
      <c r="H914" s="289"/>
      <c r="J914" s="251"/>
      <c r="K914" s="289"/>
    </row>
    <row r="915" spans="1:11" ht="14.25" customHeight="1" x14ac:dyDescent="0.25">
      <c r="A915" s="289"/>
      <c r="F915" s="251"/>
      <c r="G915" s="251"/>
      <c r="H915" s="289"/>
      <c r="J915" s="251"/>
      <c r="K915" s="289"/>
    </row>
    <row r="916" spans="1:11" ht="14.25" customHeight="1" x14ac:dyDescent="0.25">
      <c r="A916" s="289"/>
      <c r="F916" s="251"/>
      <c r="G916" s="251"/>
      <c r="H916" s="289"/>
      <c r="J916" s="251"/>
      <c r="K916" s="289"/>
    </row>
    <row r="917" spans="1:11" ht="14.25" customHeight="1" x14ac:dyDescent="0.25">
      <c r="A917" s="289"/>
      <c r="F917" s="251"/>
      <c r="G917" s="251"/>
      <c r="H917" s="289"/>
      <c r="J917" s="251"/>
      <c r="K917" s="289"/>
    </row>
    <row r="918" spans="1:11" ht="14.25" customHeight="1" x14ac:dyDescent="0.25">
      <c r="A918" s="289"/>
      <c r="F918" s="251"/>
      <c r="G918" s="251"/>
      <c r="H918" s="289"/>
      <c r="J918" s="251"/>
      <c r="K918" s="289"/>
    </row>
    <row r="919" spans="1:11" ht="14.25" customHeight="1" x14ac:dyDescent="0.25">
      <c r="A919" s="289"/>
      <c r="F919" s="251"/>
      <c r="G919" s="251"/>
      <c r="H919" s="289"/>
      <c r="J919" s="251"/>
      <c r="K919" s="289"/>
    </row>
    <row r="920" spans="1:11" ht="14.25" customHeight="1" x14ac:dyDescent="0.25">
      <c r="A920" s="289"/>
      <c r="F920" s="251"/>
      <c r="G920" s="251"/>
      <c r="H920" s="289"/>
      <c r="J920" s="251"/>
      <c r="K920" s="289"/>
    </row>
    <row r="921" spans="1:11" ht="14.25" customHeight="1" x14ac:dyDescent="0.25">
      <c r="A921" s="289"/>
      <c r="F921" s="251"/>
      <c r="G921" s="251"/>
      <c r="H921" s="289"/>
      <c r="J921" s="251"/>
      <c r="K921" s="289"/>
    </row>
    <row r="922" spans="1:11" ht="14.25" customHeight="1" x14ac:dyDescent="0.25">
      <c r="A922" s="289"/>
      <c r="F922" s="251"/>
      <c r="G922" s="251"/>
      <c r="H922" s="289"/>
      <c r="J922" s="251"/>
      <c r="K922" s="289"/>
    </row>
    <row r="923" spans="1:11" ht="14.25" customHeight="1" x14ac:dyDescent="0.25">
      <c r="A923" s="289"/>
      <c r="F923" s="251"/>
      <c r="G923" s="251"/>
      <c r="H923" s="289"/>
      <c r="J923" s="251"/>
      <c r="K923" s="289"/>
    </row>
    <row r="924" spans="1:11" ht="14.25" customHeight="1" x14ac:dyDescent="0.25">
      <c r="A924" s="289"/>
      <c r="F924" s="251"/>
      <c r="G924" s="251"/>
      <c r="H924" s="289"/>
      <c r="J924" s="251"/>
      <c r="K924" s="289"/>
    </row>
    <row r="925" spans="1:11" ht="14.25" customHeight="1" x14ac:dyDescent="0.25">
      <c r="A925" s="289"/>
      <c r="F925" s="251"/>
      <c r="G925" s="251"/>
      <c r="H925" s="289"/>
      <c r="J925" s="251"/>
      <c r="K925" s="289"/>
    </row>
    <row r="926" spans="1:11" ht="14.25" customHeight="1" x14ac:dyDescent="0.25">
      <c r="A926" s="289"/>
      <c r="F926" s="251"/>
      <c r="G926" s="251"/>
      <c r="H926" s="289"/>
      <c r="J926" s="251"/>
      <c r="K926" s="289"/>
    </row>
    <row r="927" spans="1:11" ht="14.25" customHeight="1" x14ac:dyDescent="0.25">
      <c r="A927" s="289"/>
      <c r="F927" s="251"/>
      <c r="G927" s="251"/>
      <c r="H927" s="289"/>
      <c r="J927" s="251"/>
      <c r="K927" s="289"/>
    </row>
    <row r="928" spans="1:11" ht="14.25" customHeight="1" x14ac:dyDescent="0.25">
      <c r="A928" s="289"/>
      <c r="F928" s="251"/>
      <c r="G928" s="251"/>
      <c r="H928" s="289"/>
      <c r="J928" s="251"/>
      <c r="K928" s="289"/>
    </row>
    <row r="929" spans="1:11" ht="14.25" customHeight="1" x14ac:dyDescent="0.25">
      <c r="A929" s="289"/>
      <c r="F929" s="251"/>
      <c r="G929" s="251"/>
      <c r="H929" s="289"/>
      <c r="J929" s="251"/>
      <c r="K929" s="289"/>
    </row>
    <row r="930" spans="1:11" ht="14.25" customHeight="1" x14ac:dyDescent="0.25">
      <c r="A930" s="289"/>
      <c r="F930" s="251"/>
      <c r="G930" s="251"/>
      <c r="H930" s="289"/>
      <c r="J930" s="251"/>
      <c r="K930" s="289"/>
    </row>
    <row r="931" spans="1:11" ht="14.25" customHeight="1" x14ac:dyDescent="0.25">
      <c r="A931" s="289"/>
      <c r="F931" s="251"/>
      <c r="G931" s="251"/>
      <c r="H931" s="289"/>
      <c r="J931" s="251"/>
      <c r="K931" s="289"/>
    </row>
    <row r="932" spans="1:11" ht="14.25" customHeight="1" x14ac:dyDescent="0.25">
      <c r="A932" s="289"/>
      <c r="F932" s="251"/>
      <c r="G932" s="251"/>
      <c r="H932" s="289"/>
      <c r="J932" s="251"/>
      <c r="K932" s="289"/>
    </row>
    <row r="933" spans="1:11" ht="14.25" customHeight="1" x14ac:dyDescent="0.25">
      <c r="A933" s="289"/>
      <c r="F933" s="251"/>
      <c r="G933" s="251"/>
      <c r="H933" s="289"/>
      <c r="J933" s="251"/>
      <c r="K933" s="289"/>
    </row>
    <row r="934" spans="1:11" ht="14.25" customHeight="1" x14ac:dyDescent="0.25">
      <c r="A934" s="289"/>
      <c r="F934" s="251"/>
      <c r="G934" s="251"/>
      <c r="H934" s="289"/>
      <c r="J934" s="251"/>
      <c r="K934" s="289"/>
    </row>
    <row r="935" spans="1:11" ht="14.25" customHeight="1" x14ac:dyDescent="0.25">
      <c r="A935" s="289"/>
      <c r="F935" s="251"/>
      <c r="G935" s="251"/>
      <c r="H935" s="289"/>
      <c r="J935" s="251"/>
      <c r="K935" s="289"/>
    </row>
    <row r="936" spans="1:11" ht="14.25" customHeight="1" x14ac:dyDescent="0.25">
      <c r="A936" s="289"/>
      <c r="F936" s="251"/>
      <c r="G936" s="251"/>
      <c r="H936" s="289"/>
      <c r="J936" s="251"/>
      <c r="K936" s="289"/>
    </row>
    <row r="937" spans="1:11" ht="14.25" customHeight="1" x14ac:dyDescent="0.25">
      <c r="A937" s="289"/>
      <c r="F937" s="251"/>
      <c r="G937" s="251"/>
      <c r="H937" s="289"/>
      <c r="J937" s="251"/>
      <c r="K937" s="289"/>
    </row>
    <row r="938" spans="1:11" ht="14.25" customHeight="1" x14ac:dyDescent="0.25">
      <c r="A938" s="289"/>
      <c r="F938" s="251"/>
      <c r="G938" s="251"/>
      <c r="H938" s="289"/>
      <c r="J938" s="251"/>
      <c r="K938" s="289"/>
    </row>
    <row r="939" spans="1:11" ht="14.25" customHeight="1" x14ac:dyDescent="0.25">
      <c r="A939" s="289"/>
      <c r="F939" s="251"/>
      <c r="G939" s="251"/>
      <c r="H939" s="289"/>
      <c r="J939" s="251"/>
      <c r="K939" s="289"/>
    </row>
    <row r="940" spans="1:11" ht="14.25" customHeight="1" x14ac:dyDescent="0.25">
      <c r="A940" s="289"/>
      <c r="F940" s="251"/>
      <c r="G940" s="251"/>
      <c r="H940" s="289"/>
      <c r="J940" s="251"/>
      <c r="K940" s="289"/>
    </row>
    <row r="941" spans="1:11" ht="14.25" customHeight="1" x14ac:dyDescent="0.25">
      <c r="A941" s="289"/>
      <c r="F941" s="251"/>
      <c r="G941" s="251"/>
      <c r="H941" s="289"/>
      <c r="J941" s="251"/>
      <c r="K941" s="289"/>
    </row>
    <row r="942" spans="1:11" ht="14.25" customHeight="1" x14ac:dyDescent="0.25">
      <c r="A942" s="289"/>
      <c r="F942" s="251"/>
      <c r="G942" s="251"/>
      <c r="H942" s="289"/>
      <c r="J942" s="251"/>
      <c r="K942" s="289"/>
    </row>
    <row r="943" spans="1:11" ht="14.25" customHeight="1" x14ac:dyDescent="0.25">
      <c r="A943" s="289"/>
      <c r="F943" s="251"/>
      <c r="G943" s="251"/>
      <c r="H943" s="289"/>
      <c r="J943" s="251"/>
      <c r="K943" s="289"/>
    </row>
    <row r="944" spans="1:11" ht="14.25" customHeight="1" x14ac:dyDescent="0.25">
      <c r="A944" s="289"/>
      <c r="F944" s="251"/>
      <c r="G944" s="251"/>
      <c r="H944" s="289"/>
      <c r="J944" s="251"/>
      <c r="K944" s="289"/>
    </row>
    <row r="945" spans="1:11" ht="14.25" customHeight="1" x14ac:dyDescent="0.25">
      <c r="A945" s="289"/>
      <c r="F945" s="251"/>
      <c r="G945" s="251"/>
      <c r="H945" s="289"/>
      <c r="J945" s="251"/>
      <c r="K945" s="289"/>
    </row>
    <row r="946" spans="1:11" ht="14.25" customHeight="1" x14ac:dyDescent="0.25">
      <c r="A946" s="289"/>
      <c r="F946" s="251"/>
      <c r="G946" s="251"/>
      <c r="H946" s="289"/>
      <c r="J946" s="251"/>
      <c r="K946" s="289"/>
    </row>
    <row r="947" spans="1:11" ht="14.25" customHeight="1" x14ac:dyDescent="0.25">
      <c r="A947" s="289"/>
      <c r="F947" s="251"/>
      <c r="G947" s="251"/>
      <c r="H947" s="289"/>
      <c r="J947" s="251"/>
      <c r="K947" s="289"/>
    </row>
    <row r="948" spans="1:11" ht="14.25" customHeight="1" x14ac:dyDescent="0.25">
      <c r="A948" s="289"/>
      <c r="F948" s="251"/>
      <c r="G948" s="251"/>
      <c r="H948" s="289"/>
      <c r="J948" s="251"/>
      <c r="K948" s="289"/>
    </row>
    <row r="949" spans="1:11" ht="14.25" customHeight="1" x14ac:dyDescent="0.25">
      <c r="A949" s="289"/>
      <c r="F949" s="251"/>
      <c r="G949" s="251"/>
      <c r="H949" s="289"/>
      <c r="J949" s="251"/>
      <c r="K949" s="289"/>
    </row>
    <row r="950" spans="1:11" ht="14.25" customHeight="1" x14ac:dyDescent="0.25">
      <c r="A950" s="289"/>
      <c r="F950" s="251"/>
      <c r="G950" s="251"/>
      <c r="H950" s="289"/>
      <c r="J950" s="251"/>
      <c r="K950" s="289"/>
    </row>
    <row r="951" spans="1:11" ht="14.25" customHeight="1" x14ac:dyDescent="0.25">
      <c r="A951" s="289"/>
      <c r="F951" s="251"/>
      <c r="G951" s="251"/>
      <c r="H951" s="289"/>
      <c r="J951" s="251"/>
      <c r="K951" s="289"/>
    </row>
    <row r="952" spans="1:11" ht="14.25" customHeight="1" x14ac:dyDescent="0.25">
      <c r="A952" s="289"/>
      <c r="F952" s="251"/>
      <c r="G952" s="251"/>
      <c r="H952" s="289"/>
      <c r="J952" s="251"/>
      <c r="K952" s="289"/>
    </row>
    <row r="953" spans="1:11" ht="14.25" customHeight="1" x14ac:dyDescent="0.25">
      <c r="A953" s="289"/>
      <c r="F953" s="251"/>
      <c r="G953" s="251"/>
      <c r="H953" s="289"/>
      <c r="J953" s="251"/>
      <c r="K953" s="289"/>
    </row>
    <row r="954" spans="1:11" ht="14.25" customHeight="1" x14ac:dyDescent="0.25">
      <c r="A954" s="289"/>
      <c r="F954" s="251"/>
      <c r="G954" s="251"/>
      <c r="H954" s="289"/>
      <c r="J954" s="251"/>
      <c r="K954" s="289"/>
    </row>
    <row r="955" spans="1:11" ht="14.25" customHeight="1" x14ac:dyDescent="0.25">
      <c r="A955" s="289"/>
      <c r="F955" s="251"/>
      <c r="G955" s="251"/>
      <c r="H955" s="289"/>
      <c r="J955" s="251"/>
      <c r="K955" s="289"/>
    </row>
    <row r="956" spans="1:11" ht="14.25" customHeight="1" x14ac:dyDescent="0.25">
      <c r="A956" s="289"/>
      <c r="F956" s="251"/>
      <c r="G956" s="251"/>
      <c r="H956" s="289"/>
      <c r="J956" s="251"/>
      <c r="K956" s="289"/>
    </row>
    <row r="957" spans="1:11" ht="14.25" customHeight="1" x14ac:dyDescent="0.25">
      <c r="A957" s="289"/>
      <c r="F957" s="251"/>
      <c r="G957" s="251"/>
      <c r="H957" s="289"/>
      <c r="J957" s="251"/>
      <c r="K957" s="289"/>
    </row>
    <row r="958" spans="1:11" ht="14.25" customHeight="1" x14ac:dyDescent="0.25">
      <c r="A958" s="289"/>
      <c r="F958" s="251"/>
      <c r="G958" s="251"/>
      <c r="H958" s="289"/>
      <c r="J958" s="251"/>
      <c r="K958" s="289"/>
    </row>
    <row r="959" spans="1:11" ht="14.25" customHeight="1" x14ac:dyDescent="0.25">
      <c r="A959" s="289"/>
      <c r="F959" s="251"/>
      <c r="G959" s="251"/>
      <c r="H959" s="289"/>
      <c r="J959" s="251"/>
      <c r="K959" s="289"/>
    </row>
    <row r="960" spans="1:11" ht="14.25" customHeight="1" x14ac:dyDescent="0.25">
      <c r="A960" s="289"/>
      <c r="F960" s="251"/>
      <c r="G960" s="251"/>
      <c r="H960" s="289"/>
      <c r="J960" s="251"/>
      <c r="K960" s="289"/>
    </row>
    <row r="961" spans="1:11" ht="14.25" customHeight="1" x14ac:dyDescent="0.25">
      <c r="A961" s="289"/>
      <c r="F961" s="251"/>
      <c r="G961" s="251"/>
      <c r="H961" s="289"/>
      <c r="J961" s="251"/>
      <c r="K961" s="289"/>
    </row>
    <row r="962" spans="1:11" ht="14.25" customHeight="1" x14ac:dyDescent="0.25">
      <c r="A962" s="289"/>
      <c r="F962" s="251"/>
      <c r="G962" s="251"/>
      <c r="H962" s="289"/>
      <c r="J962" s="251"/>
      <c r="K962" s="289"/>
    </row>
    <row r="963" spans="1:11" ht="14.25" customHeight="1" x14ac:dyDescent="0.25">
      <c r="A963" s="289"/>
      <c r="F963" s="251"/>
      <c r="G963" s="251"/>
      <c r="H963" s="289"/>
      <c r="J963" s="251"/>
      <c r="K963" s="289"/>
    </row>
    <row r="964" spans="1:11" ht="14.25" customHeight="1" x14ac:dyDescent="0.25">
      <c r="A964" s="289"/>
      <c r="F964" s="251"/>
      <c r="G964" s="251"/>
      <c r="H964" s="289"/>
      <c r="J964" s="251"/>
      <c r="K964" s="289"/>
    </row>
    <row r="965" spans="1:11" ht="14.25" customHeight="1" x14ac:dyDescent="0.25">
      <c r="A965" s="289"/>
      <c r="F965" s="251"/>
      <c r="G965" s="251"/>
      <c r="H965" s="289"/>
      <c r="J965" s="251"/>
      <c r="K965" s="289"/>
    </row>
    <row r="966" spans="1:11" ht="14.25" customHeight="1" x14ac:dyDescent="0.25">
      <c r="A966" s="289"/>
      <c r="F966" s="251"/>
      <c r="G966" s="251"/>
      <c r="H966" s="289"/>
      <c r="J966" s="251"/>
      <c r="K966" s="289"/>
    </row>
    <row r="967" spans="1:11" ht="14.25" customHeight="1" x14ac:dyDescent="0.25">
      <c r="A967" s="289"/>
      <c r="F967" s="251"/>
      <c r="G967" s="251"/>
      <c r="H967" s="289"/>
      <c r="J967" s="251"/>
      <c r="K967" s="289"/>
    </row>
    <row r="968" spans="1:11" ht="14.25" customHeight="1" x14ac:dyDescent="0.25">
      <c r="A968" s="289"/>
      <c r="F968" s="251"/>
      <c r="G968" s="251"/>
      <c r="H968" s="289"/>
      <c r="J968" s="251"/>
      <c r="K968" s="289"/>
    </row>
    <row r="969" spans="1:11" ht="14.25" customHeight="1" x14ac:dyDescent="0.25">
      <c r="A969" s="289"/>
      <c r="F969" s="251"/>
      <c r="G969" s="251"/>
      <c r="H969" s="289"/>
      <c r="J969" s="251"/>
      <c r="K969" s="289"/>
    </row>
    <row r="970" spans="1:11" ht="14.25" customHeight="1" x14ac:dyDescent="0.25">
      <c r="A970" s="289"/>
      <c r="F970" s="251"/>
      <c r="G970" s="251"/>
      <c r="H970" s="289"/>
      <c r="J970" s="251"/>
      <c r="K970" s="289"/>
    </row>
    <row r="971" spans="1:11" ht="14.25" customHeight="1" x14ac:dyDescent="0.25">
      <c r="A971" s="289"/>
      <c r="F971" s="251"/>
      <c r="G971" s="251"/>
      <c r="H971" s="289"/>
      <c r="J971" s="251"/>
      <c r="K971" s="289"/>
    </row>
    <row r="972" spans="1:11" ht="14.25" customHeight="1" x14ac:dyDescent="0.25">
      <c r="A972" s="289"/>
      <c r="F972" s="251"/>
      <c r="G972" s="251"/>
      <c r="H972" s="289"/>
      <c r="J972" s="251"/>
      <c r="K972" s="289"/>
    </row>
    <row r="973" spans="1:11" ht="14.25" customHeight="1" x14ac:dyDescent="0.25">
      <c r="A973" s="289"/>
      <c r="F973" s="251"/>
      <c r="G973" s="251"/>
      <c r="H973" s="289"/>
      <c r="J973" s="251"/>
      <c r="K973" s="289"/>
    </row>
    <row r="974" spans="1:11" ht="14.25" customHeight="1" x14ac:dyDescent="0.25">
      <c r="A974" s="289"/>
      <c r="F974" s="251"/>
      <c r="G974" s="251"/>
      <c r="H974" s="289"/>
      <c r="J974" s="251"/>
      <c r="K974" s="289"/>
    </row>
    <row r="975" spans="1:11" ht="14.25" customHeight="1" x14ac:dyDescent="0.25">
      <c r="A975" s="289"/>
      <c r="F975" s="251"/>
      <c r="G975" s="251"/>
      <c r="H975" s="289"/>
      <c r="J975" s="251"/>
      <c r="K975" s="289"/>
    </row>
    <row r="976" spans="1:11" ht="14.25" customHeight="1" x14ac:dyDescent="0.25">
      <c r="A976" s="289"/>
      <c r="F976" s="251"/>
      <c r="G976" s="251"/>
      <c r="H976" s="289"/>
      <c r="J976" s="251"/>
      <c r="K976" s="289"/>
    </row>
    <row r="977" spans="1:11" ht="14.25" customHeight="1" x14ac:dyDescent="0.25">
      <c r="A977" s="289"/>
      <c r="F977" s="251"/>
      <c r="G977" s="251"/>
      <c r="H977" s="289"/>
      <c r="J977" s="251"/>
      <c r="K977" s="289"/>
    </row>
    <row r="978" spans="1:11" ht="14.25" customHeight="1" x14ac:dyDescent="0.25">
      <c r="A978" s="289"/>
      <c r="F978" s="251"/>
      <c r="G978" s="251"/>
      <c r="H978" s="289"/>
      <c r="J978" s="251"/>
      <c r="K978" s="289"/>
    </row>
    <row r="979" spans="1:11" ht="14.25" customHeight="1" x14ac:dyDescent="0.25">
      <c r="A979" s="289"/>
      <c r="F979" s="251"/>
      <c r="G979" s="251"/>
      <c r="H979" s="289"/>
      <c r="J979" s="251"/>
      <c r="K979" s="289"/>
    </row>
    <row r="980" spans="1:11" ht="14.25" customHeight="1" x14ac:dyDescent="0.25">
      <c r="A980" s="289"/>
      <c r="F980" s="251"/>
      <c r="G980" s="251"/>
      <c r="H980" s="289"/>
      <c r="J980" s="251"/>
      <c r="K980" s="289"/>
    </row>
    <row r="981" spans="1:11" ht="14.25" customHeight="1" x14ac:dyDescent="0.25">
      <c r="A981" s="289"/>
      <c r="F981" s="251"/>
      <c r="G981" s="251"/>
      <c r="H981" s="289"/>
      <c r="J981" s="251"/>
      <c r="K981" s="289"/>
    </row>
    <row r="982" spans="1:11" ht="14.25" customHeight="1" x14ac:dyDescent="0.25">
      <c r="A982" s="289"/>
      <c r="F982" s="251"/>
      <c r="G982" s="251"/>
      <c r="H982" s="289"/>
      <c r="J982" s="251"/>
      <c r="K982" s="289"/>
    </row>
    <row r="983" spans="1:11" ht="14.25" customHeight="1" x14ac:dyDescent="0.25">
      <c r="A983" s="289"/>
      <c r="F983" s="251"/>
      <c r="G983" s="251"/>
      <c r="H983" s="289"/>
      <c r="J983" s="251"/>
      <c r="K983" s="289"/>
    </row>
    <row r="984" spans="1:11" ht="14.25" customHeight="1" x14ac:dyDescent="0.25">
      <c r="A984" s="289"/>
      <c r="F984" s="251"/>
      <c r="G984" s="251"/>
      <c r="H984" s="289"/>
      <c r="J984" s="251"/>
      <c r="K984" s="289"/>
    </row>
    <row r="985" spans="1:11" ht="14.25" customHeight="1" x14ac:dyDescent="0.25">
      <c r="A985" s="289"/>
      <c r="F985" s="251"/>
      <c r="G985" s="251"/>
      <c r="H985" s="289"/>
      <c r="J985" s="251"/>
      <c r="K985" s="289"/>
    </row>
    <row r="986" spans="1:11" ht="14.25" customHeight="1" x14ac:dyDescent="0.25">
      <c r="A986" s="289"/>
      <c r="F986" s="251"/>
      <c r="G986" s="251"/>
      <c r="H986" s="289"/>
      <c r="J986" s="251"/>
      <c r="K986" s="289"/>
    </row>
    <row r="987" spans="1:11" ht="14.25" customHeight="1" x14ac:dyDescent="0.25">
      <c r="A987" s="289"/>
      <c r="F987" s="251"/>
      <c r="G987" s="251"/>
      <c r="H987" s="289"/>
      <c r="J987" s="251"/>
      <c r="K987" s="289"/>
    </row>
    <row r="988" spans="1:11" ht="14.25" customHeight="1" x14ac:dyDescent="0.25">
      <c r="A988" s="289"/>
      <c r="F988" s="251"/>
      <c r="G988" s="251"/>
      <c r="H988" s="289"/>
      <c r="J988" s="251"/>
      <c r="K988" s="289"/>
    </row>
    <row r="989" spans="1:11" ht="14.25" customHeight="1" x14ac:dyDescent="0.25">
      <c r="A989" s="289"/>
      <c r="F989" s="251"/>
      <c r="G989" s="251"/>
      <c r="H989" s="289"/>
      <c r="J989" s="251"/>
      <c r="K989" s="289"/>
    </row>
    <row r="990" spans="1:11" ht="14.25" customHeight="1" x14ac:dyDescent="0.25">
      <c r="A990" s="289"/>
      <c r="F990" s="251"/>
      <c r="G990" s="251"/>
      <c r="H990" s="289"/>
      <c r="J990" s="251"/>
      <c r="K990" s="289"/>
    </row>
    <row r="991" spans="1:11" ht="14.25" customHeight="1" x14ac:dyDescent="0.25">
      <c r="A991" s="289"/>
      <c r="F991" s="251"/>
      <c r="G991" s="251"/>
      <c r="H991" s="289"/>
      <c r="J991" s="251"/>
      <c r="K991" s="289"/>
    </row>
    <row r="992" spans="1:11" ht="14.25" customHeight="1" x14ac:dyDescent="0.25">
      <c r="A992" s="289"/>
      <c r="F992" s="251"/>
      <c r="G992" s="251"/>
      <c r="H992" s="289"/>
      <c r="J992" s="251"/>
      <c r="K992" s="289"/>
    </row>
    <row r="993" spans="1:11" ht="14.25" customHeight="1" x14ac:dyDescent="0.25">
      <c r="A993" s="289"/>
      <c r="F993" s="251"/>
      <c r="G993" s="251"/>
      <c r="H993" s="289"/>
      <c r="J993" s="251"/>
      <c r="K993" s="289"/>
    </row>
    <row r="994" spans="1:11" ht="14.25" customHeight="1" x14ac:dyDescent="0.25">
      <c r="A994" s="289"/>
      <c r="F994" s="251"/>
      <c r="G994" s="251"/>
      <c r="H994" s="289"/>
      <c r="J994" s="251"/>
      <c r="K994" s="289"/>
    </row>
    <row r="995" spans="1:11" ht="14.25" customHeight="1" x14ac:dyDescent="0.25">
      <c r="A995" s="289"/>
      <c r="F995" s="251"/>
      <c r="G995" s="251"/>
      <c r="H995" s="289"/>
      <c r="J995" s="251"/>
      <c r="K995" s="289"/>
    </row>
    <row r="996" spans="1:11" ht="14.25" customHeight="1" x14ac:dyDescent="0.25">
      <c r="A996" s="289"/>
      <c r="F996" s="251"/>
      <c r="G996" s="251"/>
      <c r="H996" s="289"/>
      <c r="J996" s="251"/>
      <c r="K996" s="289"/>
    </row>
    <row r="997" spans="1:11" ht="14.25" customHeight="1" x14ac:dyDescent="0.25">
      <c r="A997" s="289"/>
      <c r="F997" s="251"/>
      <c r="G997" s="251"/>
      <c r="H997" s="289"/>
      <c r="J997" s="251"/>
      <c r="K997" s="289"/>
    </row>
    <row r="998" spans="1:11" ht="14.25" customHeight="1" x14ac:dyDescent="0.25">
      <c r="A998" s="289"/>
      <c r="F998" s="251"/>
      <c r="G998" s="251"/>
      <c r="H998" s="289"/>
      <c r="J998" s="251"/>
      <c r="K998" s="289"/>
    </row>
    <row r="999" spans="1:11" ht="14.25" customHeight="1" x14ac:dyDescent="0.25">
      <c r="A999" s="289"/>
      <c r="F999" s="251"/>
      <c r="G999" s="251"/>
      <c r="H999" s="289"/>
      <c r="J999" s="251"/>
      <c r="K999" s="289"/>
    </row>
    <row r="1000" spans="1:11" ht="14.25" customHeight="1" x14ac:dyDescent="0.25">
      <c r="A1000" s="289"/>
      <c r="F1000" s="251"/>
      <c r="G1000" s="251"/>
      <c r="H1000" s="289"/>
      <c r="J1000" s="251"/>
      <c r="K1000" s="289"/>
    </row>
    <row r="1001" spans="1:11" ht="14.25" customHeight="1" x14ac:dyDescent="0.25">
      <c r="A1001" s="289"/>
      <c r="F1001" s="251"/>
      <c r="G1001" s="251"/>
      <c r="H1001" s="289"/>
      <c r="J1001" s="251"/>
      <c r="K1001" s="289"/>
    </row>
    <row r="1002" spans="1:11" ht="14.25" customHeight="1" x14ac:dyDescent="0.25">
      <c r="A1002" s="289"/>
      <c r="F1002" s="251"/>
      <c r="G1002" s="251"/>
      <c r="H1002" s="289"/>
      <c r="J1002" s="251"/>
      <c r="K1002" s="289"/>
    </row>
    <row r="1003" spans="1:11" ht="14.25" customHeight="1" x14ac:dyDescent="0.25">
      <c r="A1003" s="289"/>
      <c r="F1003" s="251"/>
      <c r="G1003" s="251"/>
      <c r="H1003" s="289"/>
      <c r="J1003" s="251"/>
      <c r="K1003" s="289"/>
    </row>
    <row r="1004" spans="1:11" ht="14.25" customHeight="1" x14ac:dyDescent="0.25">
      <c r="A1004" s="289"/>
      <c r="F1004" s="251"/>
      <c r="G1004" s="251"/>
      <c r="H1004" s="289"/>
      <c r="J1004" s="251"/>
      <c r="K1004" s="289"/>
    </row>
    <row r="1005" spans="1:11" ht="14.25" customHeight="1" x14ac:dyDescent="0.25">
      <c r="A1005" s="289"/>
      <c r="F1005" s="251"/>
      <c r="G1005" s="251"/>
      <c r="H1005" s="289"/>
      <c r="J1005" s="251"/>
      <c r="K1005" s="289"/>
    </row>
    <row r="1006" spans="1:11" ht="14.25" customHeight="1" x14ac:dyDescent="0.25">
      <c r="A1006" s="289"/>
      <c r="F1006" s="251"/>
      <c r="G1006" s="251"/>
      <c r="H1006" s="289"/>
      <c r="J1006" s="251"/>
      <c r="K1006" s="289"/>
    </row>
    <row r="1007" spans="1:11" ht="14.25" customHeight="1" x14ac:dyDescent="0.25">
      <c r="A1007" s="289"/>
      <c r="F1007" s="251"/>
      <c r="G1007" s="251"/>
      <c r="H1007" s="289"/>
      <c r="J1007" s="251"/>
      <c r="K1007" s="289"/>
    </row>
    <row r="1008" spans="1:11" ht="14.25" customHeight="1" x14ac:dyDescent="0.25">
      <c r="A1008" s="289"/>
      <c r="F1008" s="251"/>
      <c r="G1008" s="251"/>
      <c r="H1008" s="289"/>
      <c r="J1008" s="251"/>
      <c r="K1008" s="289"/>
    </row>
    <row r="1009" spans="1:11" ht="14.25" customHeight="1" x14ac:dyDescent="0.25">
      <c r="A1009" s="289"/>
      <c r="F1009" s="251"/>
      <c r="G1009" s="251"/>
      <c r="H1009" s="289"/>
      <c r="J1009" s="251"/>
      <c r="K1009" s="289"/>
    </row>
    <row r="1010" spans="1:11" ht="14.25" customHeight="1" x14ac:dyDescent="0.25">
      <c r="A1010" s="289"/>
      <c r="F1010" s="251"/>
      <c r="G1010" s="251"/>
      <c r="H1010" s="289"/>
      <c r="J1010" s="251"/>
      <c r="K1010" s="289"/>
    </row>
    <row r="1011" spans="1:11" ht="14.25" customHeight="1" x14ac:dyDescent="0.25">
      <c r="A1011" s="289"/>
      <c r="F1011" s="251"/>
      <c r="G1011" s="251"/>
      <c r="H1011" s="289"/>
      <c r="J1011" s="251"/>
      <c r="K1011" s="289"/>
    </row>
  </sheetData>
  <autoFilter ref="A10:U1011" xr:uid="{1E78B0CF-4527-4C3B-87EB-C6D71FD221F1}"/>
  <mergeCells count="5">
    <mergeCell ref="A5:K5"/>
    <mergeCell ref="A7:K7"/>
    <mergeCell ref="B9:G9"/>
    <mergeCell ref="I9:J9"/>
    <mergeCell ref="I14:J14"/>
  </mergeCells>
  <pageMargins left="0.511811024" right="0.511811024" top="0.78740157499999996" bottom="0.78740157499999996" header="0" footer="0"/>
  <pageSetup paperSize="9" orientation="portrait"/>
  <drawing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BBF97-233B-4FE8-BF9E-7029D9DC9750}">
  <sheetPr>
    <tabColor rgb="FF0070C0"/>
  </sheetPr>
  <dimension ref="A1:I21"/>
  <sheetViews>
    <sheetView showGridLines="0" topLeftCell="A6" zoomScaleNormal="100" zoomScaleSheetLayoutView="95" workbookViewId="0">
      <selection activeCell="G15" sqref="G15:G18"/>
    </sheetView>
  </sheetViews>
  <sheetFormatPr defaultColWidth="9.140625" defaultRowHeight="12.75" x14ac:dyDescent="0.25"/>
  <cols>
    <col min="1" max="1" width="47.28515625" style="1" customWidth="1"/>
    <col min="2" max="2" width="14" style="170" customWidth="1"/>
    <col min="3" max="3" width="7.5703125" style="171" customWidth="1"/>
    <col min="4" max="4" width="10.7109375" style="172" customWidth="1"/>
    <col min="5" max="5" width="15.85546875" style="1" customWidth="1"/>
    <col min="6" max="6" width="12.85546875" style="1" customWidth="1"/>
    <col min="7" max="7" width="17.140625" style="1" customWidth="1"/>
    <col min="8" max="8" width="10.28515625" style="1" customWidth="1"/>
    <col min="9" max="16384" width="9.140625" style="1"/>
  </cols>
  <sheetData>
    <row r="1" spans="1:9" x14ac:dyDescent="0.25">
      <c r="B1" s="2"/>
      <c r="C1" s="1"/>
      <c r="D1" s="1"/>
      <c r="G1" s="102"/>
      <c r="H1" s="102"/>
      <c r="I1" s="2"/>
    </row>
    <row r="2" spans="1:9" ht="12.75" customHeight="1" x14ac:dyDescent="0.25">
      <c r="A2" s="1049" t="s">
        <v>158</v>
      </c>
      <c r="B2" s="2"/>
      <c r="C2" s="1"/>
      <c r="D2" s="1"/>
      <c r="G2" s="103"/>
      <c r="H2" s="103"/>
      <c r="I2" s="2"/>
    </row>
    <row r="3" spans="1:9" ht="12.75" customHeight="1" x14ac:dyDescent="0.25">
      <c r="A3" s="1050"/>
      <c r="B3" s="2"/>
      <c r="C3" s="1"/>
      <c r="D3" s="1"/>
      <c r="G3" s="103"/>
      <c r="H3" s="103"/>
      <c r="I3" s="2"/>
    </row>
    <row r="4" spans="1:9" ht="12.75" customHeight="1" x14ac:dyDescent="0.25">
      <c r="A4" s="1050"/>
      <c r="B4" s="2"/>
      <c r="C4" s="1"/>
      <c r="D4" s="1"/>
      <c r="G4" s="103"/>
      <c r="H4" s="103"/>
      <c r="I4" s="2"/>
    </row>
    <row r="5" spans="1:9" ht="13.5" thickBot="1" x14ac:dyDescent="0.3">
      <c r="A5" s="104"/>
      <c r="B5" s="105"/>
      <c r="C5" s="105"/>
      <c r="D5" s="105"/>
      <c r="E5" s="105"/>
      <c r="F5" s="105"/>
      <c r="G5" s="106"/>
      <c r="H5" s="106"/>
      <c r="I5" s="2"/>
    </row>
    <row r="6" spans="1:9" x14ac:dyDescent="0.25">
      <c r="A6" s="107"/>
      <c r="B6" s="2"/>
      <c r="C6" s="1"/>
      <c r="D6" s="1"/>
      <c r="G6" s="102"/>
      <c r="H6" s="102"/>
      <c r="I6" s="2"/>
    </row>
    <row r="7" spans="1:9" x14ac:dyDescent="0.25">
      <c r="A7" s="108" t="s">
        <v>159</v>
      </c>
      <c r="B7" s="109" t="str">
        <f>DADOS_INICIAIS!B2</f>
        <v>BLUE HEAVEN</v>
      </c>
      <c r="C7" s="110"/>
      <c r="D7" s="110"/>
      <c r="E7" s="110"/>
      <c r="F7" s="110"/>
      <c r="G7" s="110"/>
      <c r="H7" s="111"/>
      <c r="I7" s="2"/>
    </row>
    <row r="8" spans="1:9" x14ac:dyDescent="0.25">
      <c r="A8" s="112" t="s">
        <v>0</v>
      </c>
      <c r="B8" s="109" t="str">
        <f>DADOS_INICIAIS!B1</f>
        <v>MONOLYT</v>
      </c>
      <c r="C8" s="113"/>
      <c r="D8" s="113"/>
      <c r="E8" s="113"/>
      <c r="F8" s="113"/>
      <c r="G8" s="113"/>
      <c r="H8" s="114"/>
      <c r="I8" s="2"/>
    </row>
    <row r="9" spans="1:9" ht="15" customHeight="1" x14ac:dyDescent="0.25">
      <c r="A9" s="115" t="s">
        <v>160</v>
      </c>
      <c r="B9" s="116">
        <v>45441</v>
      </c>
      <c r="C9" s="117"/>
      <c r="D9" s="117"/>
      <c r="E9" s="117"/>
      <c r="F9" s="117"/>
      <c r="G9" s="117"/>
      <c r="H9" s="118"/>
    </row>
    <row r="10" spans="1:9" x14ac:dyDescent="0.25">
      <c r="A10" s="119" t="s">
        <v>1</v>
      </c>
      <c r="B10" s="120" t="s">
        <v>161</v>
      </c>
      <c r="C10" s="121"/>
      <c r="D10" s="121"/>
      <c r="E10" s="121"/>
      <c r="F10" s="121"/>
      <c r="G10" s="121"/>
      <c r="H10" s="122"/>
    </row>
    <row r="12" spans="1:9" x14ac:dyDescent="0.25">
      <c r="A12" s="123" t="s">
        <v>554</v>
      </c>
      <c r="B12" s="124"/>
      <c r="C12" s="125"/>
      <c r="D12" s="126"/>
      <c r="E12" s="127"/>
      <c r="F12" s="127"/>
      <c r="G12" s="127"/>
      <c r="H12" s="128"/>
    </row>
    <row r="13" spans="1:9" ht="15.95" customHeight="1" x14ac:dyDescent="0.25">
      <c r="A13" s="129"/>
      <c r="B13" s="130"/>
      <c r="C13" s="131"/>
      <c r="D13" s="132"/>
      <c r="E13" s="132"/>
      <c r="F13" s="132"/>
      <c r="H13" s="133"/>
    </row>
    <row r="14" spans="1:9" ht="15.95" customHeight="1" x14ac:dyDescent="0.25">
      <c r="A14" s="134" t="s">
        <v>14</v>
      </c>
      <c r="B14" s="1051" t="s">
        <v>18</v>
      </c>
      <c r="C14" s="1052"/>
      <c r="D14" s="1053" t="s">
        <v>5</v>
      </c>
      <c r="E14" s="1054"/>
      <c r="F14" s="135" t="s">
        <v>163</v>
      </c>
      <c r="G14" s="136" t="s">
        <v>16</v>
      </c>
      <c r="H14" s="133"/>
    </row>
    <row r="15" spans="1:9" ht="15.95" customHeight="1" x14ac:dyDescent="0.25">
      <c r="A15" s="190" t="s">
        <v>195</v>
      </c>
      <c r="B15" s="185">
        <f>SUMIF('REVESTIMENTO PISO'!E:E,'Pintura Interna'!A15,'REVESTIMENTO PISO'!I:I)</f>
        <v>2584.4499999999998</v>
      </c>
      <c r="C15" s="178" t="s">
        <v>196</v>
      </c>
      <c r="D15" s="186">
        <v>110</v>
      </c>
      <c r="E15" s="149" t="s">
        <v>169</v>
      </c>
      <c r="F15" s="180" t="s">
        <v>164</v>
      </c>
      <c r="G15" s="146">
        <f>+D15*B15*1.1</f>
        <v>312718.45</v>
      </c>
      <c r="H15" s="133"/>
    </row>
    <row r="16" spans="1:9" ht="15.95" customHeight="1" x14ac:dyDescent="0.25">
      <c r="A16" s="190" t="s">
        <v>197</v>
      </c>
      <c r="B16" s="185">
        <f>SUMIF('REVESTIMENTO PISO'!E:E,'Pintura Interna'!A16,'REVESTIMENTO PISO'!I:I)</f>
        <v>626.88999999999987</v>
      </c>
      <c r="C16" s="178" t="s">
        <v>196</v>
      </c>
      <c r="D16" s="194">
        <v>65</v>
      </c>
      <c r="E16" s="149" t="s">
        <v>169</v>
      </c>
      <c r="F16" s="180" t="s">
        <v>164</v>
      </c>
      <c r="G16" s="146">
        <f>+D16*B16*1.1</f>
        <v>44822.634999999995</v>
      </c>
      <c r="H16" s="133"/>
    </row>
    <row r="17" spans="1:9" ht="15.95" customHeight="1" x14ac:dyDescent="0.25">
      <c r="A17" s="175" t="s">
        <v>198</v>
      </c>
      <c r="B17" s="185">
        <v>1</v>
      </c>
      <c r="C17" s="178" t="s">
        <v>27</v>
      </c>
      <c r="D17" s="186">
        <v>30</v>
      </c>
      <c r="E17" s="149" t="s">
        <v>6</v>
      </c>
      <c r="F17" s="180" t="s">
        <v>164</v>
      </c>
      <c r="G17" s="146">
        <f>+D17*DADOS_INICIAIS!$E$11*1.1</f>
        <v>484882.86</v>
      </c>
      <c r="H17" s="133"/>
      <c r="I17" s="995"/>
    </row>
    <row r="18" spans="1:9" ht="15.95" customHeight="1" x14ac:dyDescent="0.25">
      <c r="A18" s="175" t="s">
        <v>199</v>
      </c>
      <c r="B18" s="185">
        <v>1</v>
      </c>
      <c r="C18" s="178" t="s">
        <v>27</v>
      </c>
      <c r="D18" s="186">
        <v>90</v>
      </c>
      <c r="E18" s="149" t="s">
        <v>6</v>
      </c>
      <c r="F18" s="180" t="s">
        <v>164</v>
      </c>
      <c r="G18" s="146">
        <f>+D18*DADOS_INICIAIS!$E$11*1.1</f>
        <v>1454648.58</v>
      </c>
      <c r="H18" s="133"/>
    </row>
    <row r="19" spans="1:9" ht="15.95" customHeight="1" x14ac:dyDescent="0.25">
      <c r="A19" s="1055" t="s">
        <v>17</v>
      </c>
      <c r="B19" s="1056"/>
      <c r="C19" s="1056"/>
      <c r="D19" s="1056"/>
      <c r="E19" s="1056"/>
      <c r="F19" s="1056"/>
      <c r="G19" s="160">
        <f>SUM(G15:G18)</f>
        <v>2297072.5250000004</v>
      </c>
      <c r="H19" s="161"/>
    </row>
    <row r="20" spans="1:9" ht="15.95" customHeight="1" x14ac:dyDescent="0.25">
      <c r="A20" s="162"/>
      <c r="B20" s="163"/>
      <c r="C20" s="163"/>
      <c r="D20" s="163"/>
      <c r="E20" s="163"/>
      <c r="F20" s="163"/>
      <c r="G20" s="181"/>
      <c r="H20" s="165"/>
    </row>
    <row r="21" spans="1:9" x14ac:dyDescent="0.25">
      <c r="A21" s="1047" t="s">
        <v>200</v>
      </c>
      <c r="B21" s="1047"/>
      <c r="C21" s="1047"/>
      <c r="D21" s="1047"/>
      <c r="E21" s="1047"/>
      <c r="F21" s="1047"/>
      <c r="G21" s="168">
        <f>G19</f>
        <v>2297072.5250000004</v>
      </c>
      <c r="H21" s="169">
        <f>G21/DADOS_INICIAIS!E11</f>
        <v>156.33341488911367</v>
      </c>
    </row>
  </sheetData>
  <mergeCells count="5">
    <mergeCell ref="A21:F21"/>
    <mergeCell ref="A2:A4"/>
    <mergeCell ref="B14:C14"/>
    <mergeCell ref="D14:E14"/>
    <mergeCell ref="A19:F19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7669A-F2AB-4A81-A812-9FFFB35C1ACF}">
  <sheetPr>
    <tabColor rgb="FF0070C0"/>
  </sheetPr>
  <dimension ref="A1:H28"/>
  <sheetViews>
    <sheetView showGridLines="0" topLeftCell="A13" zoomScale="115" zoomScaleNormal="115" zoomScaleSheetLayoutView="95" workbookViewId="0">
      <selection activeCell="B15" sqref="B15:B24"/>
    </sheetView>
  </sheetViews>
  <sheetFormatPr defaultColWidth="9.140625" defaultRowHeight="12.75" x14ac:dyDescent="0.25"/>
  <cols>
    <col min="1" max="1" width="35.85546875" style="1" bestFit="1" customWidth="1"/>
    <col min="2" max="2" width="14" style="170" customWidth="1"/>
    <col min="3" max="3" width="7.5703125" style="171" customWidth="1"/>
    <col min="4" max="4" width="10.7109375" style="172" customWidth="1"/>
    <col min="5" max="5" width="15.85546875" style="1" customWidth="1"/>
    <col min="6" max="6" width="12.85546875" style="1" customWidth="1"/>
    <col min="7" max="7" width="15.42578125" style="1" bestFit="1" customWidth="1"/>
    <col min="8" max="8" width="13.140625" style="1" customWidth="1"/>
    <col min="9" max="16384" width="9.140625" style="1"/>
  </cols>
  <sheetData>
    <row r="1" spans="1:8" x14ac:dyDescent="0.25">
      <c r="B1" s="2"/>
      <c r="C1" s="1"/>
      <c r="D1" s="1"/>
      <c r="G1" s="102"/>
      <c r="H1" s="102"/>
    </row>
    <row r="2" spans="1:8" ht="12.75" customHeight="1" x14ac:dyDescent="0.25">
      <c r="A2" s="1049" t="s">
        <v>158</v>
      </c>
      <c r="B2" s="2"/>
      <c r="C2" s="1"/>
      <c r="D2" s="1"/>
      <c r="G2" s="103"/>
      <c r="H2" s="103"/>
    </row>
    <row r="3" spans="1:8" ht="12.75" customHeight="1" x14ac:dyDescent="0.25">
      <c r="A3" s="1050"/>
      <c r="B3" s="2"/>
      <c r="C3" s="1"/>
      <c r="D3" s="1"/>
      <c r="G3" s="103"/>
      <c r="H3" s="103"/>
    </row>
    <row r="4" spans="1:8" ht="12.75" customHeight="1" x14ac:dyDescent="0.25">
      <c r="A4" s="1050"/>
      <c r="B4" s="2"/>
      <c r="C4" s="1"/>
      <c r="D4" s="1"/>
      <c r="G4" s="103"/>
      <c r="H4" s="103"/>
    </row>
    <row r="5" spans="1:8" ht="13.5" thickBot="1" x14ac:dyDescent="0.3">
      <c r="A5" s="104"/>
      <c r="B5" s="105"/>
      <c r="C5" s="105"/>
      <c r="D5" s="105"/>
      <c r="E5" s="105"/>
      <c r="F5" s="105"/>
      <c r="G5" s="106"/>
      <c r="H5" s="106"/>
    </row>
    <row r="6" spans="1:8" x14ac:dyDescent="0.25">
      <c r="A6" s="107"/>
      <c r="B6" s="2"/>
      <c r="C6" s="1"/>
      <c r="D6" s="1"/>
      <c r="G6" s="102"/>
      <c r="H6" s="102"/>
    </row>
    <row r="7" spans="1:8" x14ac:dyDescent="0.25">
      <c r="A7" s="108" t="s">
        <v>159</v>
      </c>
      <c r="B7" s="109" t="str">
        <f>DADOS_INICIAIS!B2</f>
        <v>BLUE HEAVEN</v>
      </c>
      <c r="C7" s="110"/>
      <c r="D7" s="110"/>
      <c r="E7" s="110"/>
      <c r="F7" s="110"/>
      <c r="G7" s="110"/>
      <c r="H7" s="111"/>
    </row>
    <row r="8" spans="1:8" x14ac:dyDescent="0.25">
      <c r="A8" s="112" t="s">
        <v>0</v>
      </c>
      <c r="B8" s="109" t="str">
        <f>DADOS_INICIAIS!B1</f>
        <v>MONOLYT</v>
      </c>
      <c r="C8" s="113"/>
      <c r="D8" s="113"/>
      <c r="E8" s="113"/>
      <c r="F8" s="113"/>
      <c r="G8" s="113"/>
      <c r="H8" s="114"/>
    </row>
    <row r="9" spans="1:8" ht="15" customHeight="1" x14ac:dyDescent="0.25">
      <c r="A9" s="115" t="s">
        <v>160</v>
      </c>
      <c r="B9" s="116"/>
      <c r="C9" s="117"/>
      <c r="D9" s="117"/>
      <c r="E9" s="117"/>
      <c r="F9" s="117"/>
      <c r="G9" s="117"/>
      <c r="H9" s="118"/>
    </row>
    <row r="10" spans="1:8" x14ac:dyDescent="0.25">
      <c r="A10" s="119" t="s">
        <v>1</v>
      </c>
      <c r="B10" s="120" t="s">
        <v>161</v>
      </c>
      <c r="C10" s="121"/>
      <c r="D10" s="121"/>
      <c r="E10" s="121"/>
      <c r="F10" s="121"/>
      <c r="G10" s="121"/>
      <c r="H10" s="122"/>
    </row>
    <row r="12" spans="1:8" x14ac:dyDescent="0.25">
      <c r="A12" s="123" t="s">
        <v>216</v>
      </c>
      <c r="B12" s="124"/>
      <c r="C12" s="125"/>
      <c r="D12" s="126"/>
      <c r="E12" s="127"/>
      <c r="F12" s="127"/>
      <c r="G12" s="127"/>
      <c r="H12" s="128"/>
    </row>
    <row r="13" spans="1:8" ht="15.95" customHeight="1" x14ac:dyDescent="0.25">
      <c r="A13" s="129"/>
      <c r="B13" s="130"/>
      <c r="C13" s="131"/>
      <c r="D13" s="132"/>
      <c r="E13" s="132"/>
      <c r="F13" s="132"/>
      <c r="H13" s="133"/>
    </row>
    <row r="14" spans="1:8" ht="15.95" customHeight="1" x14ac:dyDescent="0.25">
      <c r="A14" s="134" t="s">
        <v>14</v>
      </c>
      <c r="B14" s="1051" t="s">
        <v>18</v>
      </c>
      <c r="C14" s="1052"/>
      <c r="D14" s="1053" t="s">
        <v>5</v>
      </c>
      <c r="E14" s="1054"/>
      <c r="F14" s="135" t="s">
        <v>163</v>
      </c>
      <c r="G14" s="136" t="s">
        <v>16</v>
      </c>
      <c r="H14" s="133"/>
    </row>
    <row r="15" spans="1:8" ht="15.95" customHeight="1" x14ac:dyDescent="0.25">
      <c r="A15" s="209" t="s">
        <v>217</v>
      </c>
      <c r="B15" s="137">
        <f>B19+B20</f>
        <v>11020.065000000001</v>
      </c>
      <c r="C15" s="178" t="s">
        <v>2</v>
      </c>
      <c r="D15" s="210">
        <v>25</v>
      </c>
      <c r="E15" s="182" t="s">
        <v>169</v>
      </c>
      <c r="F15" s="138" t="s">
        <v>164</v>
      </c>
      <c r="G15" s="139">
        <f>+B15*D15*1.1</f>
        <v>303051.78750000003</v>
      </c>
      <c r="H15" s="133"/>
    </row>
    <row r="16" spans="1:8" ht="15.95" customHeight="1" x14ac:dyDescent="0.25">
      <c r="A16" s="938" t="s">
        <v>218</v>
      </c>
      <c r="B16" s="996">
        <f>((1.83*1.95)+((1.83+1.95)*2*1.8))*6</f>
        <v>103.059</v>
      </c>
      <c r="C16" s="997" t="s">
        <v>2</v>
      </c>
      <c r="D16" s="998">
        <v>45</v>
      </c>
      <c r="E16" s="941" t="s">
        <v>169</v>
      </c>
      <c r="F16" s="942" t="s">
        <v>164</v>
      </c>
      <c r="G16" s="981">
        <f>+B16*D16*1.1</f>
        <v>5101.4205000000002</v>
      </c>
      <c r="H16" s="513" t="s">
        <v>1375</v>
      </c>
    </row>
    <row r="17" spans="1:8" ht="15.95" customHeight="1" x14ac:dyDescent="0.25">
      <c r="A17" s="175" t="s">
        <v>219</v>
      </c>
      <c r="B17" s="177">
        <f>'INFRAESTRUTURA REV01'!D24</f>
        <v>2967.1464000000001</v>
      </c>
      <c r="C17" s="178" t="s">
        <v>2</v>
      </c>
      <c r="D17" s="179">
        <v>30</v>
      </c>
      <c r="E17" s="149" t="s">
        <v>169</v>
      </c>
      <c r="F17" s="180" t="s">
        <v>164</v>
      </c>
      <c r="G17" s="146">
        <f>+B17*D17*1.1</f>
        <v>97915.831200000015</v>
      </c>
      <c r="H17" s="140"/>
    </row>
    <row r="18" spans="1:8" ht="15.95" customHeight="1" x14ac:dyDescent="0.25">
      <c r="A18" s="175" t="s">
        <v>220</v>
      </c>
      <c r="B18" s="177">
        <v>1</v>
      </c>
      <c r="C18" s="178" t="s">
        <v>27</v>
      </c>
      <c r="D18" s="179">
        <v>0.4</v>
      </c>
      <c r="E18" s="149" t="s">
        <v>6</v>
      </c>
      <c r="F18" s="180" t="s">
        <v>164</v>
      </c>
      <c r="G18" s="146">
        <f>D18*DADOS_INICIAIS!E11*1.1</f>
        <v>6465.104800000001</v>
      </c>
      <c r="H18" s="140"/>
    </row>
    <row r="19" spans="1:8" ht="15.95" customHeight="1" x14ac:dyDescent="0.25">
      <c r="A19" s="175" t="s">
        <v>221</v>
      </c>
      <c r="B19" s="177">
        <f>D19*DADOS_INICIAIS!$E$11</f>
        <v>5877.3680000000004</v>
      </c>
      <c r="C19" s="178" t="s">
        <v>2</v>
      </c>
      <c r="D19" s="179">
        <v>0.4</v>
      </c>
      <c r="E19" s="149" t="s">
        <v>35</v>
      </c>
      <c r="F19" s="180" t="s">
        <v>164</v>
      </c>
      <c r="G19" s="146">
        <f>+B19*60*1.1</f>
        <v>387906.28800000006</v>
      </c>
      <c r="H19" s="140"/>
    </row>
    <row r="20" spans="1:8" ht="24" customHeight="1" x14ac:dyDescent="0.25">
      <c r="A20" s="175" t="s">
        <v>1331</v>
      </c>
      <c r="B20" s="177">
        <f>D20*DADOS_INICIAIS!$E$11</f>
        <v>5142.6970000000001</v>
      </c>
      <c r="C20" s="178" t="s">
        <v>2</v>
      </c>
      <c r="D20" s="211">
        <v>0.35</v>
      </c>
      <c r="E20" s="149" t="s">
        <v>35</v>
      </c>
      <c r="F20" s="145" t="s">
        <v>164</v>
      </c>
      <c r="G20" s="146">
        <f>+B20*28*1.1</f>
        <v>158395.06760000001</v>
      </c>
      <c r="H20" s="140"/>
    </row>
    <row r="21" spans="1:8" ht="24" customHeight="1" x14ac:dyDescent="0.25">
      <c r="A21" s="175" t="s">
        <v>1332</v>
      </c>
      <c r="B21" s="177">
        <f>DADOS_INICIAIS!E20</f>
        <v>2661.29</v>
      </c>
      <c r="C21" s="178" t="s">
        <v>2</v>
      </c>
      <c r="D21" s="211">
        <v>28</v>
      </c>
      <c r="E21" s="149" t="s">
        <v>169</v>
      </c>
      <c r="F21" s="145" t="s">
        <v>164</v>
      </c>
      <c r="G21" s="139">
        <f t="shared" ref="G21:G22" si="0">+B21*D21*1.1</f>
        <v>81967.732000000004</v>
      </c>
      <c r="H21" s="140" t="s">
        <v>1216</v>
      </c>
    </row>
    <row r="22" spans="1:8" ht="27.6" customHeight="1" x14ac:dyDescent="0.25">
      <c r="A22" s="175" t="s">
        <v>1333</v>
      </c>
      <c r="B22" s="177">
        <f>'Acabamentos de Piso'!B25+'Rev. Internos de Parede'!B18+Complementares!D11</f>
        <v>1559.7579999999996</v>
      </c>
      <c r="C22" s="178" t="s">
        <v>2</v>
      </c>
      <c r="D22" s="211">
        <v>28</v>
      </c>
      <c r="E22" s="149" t="s">
        <v>169</v>
      </c>
      <c r="F22" s="145" t="s">
        <v>164</v>
      </c>
      <c r="G22" s="139">
        <f t="shared" si="0"/>
        <v>48040.546399999992</v>
      </c>
      <c r="H22" s="140" t="s">
        <v>1325</v>
      </c>
    </row>
    <row r="23" spans="1:8" ht="15.95" customHeight="1" x14ac:dyDescent="0.25">
      <c r="A23" s="175" t="s">
        <v>223</v>
      </c>
      <c r="B23" s="177">
        <v>1</v>
      </c>
      <c r="C23" s="178" t="s">
        <v>27</v>
      </c>
      <c r="D23" s="153">
        <v>0.8</v>
      </c>
      <c r="E23" s="144" t="s">
        <v>6</v>
      </c>
      <c r="F23" s="145" t="s">
        <v>164</v>
      </c>
      <c r="G23" s="146">
        <f>+D23*DADOS_INICIAIS!E11*1.1</f>
        <v>12930.209600000002</v>
      </c>
      <c r="H23" s="140"/>
    </row>
    <row r="24" spans="1:8" ht="15.95" customHeight="1" x14ac:dyDescent="0.25">
      <c r="A24" s="184" t="s">
        <v>224</v>
      </c>
      <c r="B24" s="212">
        <f>B20</f>
        <v>5142.6970000000001</v>
      </c>
      <c r="C24" s="155" t="s">
        <v>2</v>
      </c>
      <c r="D24" s="156">
        <v>28</v>
      </c>
      <c r="E24" s="157" t="s">
        <v>169</v>
      </c>
      <c r="F24" s="158" t="s">
        <v>164</v>
      </c>
      <c r="G24" s="159">
        <f>D24*B24*1.1</f>
        <v>158395.06760000001</v>
      </c>
      <c r="H24" s="140"/>
    </row>
    <row r="25" spans="1:8" ht="15.95" customHeight="1" x14ac:dyDescent="0.25">
      <c r="A25" s="1055" t="s">
        <v>17</v>
      </c>
      <c r="B25" s="1056"/>
      <c r="C25" s="1056"/>
      <c r="D25" s="1056"/>
      <c r="E25" s="1056"/>
      <c r="F25" s="1056"/>
      <c r="G25" s="160">
        <f>SUM(G15:G24)</f>
        <v>1260169.0552000001</v>
      </c>
      <c r="H25" s="161"/>
    </row>
    <row r="26" spans="1:8" ht="15.95" customHeight="1" x14ac:dyDescent="0.25">
      <c r="A26" s="1057"/>
      <c r="B26" s="1058"/>
      <c r="C26" s="1058"/>
      <c r="D26" s="1058"/>
      <c r="E26" s="1058"/>
      <c r="F26" s="1058"/>
      <c r="G26" s="181"/>
      <c r="H26" s="165"/>
    </row>
    <row r="28" spans="1:8" x14ac:dyDescent="0.25">
      <c r="A28" s="1047" t="s">
        <v>225</v>
      </c>
      <c r="B28" s="1047"/>
      <c r="C28" s="1047"/>
      <c r="D28" s="1047"/>
      <c r="E28" s="1047"/>
      <c r="F28" s="1047"/>
      <c r="G28" s="168">
        <f>G25</f>
        <v>1260169.0552000001</v>
      </c>
      <c r="H28" s="169">
        <f>G28/DADOS_INICIAIS!E11</f>
        <v>85.764175746694789</v>
      </c>
    </row>
  </sheetData>
  <mergeCells count="6">
    <mergeCell ref="A28:F28"/>
    <mergeCell ref="A2:A4"/>
    <mergeCell ref="B14:C14"/>
    <mergeCell ref="D14:E14"/>
    <mergeCell ref="A25:F25"/>
    <mergeCell ref="A26:F26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1B5B2-380F-4F5C-8301-ACA8D62152EF}">
  <sheetPr>
    <tabColor rgb="FF0070C0"/>
  </sheetPr>
  <dimension ref="A1:I35"/>
  <sheetViews>
    <sheetView showGridLines="0" topLeftCell="A21" zoomScale="85" zoomScaleNormal="85" zoomScaleSheetLayoutView="95" workbookViewId="0">
      <selection activeCell="D30" sqref="D30:D32"/>
    </sheetView>
  </sheetViews>
  <sheetFormatPr defaultColWidth="9.140625" defaultRowHeight="19.5" x14ac:dyDescent="0.25"/>
  <cols>
    <col min="1" max="1" width="53" style="38" bestFit="1" customWidth="1"/>
    <col min="2" max="4" width="27" style="38" customWidth="1"/>
    <col min="5" max="5" width="26.28515625" style="38" customWidth="1"/>
    <col min="6" max="16384" width="9.140625" style="1"/>
  </cols>
  <sheetData>
    <row r="1" spans="1:7" x14ac:dyDescent="0.25">
      <c r="A1" s="41"/>
      <c r="B1" s="41"/>
      <c r="C1" s="41"/>
      <c r="D1" s="41"/>
      <c r="E1" s="41"/>
      <c r="G1" s="2"/>
    </row>
    <row r="2" spans="1:7" ht="28.5" x14ac:dyDescent="0.25">
      <c r="A2" s="1032" t="s">
        <v>226</v>
      </c>
      <c r="B2" s="1033"/>
      <c r="C2" s="1033"/>
      <c r="D2" s="1033"/>
      <c r="E2" s="1034"/>
      <c r="G2" s="2"/>
    </row>
    <row r="3" spans="1:7" x14ac:dyDescent="0.25">
      <c r="A3" s="43"/>
      <c r="B3" s="43"/>
      <c r="C3" s="43"/>
      <c r="D3" s="41"/>
      <c r="E3" s="41"/>
      <c r="G3" s="2"/>
    </row>
    <row r="4" spans="1:7" s="48" customFormat="1" ht="21.75" x14ac:dyDescent="0.25">
      <c r="A4" s="45" t="s">
        <v>227</v>
      </c>
      <c r="B4" s="46"/>
      <c r="C4" s="46"/>
      <c r="D4" s="46"/>
      <c r="E4" s="46"/>
    </row>
    <row r="5" spans="1:7" s="48" customFormat="1" ht="21.75" x14ac:dyDescent="0.25">
      <c r="A5" s="49"/>
      <c r="B5" s="50"/>
      <c r="C5" s="50"/>
      <c r="D5" s="52"/>
      <c r="E5" s="52"/>
    </row>
    <row r="6" spans="1:7" s="48" customFormat="1" ht="42" customHeight="1" x14ac:dyDescent="0.25">
      <c r="A6" s="55" t="s">
        <v>14</v>
      </c>
      <c r="B6" s="1036" t="s">
        <v>5</v>
      </c>
      <c r="C6" s="1037"/>
      <c r="D6" s="62" t="s">
        <v>16</v>
      </c>
      <c r="E6" s="52"/>
    </row>
    <row r="7" spans="1:7" s="48" customFormat="1" ht="21.75" x14ac:dyDescent="0.25">
      <c r="A7" s="58" t="s">
        <v>228</v>
      </c>
      <c r="B7" s="54">
        <v>5</v>
      </c>
      <c r="C7" s="54" t="s">
        <v>6</v>
      </c>
      <c r="D7" s="79">
        <f>B7*DADOS_INICIAIS!$E$11*1.1</f>
        <v>80813.810000000012</v>
      </c>
      <c r="E7" s="928"/>
      <c r="F7" s="887"/>
    </row>
    <row r="8" spans="1:7" s="48" customFormat="1" ht="21.75" x14ac:dyDescent="0.25">
      <c r="A8" s="58" t="s">
        <v>229</v>
      </c>
      <c r="B8" s="54">
        <v>23</v>
      </c>
      <c r="C8" s="54" t="s">
        <v>6</v>
      </c>
      <c r="D8" s="79">
        <f>B8*DADOS_INICIAIS!$E$11*1.1</f>
        <v>371743.52600000001</v>
      </c>
      <c r="E8" s="928"/>
      <c r="F8" s="887"/>
    </row>
    <row r="9" spans="1:7" s="48" customFormat="1" ht="21.75" x14ac:dyDescent="0.25">
      <c r="A9" s="58" t="s">
        <v>230</v>
      </c>
      <c r="B9" s="54">
        <v>40</v>
      </c>
      <c r="C9" s="54" t="s">
        <v>6</v>
      </c>
      <c r="D9" s="79">
        <f>B9*DADOS_INICIAIS!$E$11*1.1</f>
        <v>646510.4800000001</v>
      </c>
      <c r="E9" s="928"/>
      <c r="F9" s="887"/>
    </row>
    <row r="10" spans="1:7" s="48" customFormat="1" ht="21.75" x14ac:dyDescent="0.25">
      <c r="A10" s="58" t="s">
        <v>231</v>
      </c>
      <c r="B10" s="54">
        <v>25</v>
      </c>
      <c r="C10" s="54" t="s">
        <v>6</v>
      </c>
      <c r="D10" s="79">
        <f>B10*DADOS_INICIAIS!$E$11*1.1</f>
        <v>404069.05000000005</v>
      </c>
      <c r="E10" s="928"/>
      <c r="F10" s="887"/>
    </row>
    <row r="11" spans="1:7" s="48" customFormat="1" ht="21.75" x14ac:dyDescent="0.25">
      <c r="A11" s="58" t="s">
        <v>232</v>
      </c>
      <c r="B11" s="54">
        <v>30</v>
      </c>
      <c r="C11" s="54" t="s">
        <v>6</v>
      </c>
      <c r="D11" s="79">
        <f>B11*DADOS_INICIAIS!$E$11*1.1</f>
        <v>484882.86</v>
      </c>
      <c r="E11" s="928"/>
      <c r="F11" s="887"/>
    </row>
    <row r="12" spans="1:7" s="48" customFormat="1" ht="21.75" x14ac:dyDescent="0.25">
      <c r="A12" s="58" t="s">
        <v>233</v>
      </c>
      <c r="B12" s="54">
        <v>20</v>
      </c>
      <c r="C12" s="54" t="s">
        <v>6</v>
      </c>
      <c r="D12" s="79">
        <f>B12*DADOS_INICIAIS!$E$11*1.1</f>
        <v>323255.24000000005</v>
      </c>
      <c r="E12" s="928"/>
      <c r="F12" s="887"/>
    </row>
    <row r="13" spans="1:7" s="48" customFormat="1" ht="21.75" x14ac:dyDescent="0.25">
      <c r="A13" s="58" t="s">
        <v>234</v>
      </c>
      <c r="B13" s="54">
        <v>60</v>
      </c>
      <c r="C13" s="54" t="s">
        <v>6</v>
      </c>
      <c r="D13" s="79">
        <f>B13*DADOS_INICIAIS!$E$11*1.1</f>
        <v>969765.72</v>
      </c>
      <c r="E13" s="928"/>
      <c r="F13" s="887"/>
    </row>
    <row r="14" spans="1:7" s="48" customFormat="1" ht="21.75" x14ac:dyDescent="0.25">
      <c r="A14" s="1031" t="s">
        <v>17</v>
      </c>
      <c r="B14" s="1031"/>
      <c r="C14" s="1031"/>
      <c r="D14" s="80">
        <f>SUM(D7:D13)</f>
        <v>3281040.6860000007</v>
      </c>
      <c r="E14" s="53"/>
    </row>
    <row r="15" spans="1:7" s="48" customFormat="1" ht="21.75" x14ac:dyDescent="0.25">
      <c r="A15" s="1035"/>
      <c r="B15" s="1035"/>
      <c r="C15" s="1035"/>
      <c r="D15" s="90"/>
      <c r="E15" s="52"/>
    </row>
    <row r="16" spans="1:7" s="48" customFormat="1" ht="21.75" x14ac:dyDescent="0.25">
      <c r="A16" s="45" t="s">
        <v>235</v>
      </c>
      <c r="B16" s="46"/>
      <c r="C16" s="46"/>
      <c r="D16" s="88"/>
      <c r="E16" s="46"/>
    </row>
    <row r="17" spans="1:7" s="48" customFormat="1" ht="21.75" x14ac:dyDescent="0.25">
      <c r="A17" s="49"/>
      <c r="B17" s="50"/>
      <c r="C17" s="50"/>
      <c r="D17" s="90"/>
      <c r="E17" s="52"/>
      <c r="G17" s="69"/>
    </row>
    <row r="18" spans="1:7" s="48" customFormat="1" ht="42" customHeight="1" x14ac:dyDescent="0.25">
      <c r="A18" s="55" t="s">
        <v>14</v>
      </c>
      <c r="B18" s="1036" t="s">
        <v>5</v>
      </c>
      <c r="C18" s="1037"/>
      <c r="D18" s="80" t="s">
        <v>16</v>
      </c>
      <c r="E18" s="52"/>
    </row>
    <row r="19" spans="1:7" s="48" customFormat="1" ht="21.75" x14ac:dyDescent="0.25">
      <c r="A19" s="58" t="s">
        <v>236</v>
      </c>
      <c r="B19" s="54">
        <v>25</v>
      </c>
      <c r="C19" s="54" t="s">
        <v>6</v>
      </c>
      <c r="D19" s="79">
        <f>B19*DADOS_INICIAIS!$E$11*1.1</f>
        <v>404069.05000000005</v>
      </c>
      <c r="E19" s="928"/>
      <c r="F19" s="887"/>
    </row>
    <row r="20" spans="1:7" s="48" customFormat="1" ht="21.75" x14ac:dyDescent="0.25">
      <c r="A20" s="58" t="s">
        <v>237</v>
      </c>
      <c r="B20" s="54">
        <v>20</v>
      </c>
      <c r="C20" s="54" t="s">
        <v>6</v>
      </c>
      <c r="D20" s="79">
        <f>B20*DADOS_INICIAIS!$E$11*1.1</f>
        <v>323255.24000000005</v>
      </c>
      <c r="E20" s="928"/>
      <c r="F20" s="887"/>
    </row>
    <row r="21" spans="1:7" s="48" customFormat="1" ht="21.75" x14ac:dyDescent="0.25">
      <c r="A21" s="58" t="s">
        <v>238</v>
      </c>
      <c r="B21" s="54">
        <v>10</v>
      </c>
      <c r="C21" s="54" t="s">
        <v>6</v>
      </c>
      <c r="D21" s="79">
        <f>B21*DADOS_INICIAIS!$E$11*1.1</f>
        <v>161627.62000000002</v>
      </c>
      <c r="E21" s="928"/>
      <c r="F21" s="887"/>
    </row>
    <row r="22" spans="1:7" s="48" customFormat="1" ht="21.75" x14ac:dyDescent="0.25">
      <c r="A22" s="58" t="s">
        <v>239</v>
      </c>
      <c r="B22" s="54">
        <v>15</v>
      </c>
      <c r="C22" s="54" t="s">
        <v>6</v>
      </c>
      <c r="D22" s="79">
        <f>B22*DADOS_INICIAIS!$E$11*1.1</f>
        <v>242441.43</v>
      </c>
      <c r="E22" s="928"/>
      <c r="F22" s="887"/>
    </row>
    <row r="23" spans="1:7" s="48" customFormat="1" ht="21.75" x14ac:dyDescent="0.25">
      <c r="A23" s="876" t="s">
        <v>240</v>
      </c>
      <c r="B23" s="869">
        <v>15</v>
      </c>
      <c r="C23" s="869" t="s">
        <v>6</v>
      </c>
      <c r="D23" s="79">
        <f>B23*DADOS_INICIAIS!$E$11*1.1</f>
        <v>242441.43</v>
      </c>
      <c r="E23" s="928"/>
      <c r="F23" s="887"/>
    </row>
    <row r="24" spans="1:7" s="48" customFormat="1" ht="21.75" x14ac:dyDescent="0.25">
      <c r="A24" s="58" t="s">
        <v>241</v>
      </c>
      <c r="B24" s="54">
        <v>55</v>
      </c>
      <c r="C24" s="54" t="s">
        <v>6</v>
      </c>
      <c r="D24" s="79">
        <f>B24*DADOS_INICIAIS!$E$11*1.1</f>
        <v>888951.91</v>
      </c>
      <c r="E24" s="928"/>
      <c r="F24" s="887"/>
    </row>
    <row r="25" spans="1:7" s="48" customFormat="1" ht="21.75" x14ac:dyDescent="0.25">
      <c r="A25" s="1031" t="s">
        <v>17</v>
      </c>
      <c r="B25" s="1031"/>
      <c r="C25" s="1031"/>
      <c r="D25" s="80">
        <f>SUM(D19:D24)</f>
        <v>2262786.6800000002</v>
      </c>
      <c r="E25" s="53"/>
    </row>
    <row r="26" spans="1:7" s="48" customFormat="1" ht="21.75" x14ac:dyDescent="0.25">
      <c r="A26" s="1035"/>
      <c r="B26" s="1035"/>
      <c r="C26" s="1035"/>
      <c r="D26" s="90"/>
      <c r="E26" s="52"/>
    </row>
    <row r="27" spans="1:7" s="48" customFormat="1" ht="23.25" x14ac:dyDescent="0.25">
      <c r="A27" s="45" t="s">
        <v>242</v>
      </c>
      <c r="B27" s="46"/>
      <c r="C27" s="875"/>
      <c r="D27" s="88"/>
      <c r="E27" s="46"/>
    </row>
    <row r="28" spans="1:7" s="48" customFormat="1" ht="21.75" x14ac:dyDescent="0.25">
      <c r="A28" s="49"/>
      <c r="B28" s="50"/>
      <c r="C28" s="50"/>
      <c r="D28" s="90"/>
      <c r="E28" s="52"/>
    </row>
    <row r="29" spans="1:7" s="48" customFormat="1" ht="42" customHeight="1" x14ac:dyDescent="0.25">
      <c r="A29" s="55" t="s">
        <v>14</v>
      </c>
      <c r="B29" s="1036" t="s">
        <v>5</v>
      </c>
      <c r="C29" s="1037"/>
      <c r="D29" s="80" t="s">
        <v>16</v>
      </c>
      <c r="E29" s="52"/>
    </row>
    <row r="30" spans="1:7" s="48" customFormat="1" ht="26.25" customHeight="1" x14ac:dyDescent="0.25">
      <c r="A30" s="61" t="s">
        <v>243</v>
      </c>
      <c r="B30" s="54">
        <v>18</v>
      </c>
      <c r="C30" s="54" t="s">
        <v>6</v>
      </c>
      <c r="D30" s="79">
        <f>B30*DADOS_INICIAIS!$E$11*1.1</f>
        <v>290929.71600000001</v>
      </c>
      <c r="E30" s="928"/>
      <c r="F30" s="887"/>
    </row>
    <row r="31" spans="1:7" s="48" customFormat="1" ht="26.25" customHeight="1" x14ac:dyDescent="0.25">
      <c r="A31" s="61" t="s">
        <v>244</v>
      </c>
      <c r="B31" s="54">
        <v>15</v>
      </c>
      <c r="C31" s="54" t="s">
        <v>6</v>
      </c>
      <c r="D31" s="79">
        <f>B31*DADOS_INICIAIS!$E$11*1.1</f>
        <v>242441.43</v>
      </c>
      <c r="E31" s="928"/>
      <c r="F31" s="887"/>
    </row>
    <row r="32" spans="1:7" s="48" customFormat="1" ht="21.75" x14ac:dyDescent="0.25">
      <c r="A32" s="61" t="s">
        <v>245</v>
      </c>
      <c r="B32" s="54">
        <v>8</v>
      </c>
      <c r="C32" s="54" t="s">
        <v>6</v>
      </c>
      <c r="D32" s="79">
        <f>B32*DADOS_INICIAIS!$E$11*1.1</f>
        <v>129302.09600000001</v>
      </c>
      <c r="E32" s="928"/>
      <c r="F32" s="887"/>
    </row>
    <row r="33" spans="1:9" s="48" customFormat="1" ht="21.75" x14ac:dyDescent="0.25">
      <c r="A33" s="1031" t="s">
        <v>17</v>
      </c>
      <c r="B33" s="1031"/>
      <c r="C33" s="1031"/>
      <c r="D33" s="80">
        <f>SUM(D30:D32)</f>
        <v>662673.24199999997</v>
      </c>
      <c r="E33" s="53"/>
    </row>
    <row r="34" spans="1:9" x14ac:dyDescent="0.25">
      <c r="D34" s="97"/>
      <c r="I34" s="40"/>
    </row>
    <row r="35" spans="1:9" ht="23.25" customHeight="1" x14ac:dyDescent="0.25">
      <c r="A35" s="1028" t="s">
        <v>246</v>
      </c>
      <c r="B35" s="1029"/>
      <c r="C35" s="1029"/>
      <c r="D35" s="98">
        <f>D14+D25+D33</f>
        <v>6206500.608</v>
      </c>
      <c r="E35" s="98">
        <f>D35/DADOS_INICIAIS!$E$11</f>
        <v>422.4</v>
      </c>
    </row>
  </sheetData>
  <mergeCells count="10">
    <mergeCell ref="A26:C26"/>
    <mergeCell ref="B29:C29"/>
    <mergeCell ref="A33:C33"/>
    <mergeCell ref="A35:C35"/>
    <mergeCell ref="A2:E2"/>
    <mergeCell ref="B6:C6"/>
    <mergeCell ref="A14:C14"/>
    <mergeCell ref="A15:C15"/>
    <mergeCell ref="B18:C18"/>
    <mergeCell ref="A25:C25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74BE3-FE02-4622-8E7C-01B65D703CE5}">
  <sheetPr>
    <pageSetUpPr fitToPage="1"/>
  </sheetPr>
  <dimension ref="A1:J56"/>
  <sheetViews>
    <sheetView view="pageBreakPreview" topLeftCell="A31" zoomScaleNormal="115" zoomScaleSheetLayoutView="100" workbookViewId="0">
      <selection activeCell="E17" sqref="E17"/>
    </sheetView>
  </sheetViews>
  <sheetFormatPr defaultRowHeight="21.75" x14ac:dyDescent="0.6"/>
  <cols>
    <col min="1" max="1" width="10.5703125" style="34" bestFit="1" customWidth="1"/>
    <col min="2" max="2" width="12.85546875" style="34" bestFit="1" customWidth="1"/>
    <col min="3" max="3" width="10.5703125" style="34" customWidth="1"/>
    <col min="4" max="4" width="25.5703125" style="34" bestFit="1" customWidth="1"/>
    <col min="5" max="5" width="18.85546875" style="861" customWidth="1"/>
    <col min="6" max="6" width="24" style="34" customWidth="1"/>
  </cols>
  <sheetData>
    <row r="1" spans="1:10" ht="18" customHeight="1" x14ac:dyDescent="0.6">
      <c r="A1" s="788" t="s">
        <v>0</v>
      </c>
      <c r="B1" s="789" t="s">
        <v>1181</v>
      </c>
      <c r="C1" s="790"/>
      <c r="D1" s="791"/>
      <c r="E1" s="792"/>
      <c r="F1" s="9"/>
    </row>
    <row r="2" spans="1:10" ht="18" customHeight="1" x14ac:dyDescent="0.6">
      <c r="A2" s="793" t="s">
        <v>113</v>
      </c>
      <c r="B2" s="794" t="s">
        <v>1180</v>
      </c>
      <c r="C2" s="795"/>
      <c r="D2" s="796"/>
      <c r="E2" s="797"/>
      <c r="F2" s="15"/>
    </row>
    <row r="3" spans="1:10" ht="18" customHeight="1" x14ac:dyDescent="0.6">
      <c r="A3" s="793" t="s">
        <v>1</v>
      </c>
      <c r="B3" s="794" t="s">
        <v>161</v>
      </c>
      <c r="C3" s="795"/>
      <c r="D3" s="796"/>
      <c r="E3" s="797"/>
      <c r="F3" s="15"/>
    </row>
    <row r="4" spans="1:10" ht="25.15" customHeight="1" x14ac:dyDescent="0.25">
      <c r="A4" s="1079" t="s">
        <v>1182</v>
      </c>
      <c r="B4" s="1080"/>
      <c r="C4" s="1080"/>
      <c r="D4" s="1080"/>
      <c r="E4" s="1080"/>
      <c r="F4" s="1080"/>
    </row>
    <row r="5" spans="1:10" ht="14.45" customHeight="1" x14ac:dyDescent="0.6">
      <c r="A5" s="16"/>
      <c r="B5" s="798"/>
      <c r="C5" s="798"/>
      <c r="D5" s="798"/>
      <c r="E5" s="799"/>
      <c r="F5" s="800"/>
    </row>
    <row r="6" spans="1:10" ht="17.45" customHeight="1" x14ac:dyDescent="0.25">
      <c r="A6" s="1081" t="s">
        <v>1183</v>
      </c>
      <c r="B6" s="1082"/>
      <c r="C6" s="1082"/>
      <c r="D6" s="1082"/>
      <c r="E6" s="1082"/>
      <c r="F6" s="1082"/>
    </row>
    <row r="7" spans="1:10" ht="14.45" customHeight="1" x14ac:dyDescent="0.6">
      <c r="A7" s="16"/>
      <c r="B7" s="798"/>
      <c r="C7" s="798"/>
      <c r="D7" s="798"/>
      <c r="E7" s="799"/>
      <c r="F7" s="800"/>
    </row>
    <row r="8" spans="1:10" ht="14.45" customHeight="1" x14ac:dyDescent="0.6">
      <c r="A8" s="1077" t="s">
        <v>525</v>
      </c>
      <c r="B8" s="1078"/>
      <c r="C8" s="1078"/>
      <c r="D8" s="1078"/>
      <c r="E8" s="1078"/>
      <c r="F8" s="801"/>
    </row>
    <row r="9" spans="1:10" ht="14.45" customHeight="1" thickBot="1" x14ac:dyDescent="0.65">
      <c r="A9" s="16"/>
      <c r="B9" s="798"/>
      <c r="C9" s="798"/>
      <c r="D9" s="798"/>
      <c r="E9" s="799"/>
      <c r="F9" s="800"/>
    </row>
    <row r="10" spans="1:10" ht="14.45" customHeight="1" x14ac:dyDescent="0.6">
      <c r="A10" s="16"/>
      <c r="B10" s="798"/>
      <c r="C10" s="802"/>
      <c r="D10" s="803" t="s">
        <v>14</v>
      </c>
      <c r="E10" s="804" t="s">
        <v>1176</v>
      </c>
      <c r="F10" s="800"/>
    </row>
    <row r="11" spans="1:10" ht="14.45" customHeight="1" thickBot="1" x14ac:dyDescent="0.65">
      <c r="A11" s="16"/>
      <c r="B11" s="798"/>
      <c r="C11" s="802"/>
      <c r="D11" s="805" t="s">
        <v>523</v>
      </c>
      <c r="E11" s="806">
        <v>14790.93</v>
      </c>
      <c r="F11" s="800"/>
    </row>
    <row r="12" spans="1:10" ht="14.45" customHeight="1" x14ac:dyDescent="0.6">
      <c r="A12" s="16"/>
      <c r="B12" s="798"/>
      <c r="C12" s="798"/>
      <c r="D12" s="798"/>
      <c r="E12" s="799"/>
      <c r="F12" s="800"/>
    </row>
    <row r="13" spans="1:10" ht="14.45" customHeight="1" x14ac:dyDescent="0.6">
      <c r="A13" s="1077" t="s">
        <v>1184</v>
      </c>
      <c r="B13" s="1078"/>
      <c r="C13" s="1078"/>
      <c r="D13" s="1078"/>
      <c r="E13" s="1078"/>
      <c r="F13" s="801"/>
    </row>
    <row r="14" spans="1:10" s="807" customFormat="1" ht="14.45" customHeight="1" thickBot="1" x14ac:dyDescent="0.65">
      <c r="A14" s="16"/>
      <c r="B14" s="798"/>
      <c r="C14" s="798"/>
      <c r="D14" s="798"/>
      <c r="E14" s="800"/>
      <c r="F14" s="800"/>
    </row>
    <row r="15" spans="1:10" ht="24" customHeight="1" x14ac:dyDescent="0.6">
      <c r="A15" s="800"/>
      <c r="B15" s="808" t="s">
        <v>1185</v>
      </c>
      <c r="C15" s="809"/>
      <c r="D15" s="810" t="s">
        <v>14</v>
      </c>
      <c r="E15" s="811" t="s">
        <v>520</v>
      </c>
      <c r="F15" s="812"/>
      <c r="G15" s="813"/>
      <c r="H15" s="807"/>
      <c r="I15" s="807"/>
      <c r="J15" s="807"/>
    </row>
    <row r="16" spans="1:10" s="189" customFormat="1" ht="31.5" x14ac:dyDescent="0.25">
      <c r="A16" s="814"/>
      <c r="B16" s="815">
        <v>25</v>
      </c>
      <c r="C16" s="816"/>
      <c r="D16" s="817" t="s">
        <v>1186</v>
      </c>
      <c r="E16" s="818">
        <f>E$11*$B$16</f>
        <v>369773.25</v>
      </c>
      <c r="F16" s="819"/>
      <c r="G16" s="820"/>
      <c r="H16" s="814"/>
      <c r="I16" s="814"/>
      <c r="J16" s="814"/>
    </row>
    <row r="17" spans="1:10" s="189" customFormat="1" x14ac:dyDescent="0.25">
      <c r="A17" s="814"/>
      <c r="B17" s="821">
        <v>23</v>
      </c>
      <c r="C17" s="816"/>
      <c r="D17" s="822" t="s">
        <v>229</v>
      </c>
      <c r="E17" s="818">
        <f>E11*$B$17</f>
        <v>340191.39</v>
      </c>
      <c r="F17" s="819"/>
      <c r="G17" s="820"/>
      <c r="H17" s="814"/>
      <c r="I17" s="814"/>
      <c r="J17" s="814"/>
    </row>
    <row r="18" spans="1:10" s="189" customFormat="1" x14ac:dyDescent="0.25">
      <c r="A18" s="814"/>
      <c r="B18" s="821">
        <v>40</v>
      </c>
      <c r="C18" s="816"/>
      <c r="D18" s="817" t="s">
        <v>1187</v>
      </c>
      <c r="E18" s="818">
        <f>E11*$B$18</f>
        <v>591637.19999999995</v>
      </c>
      <c r="F18" s="819"/>
      <c r="G18" s="820"/>
      <c r="H18" s="814"/>
      <c r="I18" s="814"/>
      <c r="J18" s="814"/>
    </row>
    <row r="19" spans="1:10" s="189" customFormat="1" x14ac:dyDescent="0.25">
      <c r="A19" s="814"/>
      <c r="B19" s="821">
        <v>30</v>
      </c>
      <c r="C19" s="816"/>
      <c r="D19" s="822" t="s">
        <v>1188</v>
      </c>
      <c r="E19" s="818">
        <f>E11*$B$19</f>
        <v>443727.9</v>
      </c>
      <c r="F19" s="819"/>
      <c r="G19" s="820"/>
      <c r="H19" s="814"/>
      <c r="I19" s="814"/>
      <c r="J19" s="814"/>
    </row>
    <row r="20" spans="1:10" s="189" customFormat="1" ht="22.5" thickBot="1" x14ac:dyDescent="0.3">
      <c r="A20" s="814"/>
      <c r="B20" s="823">
        <v>20</v>
      </c>
      <c r="C20" s="816"/>
      <c r="D20" s="824" t="s">
        <v>1189</v>
      </c>
      <c r="E20" s="825">
        <f>E11*$B$20</f>
        <v>295818.59999999998</v>
      </c>
      <c r="F20" s="819"/>
      <c r="G20" s="820"/>
      <c r="H20" s="814"/>
      <c r="I20" s="814"/>
      <c r="J20" s="814"/>
    </row>
    <row r="21" spans="1:10" x14ac:dyDescent="0.6">
      <c r="A21" s="826"/>
      <c r="B21" s="800"/>
      <c r="C21" s="800"/>
      <c r="D21" s="827" t="s">
        <v>1190</v>
      </c>
      <c r="E21" s="828">
        <f>SUM(E16:E20)</f>
        <v>2041148.3399999999</v>
      </c>
      <c r="F21" s="800"/>
    </row>
    <row r="22" spans="1:10" ht="14.45" customHeight="1" x14ac:dyDescent="0.6">
      <c r="A22" s="1077" t="s">
        <v>1191</v>
      </c>
      <c r="B22" s="1078"/>
      <c r="C22" s="1078"/>
      <c r="D22" s="1078"/>
      <c r="E22" s="1078"/>
      <c r="F22" s="801"/>
    </row>
    <row r="23" spans="1:10" s="807" customFormat="1" ht="14.45" customHeight="1" thickBot="1" x14ac:dyDescent="0.65">
      <c r="A23" s="16"/>
      <c r="B23" s="798"/>
      <c r="C23" s="829"/>
      <c r="D23" s="798"/>
      <c r="E23" s="800"/>
      <c r="F23" s="800"/>
    </row>
    <row r="24" spans="1:10" ht="24" customHeight="1" x14ac:dyDescent="0.6">
      <c r="A24" s="800"/>
      <c r="B24" s="808" t="s">
        <v>1192</v>
      </c>
      <c r="C24" s="830"/>
      <c r="D24" s="831" t="s">
        <v>14</v>
      </c>
      <c r="E24" s="804" t="s">
        <v>520</v>
      </c>
      <c r="F24" s="812"/>
      <c r="G24" s="813"/>
      <c r="H24" s="807"/>
      <c r="I24" s="807"/>
      <c r="J24" s="807"/>
    </row>
    <row r="25" spans="1:10" s="189" customFormat="1" x14ac:dyDescent="0.25">
      <c r="A25" s="814"/>
      <c r="B25" s="815">
        <v>25</v>
      </c>
      <c r="C25" s="832"/>
      <c r="D25" s="833" t="s">
        <v>1193</v>
      </c>
      <c r="E25" s="834">
        <f>E11*$B$25</f>
        <v>369773.25</v>
      </c>
      <c r="F25" s="819"/>
      <c r="G25" s="820"/>
      <c r="H25" s="814"/>
      <c r="I25" s="814"/>
      <c r="J25" s="814"/>
    </row>
    <row r="26" spans="1:10" s="189" customFormat="1" x14ac:dyDescent="0.25">
      <c r="A26" s="814"/>
      <c r="B26" s="821">
        <v>20</v>
      </c>
      <c r="C26" s="832"/>
      <c r="D26" s="822" t="s">
        <v>1194</v>
      </c>
      <c r="E26" s="835">
        <f>E11*$B$26</f>
        <v>295818.59999999998</v>
      </c>
      <c r="F26" s="819"/>
      <c r="G26" s="820"/>
      <c r="H26" s="814"/>
      <c r="I26" s="814"/>
      <c r="J26" s="814"/>
    </row>
    <row r="27" spans="1:10" s="189" customFormat="1" x14ac:dyDescent="0.25">
      <c r="A27" s="814"/>
      <c r="B27" s="821">
        <v>42.5</v>
      </c>
      <c r="C27" s="832"/>
      <c r="D27" s="817" t="s">
        <v>1195</v>
      </c>
      <c r="E27" s="835">
        <f>$B$27*E11</f>
        <v>628614.52500000002</v>
      </c>
      <c r="F27" s="819"/>
      <c r="G27" s="820"/>
      <c r="H27" s="814"/>
      <c r="I27" s="814"/>
      <c r="J27" s="814"/>
    </row>
    <row r="28" spans="1:10" s="189" customFormat="1" x14ac:dyDescent="0.25">
      <c r="A28" s="814"/>
      <c r="B28" s="821">
        <v>10</v>
      </c>
      <c r="C28" s="832"/>
      <c r="D28" s="817" t="s">
        <v>1196</v>
      </c>
      <c r="E28" s="835">
        <f>E11*$B$28</f>
        <v>147909.29999999999</v>
      </c>
      <c r="F28" s="819"/>
      <c r="G28" s="820"/>
      <c r="H28" s="814"/>
      <c r="I28" s="814"/>
      <c r="J28" s="814"/>
    </row>
    <row r="29" spans="1:10" s="189" customFormat="1" ht="22.5" thickBot="1" x14ac:dyDescent="0.3">
      <c r="A29" s="814"/>
      <c r="B29" s="823">
        <v>15</v>
      </c>
      <c r="C29" s="832"/>
      <c r="D29" s="824" t="s">
        <v>1197</v>
      </c>
      <c r="E29" s="836">
        <f>E11*$B$29</f>
        <v>221863.95</v>
      </c>
      <c r="F29" s="819"/>
      <c r="G29" s="820"/>
      <c r="H29" s="814"/>
      <c r="I29" s="814"/>
      <c r="J29" s="814"/>
    </row>
    <row r="30" spans="1:10" s="838" customFormat="1" ht="15.75" x14ac:dyDescent="0.45">
      <c r="A30" s="837"/>
      <c r="B30" s="827"/>
      <c r="C30" s="827"/>
      <c r="D30" s="827"/>
      <c r="E30" s="828">
        <f t="shared" ref="E30" si="0">SUM(E25:E29)</f>
        <v>1663979.625</v>
      </c>
      <c r="F30" s="827"/>
    </row>
    <row r="31" spans="1:10" ht="14.45" customHeight="1" x14ac:dyDescent="0.6">
      <c r="A31" s="1077" t="s">
        <v>1198</v>
      </c>
      <c r="B31" s="1078"/>
      <c r="C31" s="1078"/>
      <c r="D31" s="1078"/>
      <c r="E31" s="1078"/>
      <c r="F31" s="801"/>
    </row>
    <row r="32" spans="1:10" s="807" customFormat="1" ht="14.45" customHeight="1" thickBot="1" x14ac:dyDescent="0.65">
      <c r="A32" s="16"/>
      <c r="B32" s="798"/>
      <c r="C32" s="798"/>
      <c r="D32" s="798"/>
      <c r="E32" s="800"/>
      <c r="F32" s="800"/>
    </row>
    <row r="33" spans="1:10" ht="24" customHeight="1" x14ac:dyDescent="0.6">
      <c r="A33" s="800"/>
      <c r="B33" s="808" t="s">
        <v>1192</v>
      </c>
      <c r="C33" s="830"/>
      <c r="D33" s="839" t="s">
        <v>14</v>
      </c>
      <c r="E33" s="840" t="s">
        <v>520</v>
      </c>
      <c r="F33" s="809"/>
      <c r="G33" s="813"/>
      <c r="H33" s="807"/>
      <c r="I33" s="807"/>
      <c r="J33" s="807"/>
    </row>
    <row r="34" spans="1:10" s="189" customFormat="1" x14ac:dyDescent="0.25">
      <c r="A34" s="814"/>
      <c r="B34" s="815">
        <v>10</v>
      </c>
      <c r="C34" s="832"/>
      <c r="D34" s="833" t="s">
        <v>1199</v>
      </c>
      <c r="E34" s="841">
        <f>$B$34*E11</f>
        <v>147909.29999999999</v>
      </c>
      <c r="F34" s="819"/>
      <c r="G34" s="820"/>
      <c r="H34" s="814"/>
      <c r="I34" s="814"/>
      <c r="J34" s="814"/>
    </row>
    <row r="35" spans="1:10" s="189" customFormat="1" ht="24" customHeight="1" x14ac:dyDescent="0.25">
      <c r="A35" s="814"/>
      <c r="B35" s="821">
        <v>18</v>
      </c>
      <c r="C35" s="832"/>
      <c r="D35" s="817" t="s">
        <v>1200</v>
      </c>
      <c r="E35" s="842">
        <f>$B$35*E11</f>
        <v>266236.74</v>
      </c>
      <c r="F35" s="819"/>
      <c r="G35" s="820"/>
      <c r="H35" s="814"/>
      <c r="I35" s="814"/>
      <c r="J35" s="814"/>
    </row>
    <row r="36" spans="1:10" s="189" customFormat="1" ht="32.25" thickBot="1" x14ac:dyDescent="0.3">
      <c r="A36" s="814"/>
      <c r="B36" s="823">
        <v>8</v>
      </c>
      <c r="C36" s="832"/>
      <c r="D36" s="843" t="s">
        <v>1201</v>
      </c>
      <c r="E36" s="844">
        <f>$B$36*E11</f>
        <v>118327.44</v>
      </c>
      <c r="F36" s="819"/>
      <c r="G36" s="820"/>
      <c r="H36" s="814"/>
      <c r="I36" s="814"/>
      <c r="J36" s="814"/>
    </row>
    <row r="37" spans="1:10" s="838" customFormat="1" ht="15" customHeight="1" x14ac:dyDescent="0.45">
      <c r="A37" s="837"/>
      <c r="B37" s="827"/>
      <c r="C37" s="827"/>
      <c r="D37" s="827"/>
      <c r="E37" s="828">
        <f>SUM(E34:E36)</f>
        <v>532473.48</v>
      </c>
      <c r="F37" s="827"/>
    </row>
    <row r="38" spans="1:10" ht="14.45" customHeight="1" x14ac:dyDescent="0.6">
      <c r="A38" s="1077" t="s">
        <v>872</v>
      </c>
      <c r="B38" s="1078"/>
      <c r="C38" s="1078"/>
      <c r="D38" s="1078"/>
      <c r="E38" s="1078"/>
      <c r="F38" s="845"/>
    </row>
    <row r="39" spans="1:10" ht="14.45" customHeight="1" thickBot="1" x14ac:dyDescent="0.65">
      <c r="A39" s="16"/>
      <c r="B39" s="798"/>
      <c r="C39" s="798"/>
      <c r="D39" s="798"/>
      <c r="E39" s="799"/>
      <c r="F39" s="800"/>
    </row>
    <row r="40" spans="1:10" ht="24" customHeight="1" x14ac:dyDescent="0.6">
      <c r="A40" s="826"/>
      <c r="B40" s="800"/>
      <c r="C40" s="20"/>
      <c r="D40" s="839" t="s">
        <v>14</v>
      </c>
      <c r="E40" s="840" t="s">
        <v>1202</v>
      </c>
      <c r="F40" s="800"/>
    </row>
    <row r="41" spans="1:10" s="189" customFormat="1" ht="31.5" x14ac:dyDescent="0.25">
      <c r="A41" s="846"/>
      <c r="B41" s="847"/>
      <c r="C41" s="848"/>
      <c r="D41" s="833" t="s">
        <v>1184</v>
      </c>
      <c r="E41" s="841">
        <v>55</v>
      </c>
      <c r="F41" s="847"/>
    </row>
    <row r="42" spans="1:10" s="189" customFormat="1" ht="31.5" x14ac:dyDescent="0.25">
      <c r="A42" s="846"/>
      <c r="B42" s="847"/>
      <c r="C42" s="848"/>
      <c r="D42" s="817" t="s">
        <v>1191</v>
      </c>
      <c r="E42" s="842">
        <v>50</v>
      </c>
      <c r="F42" s="847"/>
    </row>
    <row r="43" spans="1:10" s="189" customFormat="1" x14ac:dyDescent="0.25">
      <c r="A43" s="846"/>
      <c r="B43" s="847"/>
      <c r="C43" s="848"/>
      <c r="D43" s="817" t="s">
        <v>1199</v>
      </c>
      <c r="E43" s="842">
        <v>3</v>
      </c>
      <c r="F43" s="847"/>
    </row>
    <row r="44" spans="1:10" s="189" customFormat="1" ht="24" customHeight="1" x14ac:dyDescent="0.25">
      <c r="A44" s="846"/>
      <c r="B44" s="847"/>
      <c r="C44" s="848"/>
      <c r="D44" s="817" t="s">
        <v>1200</v>
      </c>
      <c r="E44" s="842">
        <v>8</v>
      </c>
      <c r="F44" s="847"/>
    </row>
    <row r="45" spans="1:10" s="189" customFormat="1" ht="32.25" thickBot="1" x14ac:dyDescent="0.3">
      <c r="A45" s="846"/>
      <c r="B45" s="847"/>
      <c r="C45" s="848"/>
      <c r="D45" s="843" t="s">
        <v>1201</v>
      </c>
      <c r="E45" s="844">
        <v>3</v>
      </c>
      <c r="F45" s="847"/>
    </row>
    <row r="46" spans="1:10" s="189" customFormat="1" x14ac:dyDescent="0.25">
      <c r="A46" s="847"/>
      <c r="B46" s="847"/>
      <c r="C46" s="847"/>
      <c r="D46" s="849"/>
      <c r="E46" s="850"/>
      <c r="F46" s="847"/>
    </row>
    <row r="47" spans="1:10" ht="14.45" customHeight="1" x14ac:dyDescent="0.6">
      <c r="A47" s="1077" t="s">
        <v>228</v>
      </c>
      <c r="B47" s="1078"/>
      <c r="C47" s="1078"/>
      <c r="D47" s="1078"/>
      <c r="E47" s="1078"/>
      <c r="F47" s="801"/>
    </row>
    <row r="48" spans="1:10" s="189" customFormat="1" ht="22.5" thickBot="1" x14ac:dyDescent="0.3">
      <c r="A48" s="847"/>
      <c r="B48" s="847"/>
      <c r="C48" s="847"/>
      <c r="D48" s="851"/>
      <c r="E48" s="852"/>
      <c r="F48" s="847"/>
    </row>
    <row r="49" spans="1:6" ht="15.75" customHeight="1" x14ac:dyDescent="0.6">
      <c r="A49" s="800"/>
      <c r="B49" s="830"/>
      <c r="C49" s="853" t="s">
        <v>1192</v>
      </c>
      <c r="D49" s="854" t="s">
        <v>1203</v>
      </c>
      <c r="E49" s="855" t="s">
        <v>351</v>
      </c>
      <c r="F49" s="800"/>
    </row>
    <row r="50" spans="1:6" ht="22.5" thickBot="1" x14ac:dyDescent="0.65">
      <c r="A50" s="800"/>
      <c r="B50" s="856"/>
      <c r="C50" s="857">
        <v>8</v>
      </c>
      <c r="D50" s="858" t="s">
        <v>228</v>
      </c>
      <c r="E50" s="859">
        <f>C50*4410.5</f>
        <v>35284</v>
      </c>
      <c r="F50" s="800"/>
    </row>
    <row r="51" spans="1:6" x14ac:dyDescent="0.6">
      <c r="A51" s="800"/>
      <c r="B51" s="800"/>
      <c r="C51" s="800"/>
      <c r="D51" s="800"/>
      <c r="E51" s="860"/>
      <c r="F51" s="800"/>
    </row>
    <row r="52" spans="1:6" x14ac:dyDescent="0.6">
      <c r="A52" s="800"/>
      <c r="B52" s="800"/>
      <c r="C52" s="800"/>
      <c r="D52" s="800"/>
      <c r="E52" s="860"/>
      <c r="F52" s="800"/>
    </row>
    <row r="53" spans="1:6" x14ac:dyDescent="0.6">
      <c r="A53" s="800"/>
      <c r="B53" s="800"/>
      <c r="C53" s="800"/>
      <c r="D53" s="800"/>
      <c r="E53" s="860"/>
      <c r="F53" s="800"/>
    </row>
    <row r="54" spans="1:6" x14ac:dyDescent="0.6">
      <c r="A54" s="800"/>
      <c r="B54" s="800"/>
      <c r="C54" s="800"/>
      <c r="D54" s="800"/>
      <c r="E54" s="860"/>
      <c r="F54" s="800"/>
    </row>
    <row r="55" spans="1:6" x14ac:dyDescent="0.6">
      <c r="A55" s="800"/>
      <c r="B55" s="800"/>
      <c r="C55" s="800"/>
      <c r="D55" s="800"/>
      <c r="E55" s="860"/>
      <c r="F55" s="800"/>
    </row>
    <row r="56" spans="1:6" x14ac:dyDescent="0.6">
      <c r="A56" s="800"/>
      <c r="B56" s="800"/>
      <c r="C56" s="800"/>
      <c r="D56" s="800"/>
      <c r="E56" s="860"/>
      <c r="F56" s="800"/>
    </row>
  </sheetData>
  <mergeCells count="8">
    <mergeCell ref="A38:E38"/>
    <mergeCell ref="A47:E47"/>
    <mergeCell ref="A4:F4"/>
    <mergeCell ref="A6:F6"/>
    <mergeCell ref="A8:E8"/>
    <mergeCell ref="A13:E13"/>
    <mergeCell ref="A22:E22"/>
    <mergeCell ref="A31:E31"/>
  </mergeCells>
  <pageMargins left="0.51181102362204722" right="0.51181102362204722" top="0.78740157480314965" bottom="0.78740157480314965" header="0.31496062992125984" footer="0.31496062992125984"/>
  <pageSetup paperSize="9" scale="90" fitToHeight="0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690E6-0DC5-493C-A82C-A46F7AEE8FBF}">
  <sheetPr>
    <tabColor rgb="FF0070C0"/>
  </sheetPr>
  <dimension ref="A1:K45"/>
  <sheetViews>
    <sheetView showGridLines="0" topLeftCell="A26" zoomScale="85" zoomScaleNormal="85" zoomScaleSheetLayoutView="95" workbookViewId="0">
      <selection activeCell="D42" sqref="D42"/>
    </sheetView>
  </sheetViews>
  <sheetFormatPr defaultColWidth="9.140625" defaultRowHeight="19.5" x14ac:dyDescent="0.25"/>
  <cols>
    <col min="1" max="1" width="53" style="38" bestFit="1" customWidth="1"/>
    <col min="2" max="4" width="27" style="38" customWidth="1"/>
    <col min="5" max="5" width="16.7109375" style="38" customWidth="1"/>
    <col min="6" max="6" width="14.42578125" style="1" bestFit="1" customWidth="1"/>
    <col min="7" max="16384" width="9.140625" style="1"/>
  </cols>
  <sheetData>
    <row r="1" spans="1:7" x14ac:dyDescent="0.25">
      <c r="A1" s="41"/>
      <c r="B1" s="41"/>
      <c r="C1" s="41"/>
      <c r="D1" s="41"/>
      <c r="E1" s="41"/>
      <c r="G1" s="2"/>
    </row>
    <row r="2" spans="1:7" ht="28.5" x14ac:dyDescent="0.25">
      <c r="A2" s="1032" t="s">
        <v>247</v>
      </c>
      <c r="B2" s="1033"/>
      <c r="C2" s="1033"/>
      <c r="D2" s="1033"/>
      <c r="E2" s="1034"/>
      <c r="G2" s="2"/>
    </row>
    <row r="3" spans="1:7" x14ac:dyDescent="0.25">
      <c r="A3" s="43"/>
      <c r="B3" s="43"/>
      <c r="C3" s="43"/>
      <c r="D3" s="41"/>
      <c r="E3" s="41"/>
      <c r="G3" s="2"/>
    </row>
    <row r="4" spans="1:7" s="48" customFormat="1" ht="21.75" x14ac:dyDescent="0.25">
      <c r="A4" s="45" t="s">
        <v>248</v>
      </c>
      <c r="B4" s="46"/>
      <c r="C4" s="46"/>
      <c r="D4" s="46"/>
      <c r="E4" s="46"/>
    </row>
    <row r="5" spans="1:7" s="48" customFormat="1" ht="21.75" x14ac:dyDescent="0.25">
      <c r="A5" s="49"/>
      <c r="B5" s="50"/>
      <c r="C5" s="50"/>
      <c r="D5" s="52"/>
      <c r="E5" s="52"/>
    </row>
    <row r="6" spans="1:7" s="48" customFormat="1" ht="42" customHeight="1" x14ac:dyDescent="0.25">
      <c r="A6" s="55" t="s">
        <v>14</v>
      </c>
      <c r="B6" s="57" t="s">
        <v>18</v>
      </c>
      <c r="C6" s="62" t="s">
        <v>249</v>
      </c>
      <c r="D6" s="62" t="s">
        <v>16</v>
      </c>
      <c r="E6" s="52"/>
    </row>
    <row r="7" spans="1:7" s="48" customFormat="1" ht="43.5" x14ac:dyDescent="0.25">
      <c r="A7" s="58" t="s">
        <v>250</v>
      </c>
      <c r="B7" s="59">
        <v>0</v>
      </c>
      <c r="C7" s="213">
        <v>1200</v>
      </c>
      <c r="D7" s="79">
        <f>B7*C7</f>
        <v>0</v>
      </c>
      <c r="E7" s="50"/>
      <c r="F7" s="887"/>
    </row>
    <row r="8" spans="1:7" s="48" customFormat="1" ht="43.5" x14ac:dyDescent="0.25">
      <c r="A8" s="58" t="s">
        <v>1230</v>
      </c>
      <c r="B8" s="59">
        <f>DADOS_INICIAIS!E11</f>
        <v>14693.42</v>
      </c>
      <c r="C8" s="213">
        <v>100</v>
      </c>
      <c r="D8" s="79">
        <f>B8*C8*1.1</f>
        <v>1616276.2000000002</v>
      </c>
      <c r="E8" s="50"/>
      <c r="F8" s="887"/>
    </row>
    <row r="9" spans="1:7" s="48" customFormat="1" ht="21.75" x14ac:dyDescent="0.25">
      <c r="A9" s="58" t="s">
        <v>251</v>
      </c>
      <c r="B9" s="59">
        <f>Ambientes!J12</f>
        <v>12</v>
      </c>
      <c r="C9" s="213">
        <v>8000</v>
      </c>
      <c r="D9" s="79">
        <f>B9*C9*1.1</f>
        <v>105600.00000000001</v>
      </c>
      <c r="E9" s="50"/>
    </row>
    <row r="10" spans="1:7" s="48" customFormat="1" ht="21.75" x14ac:dyDescent="0.25">
      <c r="A10" s="58" t="s">
        <v>252</v>
      </c>
      <c r="B10" s="59">
        <f>COUNTIF(Ambientes!G:G,"SIM")-5</f>
        <v>133</v>
      </c>
      <c r="C10" s="213">
        <v>900</v>
      </c>
      <c r="D10" s="79">
        <f>B10*C10*1.1</f>
        <v>131670</v>
      </c>
      <c r="E10" s="50"/>
    </row>
    <row r="11" spans="1:7" s="48" customFormat="1" ht="21.75" x14ac:dyDescent="0.25">
      <c r="A11" s="58" t="s">
        <v>253</v>
      </c>
      <c r="B11" s="785">
        <f>DADOS_INICIAIS!E26</f>
        <v>24</v>
      </c>
      <c r="C11" s="786">
        <v>2600</v>
      </c>
      <c r="D11" s="787">
        <f>B11*C11*1.1</f>
        <v>68640</v>
      </c>
      <c r="E11" s="50"/>
    </row>
    <row r="12" spans="1:7" s="48" customFormat="1" ht="21.75" x14ac:dyDescent="0.25">
      <c r="A12" s="1031" t="s">
        <v>17</v>
      </c>
      <c r="B12" s="1031"/>
      <c r="C12" s="1031"/>
      <c r="D12" s="80">
        <f>SUM(D7:D11)</f>
        <v>1922186.2000000002</v>
      </c>
      <c r="E12" s="53"/>
    </row>
    <row r="13" spans="1:7" s="48" customFormat="1" ht="21.75" x14ac:dyDescent="0.25">
      <c r="A13" s="1035"/>
      <c r="B13" s="1035"/>
      <c r="C13" s="1035"/>
      <c r="D13" s="52"/>
      <c r="E13" s="52"/>
    </row>
    <row r="14" spans="1:7" s="48" customFormat="1" ht="21.75" x14ac:dyDescent="0.25">
      <c r="A14" s="45" t="s">
        <v>254</v>
      </c>
      <c r="B14" s="46"/>
      <c r="C14" s="46"/>
      <c r="D14" s="46"/>
      <c r="E14" s="46"/>
    </row>
    <row r="15" spans="1:7" s="48" customFormat="1" ht="21.75" x14ac:dyDescent="0.25">
      <c r="A15" s="49"/>
      <c r="B15" s="50"/>
      <c r="C15" s="50"/>
      <c r="D15" s="52"/>
      <c r="E15" s="52"/>
    </row>
    <row r="16" spans="1:7" s="48" customFormat="1" ht="42" customHeight="1" x14ac:dyDescent="0.25">
      <c r="A16" s="55" t="s">
        <v>14</v>
      </c>
      <c r="B16" s="1036" t="s">
        <v>5</v>
      </c>
      <c r="C16" s="1037"/>
      <c r="D16" s="62" t="s">
        <v>16</v>
      </c>
      <c r="E16" s="52"/>
    </row>
    <row r="17" spans="1:11" s="48" customFormat="1" ht="21.75" x14ac:dyDescent="0.25">
      <c r="A17" s="58" t="s">
        <v>255</v>
      </c>
      <c r="B17" s="54">
        <v>2</v>
      </c>
      <c r="C17" s="54" t="s">
        <v>6</v>
      </c>
      <c r="D17" s="79">
        <f>B17*DADOS_INICIAIS!$E$11*1.1</f>
        <v>32325.524000000001</v>
      </c>
      <c r="E17" s="50"/>
    </row>
    <row r="18" spans="1:11" s="48" customFormat="1" ht="21.75" x14ac:dyDescent="0.25">
      <c r="A18" s="58" t="s">
        <v>256</v>
      </c>
      <c r="B18" s="54">
        <v>4</v>
      </c>
      <c r="C18" s="54" t="s">
        <v>6</v>
      </c>
      <c r="D18" s="79">
        <f>B18*DADOS_INICIAIS!$E$11*1.1</f>
        <v>64651.048000000003</v>
      </c>
      <c r="E18" s="50"/>
    </row>
    <row r="19" spans="1:11" s="48" customFormat="1" ht="21.75" x14ac:dyDescent="0.25">
      <c r="A19" s="58" t="s">
        <v>1326</v>
      </c>
      <c r="B19" s="54">
        <v>2</v>
      </c>
      <c r="C19" s="54" t="s">
        <v>6</v>
      </c>
      <c r="D19" s="79">
        <f>B19*DADOS_INICIAIS!$E$11*1.1</f>
        <v>32325.524000000001</v>
      </c>
      <c r="E19" s="50"/>
    </row>
    <row r="20" spans="1:11" s="48" customFormat="1" ht="21.75" x14ac:dyDescent="0.25">
      <c r="A20" s="58" t="s">
        <v>257</v>
      </c>
      <c r="B20" s="54">
        <v>3</v>
      </c>
      <c r="C20" s="54" t="s">
        <v>6</v>
      </c>
      <c r="D20" s="79">
        <f>B20*DADOS_INICIAIS!$E$11*1.1</f>
        <v>48488.286000000007</v>
      </c>
      <c r="E20" s="50"/>
    </row>
    <row r="21" spans="1:11" s="48" customFormat="1" ht="43.5" x14ac:dyDescent="0.25">
      <c r="A21" s="779" t="s">
        <v>258</v>
      </c>
      <c r="B21" s="781">
        <v>8</v>
      </c>
      <c r="C21" s="781" t="s">
        <v>6</v>
      </c>
      <c r="D21" s="780">
        <f>B21*DADOS_INICIAIS!$E$11*1.1</f>
        <v>129302.09600000001</v>
      </c>
      <c r="E21" s="50"/>
    </row>
    <row r="22" spans="1:11" s="48" customFormat="1" ht="21.75" x14ac:dyDescent="0.25">
      <c r="A22" s="1031" t="s">
        <v>17</v>
      </c>
      <c r="B22" s="1031"/>
      <c r="C22" s="1031"/>
      <c r="D22" s="80">
        <f>SUM(D17:D21)</f>
        <v>307092.478</v>
      </c>
      <c r="E22" s="53"/>
    </row>
    <row r="23" spans="1:11" s="48" customFormat="1" ht="21.75" x14ac:dyDescent="0.25">
      <c r="A23" s="1035"/>
      <c r="B23" s="1035"/>
      <c r="C23" s="1035"/>
      <c r="D23" s="52"/>
      <c r="E23" s="52"/>
    </row>
    <row r="24" spans="1:11" s="48" customFormat="1" ht="21.75" x14ac:dyDescent="0.25">
      <c r="A24" s="45" t="s">
        <v>259</v>
      </c>
      <c r="B24" s="46"/>
      <c r="C24" s="46"/>
      <c r="D24" s="46"/>
      <c r="E24" s="46"/>
    </row>
    <row r="25" spans="1:11" s="48" customFormat="1" ht="21.75" x14ac:dyDescent="0.25">
      <c r="A25" s="49"/>
      <c r="B25" s="50"/>
      <c r="C25" s="50"/>
      <c r="D25" s="52"/>
      <c r="E25" s="52"/>
    </row>
    <row r="26" spans="1:11" s="48" customFormat="1" ht="42" customHeight="1" x14ac:dyDescent="0.25">
      <c r="A26" s="55" t="s">
        <v>14</v>
      </c>
      <c r="B26" s="57" t="s">
        <v>18</v>
      </c>
      <c r="C26" s="62" t="s">
        <v>249</v>
      </c>
      <c r="D26" s="62" t="s">
        <v>16</v>
      </c>
      <c r="E26" s="52"/>
    </row>
    <row r="27" spans="1:11" s="48" customFormat="1" ht="26.25" customHeight="1" x14ac:dyDescent="0.25">
      <c r="A27" s="61" t="s">
        <v>260</v>
      </c>
      <c r="B27" s="59">
        <v>6</v>
      </c>
      <c r="C27" s="213">
        <v>210000</v>
      </c>
      <c r="D27" s="79">
        <f>B27*C27*1.1</f>
        <v>1386000</v>
      </c>
      <c r="E27" s="52" t="s">
        <v>1265</v>
      </c>
    </row>
    <row r="28" spans="1:11" s="48" customFormat="1" ht="26.25" customHeight="1" x14ac:dyDescent="0.25">
      <c r="A28" s="61" t="s">
        <v>1296</v>
      </c>
      <c r="B28" s="59">
        <v>1</v>
      </c>
      <c r="C28" s="213">
        <f>C27/4</f>
        <v>52500</v>
      </c>
      <c r="D28" s="79">
        <f>C28*1.1</f>
        <v>57750.000000000007</v>
      </c>
      <c r="E28" s="52"/>
    </row>
    <row r="29" spans="1:11" s="48" customFormat="1" ht="26.25" customHeight="1" x14ac:dyDescent="0.25">
      <c r="A29" s="61" t="s">
        <v>261</v>
      </c>
      <c r="B29" s="785">
        <v>1</v>
      </c>
      <c r="C29" s="786">
        <v>80000</v>
      </c>
      <c r="D29" s="787">
        <f>B29*C29*1.1</f>
        <v>88000</v>
      </c>
      <c r="E29" s="50"/>
    </row>
    <row r="30" spans="1:11" s="48" customFormat="1" ht="26.25" customHeight="1" x14ac:dyDescent="0.25">
      <c r="A30" s="61" t="s">
        <v>262</v>
      </c>
      <c r="B30" s="59">
        <v>0</v>
      </c>
      <c r="C30" s="213"/>
      <c r="D30" s="79">
        <f t="shared" ref="D30" si="0">B30*C30</f>
        <v>0</v>
      </c>
      <c r="E30" s="50"/>
    </row>
    <row r="31" spans="1:11" s="48" customFormat="1" ht="26.25" customHeight="1" x14ac:dyDescent="0.25">
      <c r="A31" s="61" t="s">
        <v>263</v>
      </c>
      <c r="B31" s="59">
        <f>DADOS_INICIAIS!E26</f>
        <v>24</v>
      </c>
      <c r="C31" s="213">
        <v>800</v>
      </c>
      <c r="D31" s="79">
        <f t="shared" ref="D31:D36" si="1">B31*C31*1.1</f>
        <v>21120</v>
      </c>
      <c r="E31" s="50" t="s">
        <v>1299</v>
      </c>
      <c r="J31" s="48">
        <v>30</v>
      </c>
      <c r="K31" s="48" t="s">
        <v>1297</v>
      </c>
    </row>
    <row r="32" spans="1:11" s="48" customFormat="1" ht="26.25" customHeight="1" x14ac:dyDescent="0.25">
      <c r="A32" s="61" t="s">
        <v>264</v>
      </c>
      <c r="B32" s="59">
        <f>B31</f>
        <v>24</v>
      </c>
      <c r="C32" s="213">
        <v>10000</v>
      </c>
      <c r="D32" s="79">
        <f t="shared" si="1"/>
        <v>264000</v>
      </c>
      <c r="E32" s="50" t="s">
        <v>1299</v>
      </c>
      <c r="J32" s="48">
        <v>58</v>
      </c>
      <c r="K32" s="48" t="s">
        <v>1298</v>
      </c>
    </row>
    <row r="33" spans="1:9" s="48" customFormat="1" ht="26.25" customHeight="1" x14ac:dyDescent="0.25">
      <c r="A33" s="61" t="s">
        <v>265</v>
      </c>
      <c r="B33" s="59">
        <v>1</v>
      </c>
      <c r="C33" s="213">
        <f>'Simulador Solar'!A21</f>
        <v>1244901.7</v>
      </c>
      <c r="D33" s="79">
        <f t="shared" si="1"/>
        <v>1369391.87</v>
      </c>
      <c r="E33" s="50"/>
    </row>
    <row r="34" spans="1:9" s="48" customFormat="1" ht="26.25" customHeight="1" x14ac:dyDescent="0.25">
      <c r="A34" s="61" t="s">
        <v>1217</v>
      </c>
      <c r="B34" s="785">
        <f>'REVESTIMENTO PISO'!F151</f>
        <v>5.48</v>
      </c>
      <c r="C34" s="786">
        <v>3900</v>
      </c>
      <c r="D34" s="787">
        <f t="shared" si="1"/>
        <v>23509.200000000001</v>
      </c>
      <c r="E34" s="50"/>
    </row>
    <row r="35" spans="1:9" s="48" customFormat="1" ht="26.25" customHeight="1" x14ac:dyDescent="0.25">
      <c r="A35" s="61" t="s">
        <v>1218</v>
      </c>
      <c r="B35" s="59">
        <v>1</v>
      </c>
      <c r="C35" s="213">
        <v>10000</v>
      </c>
      <c r="D35" s="79">
        <f t="shared" si="1"/>
        <v>11000</v>
      </c>
      <c r="E35" s="50"/>
    </row>
    <row r="36" spans="1:9" s="48" customFormat="1" ht="26.25" customHeight="1" x14ac:dyDescent="0.25">
      <c r="A36" s="61" t="s">
        <v>266</v>
      </c>
      <c r="B36" s="59">
        <v>33</v>
      </c>
      <c r="C36" s="213">
        <f>14913.3+15818+1100+5000</f>
        <v>36831.300000000003</v>
      </c>
      <c r="D36" s="79">
        <f t="shared" si="1"/>
        <v>1336976.1900000002</v>
      </c>
      <c r="E36" s="50" t="s">
        <v>1215</v>
      </c>
    </row>
    <row r="37" spans="1:9" s="48" customFormat="1" ht="21.75" x14ac:dyDescent="0.25">
      <c r="A37" s="1031" t="s">
        <v>17</v>
      </c>
      <c r="B37" s="1031"/>
      <c r="C37" s="1031"/>
      <c r="D37" s="80">
        <f>SUM(D27:D36)</f>
        <v>4557747.2600000007</v>
      </c>
      <c r="E37" s="53"/>
    </row>
    <row r="38" spans="1:9" x14ac:dyDescent="0.25">
      <c r="I38" s="40"/>
    </row>
    <row r="39" spans="1:9" s="48" customFormat="1" ht="21.75" x14ac:dyDescent="0.25">
      <c r="A39" s="45" t="s">
        <v>267</v>
      </c>
      <c r="B39" s="46"/>
      <c r="C39" s="46"/>
      <c r="D39" s="46"/>
      <c r="E39" s="46"/>
    </row>
    <row r="40" spans="1:9" s="48" customFormat="1" ht="21.75" x14ac:dyDescent="0.25">
      <c r="A40" s="49"/>
      <c r="B40" s="50"/>
      <c r="C40" s="50"/>
      <c r="D40" s="52"/>
      <c r="E40" s="52"/>
    </row>
    <row r="41" spans="1:9" s="48" customFormat="1" ht="40.5" customHeight="1" x14ac:dyDescent="0.25">
      <c r="A41" s="55" t="s">
        <v>14</v>
      </c>
      <c r="B41" s="1036" t="s">
        <v>5</v>
      </c>
      <c r="C41" s="1037"/>
      <c r="D41" s="62" t="s">
        <v>16</v>
      </c>
      <c r="E41" s="52"/>
    </row>
    <row r="42" spans="1:9" s="48" customFormat="1" ht="26.25" customHeight="1" x14ac:dyDescent="0.25">
      <c r="A42" s="61" t="s">
        <v>268</v>
      </c>
      <c r="B42" s="54">
        <v>30</v>
      </c>
      <c r="C42" s="54" t="s">
        <v>6</v>
      </c>
      <c r="D42" s="79">
        <f>B42*DADOS_INICIAIS!E11</f>
        <v>440802.6</v>
      </c>
      <c r="E42" s="92"/>
    </row>
    <row r="43" spans="1:9" s="48" customFormat="1" ht="21.75" x14ac:dyDescent="0.25">
      <c r="A43" s="1031" t="s">
        <v>17</v>
      </c>
      <c r="B43" s="1031"/>
      <c r="C43" s="1031"/>
      <c r="D43" s="80">
        <f>SUM(D42:D42)</f>
        <v>440802.6</v>
      </c>
      <c r="E43" s="93"/>
    </row>
    <row r="44" spans="1:9" x14ac:dyDescent="0.25">
      <c r="D44" s="97"/>
      <c r="E44" s="97"/>
      <c r="I44" s="40"/>
    </row>
    <row r="45" spans="1:9" ht="23.25" customHeight="1" x14ac:dyDescent="0.25">
      <c r="A45" s="1028" t="s">
        <v>269</v>
      </c>
      <c r="B45" s="1029"/>
      <c r="C45" s="1030"/>
      <c r="D45" s="98">
        <f>D12+D22+D37+D43</f>
        <v>7227828.5380000006</v>
      </c>
      <c r="E45" s="98">
        <f>D45/DADOS_INICIAIS!E11</f>
        <v>491.90920411993943</v>
      </c>
    </row>
  </sheetData>
  <mergeCells count="10">
    <mergeCell ref="A37:C37"/>
    <mergeCell ref="B41:C41"/>
    <mergeCell ref="A43:C43"/>
    <mergeCell ref="A45:C45"/>
    <mergeCell ref="A2:E2"/>
    <mergeCell ref="A12:C12"/>
    <mergeCell ref="A13:C13"/>
    <mergeCell ref="B16:C16"/>
    <mergeCell ref="A22:C22"/>
    <mergeCell ref="A23:C23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754CF-485D-42A5-BC95-F6F9D2160400}">
  <sheetPr>
    <tabColor rgb="FF0070C0"/>
  </sheetPr>
  <dimension ref="A1:A21"/>
  <sheetViews>
    <sheetView showGridLines="0" zoomScale="85" zoomScaleNormal="85" workbookViewId="0">
      <selection activeCell="A21" sqref="A21"/>
    </sheetView>
  </sheetViews>
  <sheetFormatPr defaultRowHeight="15" x14ac:dyDescent="0.25"/>
  <cols>
    <col min="1" max="1" width="16.42578125" bestFit="1" customWidth="1"/>
  </cols>
  <sheetData>
    <row r="1" spans="1:1" x14ac:dyDescent="0.25">
      <c r="A1" s="972" t="s">
        <v>1330</v>
      </c>
    </row>
    <row r="21" spans="1:1" x14ac:dyDescent="0.25">
      <c r="A21" s="973">
        <v>1244901.7</v>
      </c>
    </row>
  </sheetData>
  <hyperlinks>
    <hyperlink ref="A1" r:id="rId1" xr:uid="{F753D115-7D19-446C-AA8C-B3DE745AEBAB}"/>
  </hyperlinks>
  <pageMargins left="0.511811024" right="0.511811024" top="0.78740157499999996" bottom="0.78740157499999996" header="0.31496062000000002" footer="0.31496062000000002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2F8F8-046F-42D5-BF7B-4FECD21C37E4}">
  <sheetPr>
    <tabColor rgb="FF0070C0"/>
  </sheetPr>
  <dimension ref="A1:I22"/>
  <sheetViews>
    <sheetView showGridLines="0" zoomScale="70" zoomScaleNormal="70" zoomScaleSheetLayoutView="95" workbookViewId="0">
      <selection activeCell="F7" sqref="F7:F14"/>
    </sheetView>
  </sheetViews>
  <sheetFormatPr defaultColWidth="9.140625" defaultRowHeight="19.5" x14ac:dyDescent="0.25"/>
  <cols>
    <col min="1" max="1" width="53" style="38" bestFit="1" customWidth="1"/>
    <col min="2" max="2" width="31.5703125" style="38" customWidth="1"/>
    <col min="3" max="6" width="27" style="38" customWidth="1"/>
    <col min="7" max="7" width="35.140625" style="38" customWidth="1"/>
    <col min="8" max="16384" width="9.140625" style="1"/>
  </cols>
  <sheetData>
    <row r="1" spans="1:9" x14ac:dyDescent="0.25">
      <c r="A1" s="41"/>
      <c r="B1" s="41"/>
      <c r="C1" s="41"/>
      <c r="D1" s="41"/>
      <c r="E1" s="41"/>
      <c r="F1" s="41"/>
      <c r="G1" s="41"/>
      <c r="I1" s="2"/>
    </row>
    <row r="2" spans="1:9" ht="28.5" x14ac:dyDescent="0.25">
      <c r="A2" s="1032" t="s">
        <v>270</v>
      </c>
      <c r="B2" s="1033"/>
      <c r="C2" s="1033"/>
      <c r="D2" s="1033"/>
      <c r="E2" s="1033"/>
      <c r="F2" s="1033"/>
      <c r="G2" s="1034"/>
      <c r="I2" s="2"/>
    </row>
    <row r="3" spans="1:9" x14ac:dyDescent="0.25">
      <c r="A3" s="43"/>
      <c r="B3" s="43"/>
      <c r="C3" s="43"/>
      <c r="D3" s="43"/>
      <c r="E3" s="43"/>
      <c r="F3" s="41"/>
      <c r="G3" s="41"/>
      <c r="I3" s="2"/>
    </row>
    <row r="4" spans="1:9" s="48" customFormat="1" ht="21.75" x14ac:dyDescent="0.25">
      <c r="A4" s="45" t="s">
        <v>271</v>
      </c>
      <c r="B4" s="46"/>
      <c r="C4" s="46"/>
      <c r="D4" s="46"/>
      <c r="E4" s="46"/>
      <c r="F4" s="46"/>
      <c r="G4" s="46"/>
    </row>
    <row r="5" spans="1:9" s="48" customFormat="1" ht="21.75" x14ac:dyDescent="0.25">
      <c r="A5" s="49"/>
      <c r="B5" s="50"/>
      <c r="C5" s="50"/>
      <c r="D5" s="50"/>
      <c r="E5" s="50"/>
      <c r="F5" s="52"/>
      <c r="G5" s="52"/>
    </row>
    <row r="6" spans="1:9" s="48" customFormat="1" ht="42" customHeight="1" x14ac:dyDescent="0.25">
      <c r="A6" s="55" t="s">
        <v>14</v>
      </c>
      <c r="B6" s="1036" t="s">
        <v>5</v>
      </c>
      <c r="C6" s="1037"/>
      <c r="D6" s="1036" t="s">
        <v>18</v>
      </c>
      <c r="E6" s="1037"/>
      <c r="F6" s="62" t="s">
        <v>16</v>
      </c>
      <c r="G6" s="52"/>
    </row>
    <row r="7" spans="1:9" s="48" customFormat="1" ht="21.75" x14ac:dyDescent="0.25">
      <c r="A7" s="58" t="s">
        <v>272</v>
      </c>
      <c r="B7" s="54">
        <v>3100</v>
      </c>
      <c r="C7" s="54" t="s">
        <v>1155</v>
      </c>
      <c r="D7" s="59">
        <f>DADOS_INICIAIS!E19</f>
        <v>343.39</v>
      </c>
      <c r="E7" s="59" t="s">
        <v>2</v>
      </c>
      <c r="F7" s="79">
        <f t="shared" ref="F7:F11" si="0">D7*B7*1.1</f>
        <v>1170959.9000000001</v>
      </c>
      <c r="G7" s="50"/>
    </row>
    <row r="8" spans="1:9" s="48" customFormat="1" ht="43.5" x14ac:dyDescent="0.25">
      <c r="A8" s="58" t="s">
        <v>1322</v>
      </c>
      <c r="B8" s="54">
        <v>150</v>
      </c>
      <c r="C8" s="54" t="s">
        <v>1155</v>
      </c>
      <c r="D8" s="59">
        <f>I8+I9</f>
        <v>1361.26</v>
      </c>
      <c r="E8" s="59" t="s">
        <v>2</v>
      </c>
      <c r="F8" s="79">
        <f t="shared" ref="F8" si="1">D8*B8*1.1</f>
        <v>224607.90000000002</v>
      </c>
      <c r="G8" s="50"/>
      <c r="H8" s="48" t="s">
        <v>1328</v>
      </c>
      <c r="I8" s="48">
        <f>SUMIF('REVESTIMENTO PISO'!D:D,"Circulação",'REVESTIMENTO PISO'!F:F)</f>
        <v>443.96000000000004</v>
      </c>
    </row>
    <row r="9" spans="1:9" s="48" customFormat="1" ht="21.75" x14ac:dyDescent="0.25">
      <c r="A9" s="58" t="s">
        <v>273</v>
      </c>
      <c r="B9" s="54">
        <v>12</v>
      </c>
      <c r="C9" s="54" t="s">
        <v>6</v>
      </c>
      <c r="D9" s="59">
        <v>1</v>
      </c>
      <c r="E9" s="59" t="s">
        <v>27</v>
      </c>
      <c r="F9" s="79">
        <f>DADOS_INICIAIS!$E$11*B9*1.1</f>
        <v>193953.14400000003</v>
      </c>
      <c r="G9" s="50"/>
      <c r="H9" s="48" t="s">
        <v>1329</v>
      </c>
      <c r="I9" s="48">
        <f>SUMIF('REVESTIMENTO PISO'!D:D,"JARDIM (SUPERIOR)",'REVESTIMENTO PISO'!F:F)</f>
        <v>917.3</v>
      </c>
    </row>
    <row r="10" spans="1:9" s="48" customFormat="1" ht="21.75" x14ac:dyDescent="0.25">
      <c r="A10" s="876" t="s">
        <v>1327</v>
      </c>
      <c r="B10" s="869">
        <f>C21+150</f>
        <v>440.66828125000001</v>
      </c>
      <c r="C10" s="869" t="s">
        <v>1156</v>
      </c>
      <c r="D10" s="877">
        <f>DADOS_INICIAIS!E20</f>
        <v>2661.29</v>
      </c>
      <c r="E10" s="877" t="s">
        <v>2</v>
      </c>
      <c r="F10" s="878">
        <f>D10*B10*1.1</f>
        <v>1290020.6992285941</v>
      </c>
      <c r="G10" s="50"/>
    </row>
    <row r="11" spans="1:9" s="48" customFormat="1" ht="21.75" x14ac:dyDescent="0.25">
      <c r="A11" s="876" t="s">
        <v>1218</v>
      </c>
      <c r="B11" s="869">
        <v>1500</v>
      </c>
      <c r="C11" s="54" t="s">
        <v>169</v>
      </c>
      <c r="D11" s="877">
        <v>52</v>
      </c>
      <c r="E11" s="877" t="s">
        <v>2</v>
      </c>
      <c r="F11" s="79">
        <f t="shared" si="0"/>
        <v>85800</v>
      </c>
      <c r="G11" s="50"/>
    </row>
    <row r="12" spans="1:9" s="48" customFormat="1" ht="21.75" x14ac:dyDescent="0.25">
      <c r="A12" s="58" t="s">
        <v>275</v>
      </c>
      <c r="B12" s="54">
        <v>5</v>
      </c>
      <c r="C12" s="54" t="s">
        <v>6</v>
      </c>
      <c r="D12" s="59">
        <v>1</v>
      </c>
      <c r="E12" s="59" t="s">
        <v>27</v>
      </c>
      <c r="F12" s="79">
        <f>DADOS_INICIAIS!$E$11*B12*1.1</f>
        <v>80813.810000000012</v>
      </c>
      <c r="G12" s="50"/>
    </row>
    <row r="13" spans="1:9" s="48" customFormat="1" ht="21.75" x14ac:dyDescent="0.25">
      <c r="A13" s="58" t="s">
        <v>276</v>
      </c>
      <c r="B13" s="54">
        <v>10</v>
      </c>
      <c r="C13" s="54" t="s">
        <v>6</v>
      </c>
      <c r="D13" s="59">
        <v>1</v>
      </c>
      <c r="E13" s="59" t="s">
        <v>27</v>
      </c>
      <c r="F13" s="79">
        <f>DADOS_INICIAIS!$E$11*B13*1.1</f>
        <v>161627.62000000002</v>
      </c>
      <c r="G13" s="50"/>
    </row>
    <row r="14" spans="1:9" s="48" customFormat="1" ht="21.75" x14ac:dyDescent="0.25">
      <c r="A14" s="58" t="s">
        <v>277</v>
      </c>
      <c r="B14" s="54">
        <v>20</v>
      </c>
      <c r="C14" s="54" t="s">
        <v>6</v>
      </c>
      <c r="D14" s="59">
        <v>1</v>
      </c>
      <c r="E14" s="59" t="s">
        <v>27</v>
      </c>
      <c r="F14" s="79">
        <f>DADOS_INICIAIS!$E$11*B14*1.1</f>
        <v>323255.24000000005</v>
      </c>
      <c r="G14" s="775"/>
    </row>
    <row r="15" spans="1:9" s="48" customFormat="1" ht="21.75" x14ac:dyDescent="0.25">
      <c r="A15" s="1031" t="s">
        <v>17</v>
      </c>
      <c r="B15" s="1031"/>
      <c r="C15" s="1031"/>
      <c r="D15" s="100"/>
      <c r="E15" s="100"/>
      <c r="F15" s="80">
        <f>SUM(F7:F14)</f>
        <v>3531038.3132285946</v>
      </c>
      <c r="G15" s="53"/>
    </row>
    <row r="16" spans="1:9" s="48" customFormat="1" ht="21.75" x14ac:dyDescent="0.25">
      <c r="A16" s="1035"/>
      <c r="B16" s="1035"/>
      <c r="C16" s="1035"/>
      <c r="D16" s="101"/>
      <c r="E16" s="101"/>
      <c r="F16" s="52"/>
      <c r="G16" s="52"/>
    </row>
    <row r="17" spans="1:7" ht="23.25" customHeight="1" x14ac:dyDescent="0.25">
      <c r="A17" s="1028" t="s">
        <v>278</v>
      </c>
      <c r="B17" s="1029"/>
      <c r="C17" s="1030"/>
      <c r="D17" s="99"/>
      <c r="E17" s="99"/>
      <c r="F17" s="98">
        <f>F15</f>
        <v>3531038.3132285946</v>
      </c>
      <c r="G17" s="98">
        <f>F17/DADOS_INICIAIS!E11</f>
        <v>240.31425721367759</v>
      </c>
    </row>
    <row r="20" spans="1:7" x14ac:dyDescent="0.25">
      <c r="B20" s="1083" t="s">
        <v>1157</v>
      </c>
      <c r="C20" s="1083"/>
      <c r="D20" s="1083"/>
      <c r="E20" s="1083"/>
    </row>
    <row r="21" spans="1:7" x14ac:dyDescent="0.25">
      <c r="B21" s="766" t="s">
        <v>1158</v>
      </c>
      <c r="C21" s="767">
        <f>520877.56/1792</f>
        <v>290.66828125000001</v>
      </c>
      <c r="D21" s="767">
        <v>2661.29</v>
      </c>
      <c r="E21" s="767">
        <f>C21*D21</f>
        <v>773552.59020781249</v>
      </c>
      <c r="F21" s="765"/>
    </row>
    <row r="22" spans="1:7" x14ac:dyDescent="0.25">
      <c r="B22" s="766" t="s">
        <v>1159</v>
      </c>
      <c r="C22" s="767">
        <f>520877.56/14888.46</f>
        <v>34.985321517470581</v>
      </c>
      <c r="D22" s="767">
        <f>DADOS_INICIAIS!$E$11</f>
        <v>14693.42</v>
      </c>
      <c r="E22" s="767">
        <f>C22*D22</f>
        <v>514054.02289123257</v>
      </c>
      <c r="F22" s="765"/>
    </row>
  </sheetData>
  <mergeCells count="7">
    <mergeCell ref="B20:E20"/>
    <mergeCell ref="A17:C17"/>
    <mergeCell ref="A2:G2"/>
    <mergeCell ref="B6:C6"/>
    <mergeCell ref="D6:E6"/>
    <mergeCell ref="A15:C15"/>
    <mergeCell ref="A16:C16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BF8EB-9F62-40C7-89FE-5FB49332D701}">
  <dimension ref="A1:T1000"/>
  <sheetViews>
    <sheetView showGridLines="0" topLeftCell="A5" workbookViewId="0">
      <selection activeCell="B9" sqref="B9:F9"/>
    </sheetView>
  </sheetViews>
  <sheetFormatPr defaultColWidth="14.42578125" defaultRowHeight="15" customHeight="1" x14ac:dyDescent="0.25"/>
  <cols>
    <col min="1" max="1" width="12" customWidth="1"/>
    <col min="2" max="2" width="38.140625" customWidth="1"/>
    <col min="3" max="3" width="15.5703125" customWidth="1"/>
    <col min="4" max="4" width="12.42578125" customWidth="1"/>
    <col min="5" max="5" width="12.7109375" customWidth="1"/>
    <col min="6" max="6" width="10.42578125" customWidth="1"/>
    <col min="7" max="7" width="36" customWidth="1"/>
    <col min="8" max="13" width="16.28515625" customWidth="1"/>
    <col min="14" max="14" width="21.85546875" customWidth="1"/>
    <col min="15" max="15" width="11.28515625" customWidth="1"/>
    <col min="16" max="16" width="20" customWidth="1"/>
    <col min="17" max="17" width="10.28515625" customWidth="1"/>
    <col min="18" max="18" width="8.7109375" customWidth="1"/>
    <col min="19" max="19" width="13" customWidth="1"/>
    <col min="20" max="31" width="8.7109375" customWidth="1"/>
  </cols>
  <sheetData>
    <row r="1" spans="1:20" ht="21.75" x14ac:dyDescent="0.6">
      <c r="A1" s="214" t="s">
        <v>0</v>
      </c>
      <c r="B1" s="215" t="s">
        <v>279</v>
      </c>
      <c r="C1" s="216"/>
      <c r="D1" s="217"/>
      <c r="E1" s="250"/>
      <c r="F1" s="250"/>
      <c r="G1" s="218"/>
      <c r="O1" s="251"/>
      <c r="P1" s="251"/>
    </row>
    <row r="2" spans="1:20" ht="21.75" x14ac:dyDescent="0.6">
      <c r="A2" s="219" t="s">
        <v>113</v>
      </c>
      <c r="B2" s="220" t="s">
        <v>279</v>
      </c>
      <c r="C2" s="221"/>
      <c r="D2" s="222"/>
      <c r="E2" s="252"/>
      <c r="F2" s="252"/>
      <c r="G2" s="223"/>
      <c r="O2" s="251"/>
      <c r="P2" s="251"/>
    </row>
    <row r="3" spans="1:20" ht="21.75" x14ac:dyDescent="0.6">
      <c r="A3" s="219" t="s">
        <v>1</v>
      </c>
      <c r="B3" s="220" t="e">
        <f>#REF!</f>
        <v>#REF!</v>
      </c>
      <c r="C3" s="221"/>
      <c r="D3" s="222"/>
      <c r="E3" s="252"/>
      <c r="F3" s="253"/>
      <c r="G3" s="223"/>
      <c r="N3" s="1087" t="s">
        <v>281</v>
      </c>
      <c r="O3" s="1050"/>
      <c r="P3" s="1050"/>
      <c r="R3" s="1087" t="s">
        <v>282</v>
      </c>
      <c r="S3" s="1050"/>
      <c r="T3" s="1050"/>
    </row>
    <row r="4" spans="1:20" x14ac:dyDescent="0.25">
      <c r="A4" s="1088" t="s">
        <v>283</v>
      </c>
      <c r="B4" s="1089"/>
      <c r="C4" s="1089"/>
      <c r="D4" s="1089"/>
      <c r="E4" s="1089"/>
      <c r="F4" s="1089"/>
      <c r="G4" s="1090"/>
      <c r="N4" s="254" t="s">
        <v>284</v>
      </c>
      <c r="O4" s="251">
        <v>0</v>
      </c>
      <c r="P4" s="251"/>
      <c r="R4" s="254" t="s">
        <v>285</v>
      </c>
      <c r="S4" s="251" t="e">
        <f>O4/O5</f>
        <v>#DIV/0!</v>
      </c>
    </row>
    <row r="5" spans="1:20" ht="28.5" x14ac:dyDescent="0.6">
      <c r="A5" s="224"/>
      <c r="B5" s="225"/>
      <c r="C5" s="225"/>
      <c r="D5" s="226"/>
      <c r="E5" s="255"/>
      <c r="F5" s="255"/>
      <c r="G5" s="227"/>
      <c r="N5" s="254" t="s">
        <v>286</v>
      </c>
      <c r="O5" s="251">
        <v>0</v>
      </c>
      <c r="P5" s="251" t="s">
        <v>287</v>
      </c>
      <c r="R5" s="254" t="s">
        <v>288</v>
      </c>
      <c r="S5" s="254">
        <v>49</v>
      </c>
      <c r="T5" s="254" t="s">
        <v>289</v>
      </c>
    </row>
    <row r="6" spans="1:20" x14ac:dyDescent="0.25">
      <c r="A6" s="1091" t="s">
        <v>290</v>
      </c>
      <c r="B6" s="1089"/>
      <c r="C6" s="1089"/>
      <c r="D6" s="1089"/>
      <c r="E6" s="1089"/>
      <c r="F6" s="1089"/>
      <c r="G6" s="1090"/>
      <c r="N6" s="254" t="s">
        <v>291</v>
      </c>
      <c r="O6" s="251" t="e">
        <f>ROUNDUP((O4*S5)/O5/180,)</f>
        <v>#DIV/0!</v>
      </c>
      <c r="P6" s="251" t="s">
        <v>292</v>
      </c>
    </row>
    <row r="7" spans="1:20" ht="21.75" x14ac:dyDescent="0.6">
      <c r="A7" s="228"/>
      <c r="B7" s="229"/>
      <c r="C7" s="230"/>
      <c r="D7" s="231"/>
      <c r="E7" s="253"/>
      <c r="F7" s="253"/>
      <c r="G7" s="232"/>
      <c r="N7" s="254" t="s">
        <v>293</v>
      </c>
      <c r="O7" s="251">
        <v>0</v>
      </c>
      <c r="P7" s="251"/>
      <c r="Q7" s="251"/>
    </row>
    <row r="8" spans="1:20" ht="21.75" x14ac:dyDescent="0.6">
      <c r="A8" s="256" t="s">
        <v>290</v>
      </c>
      <c r="B8" s="257"/>
      <c r="C8" s="257"/>
      <c r="D8" s="258"/>
      <c r="E8" s="259"/>
      <c r="F8" s="259"/>
      <c r="G8" s="260"/>
      <c r="N8" s="261" t="s">
        <v>294</v>
      </c>
      <c r="O8" s="262">
        <v>5</v>
      </c>
      <c r="P8" s="262" t="s">
        <v>292</v>
      </c>
      <c r="Q8" s="251"/>
    </row>
    <row r="9" spans="1:20" ht="22.5" thickBot="1" x14ac:dyDescent="0.65">
      <c r="A9" s="233"/>
      <c r="B9" s="263"/>
      <c r="C9" s="263"/>
      <c r="D9" s="264"/>
      <c r="E9" s="265"/>
      <c r="F9" s="265"/>
      <c r="G9" s="232"/>
      <c r="O9" s="251"/>
      <c r="P9" s="251"/>
    </row>
    <row r="10" spans="1:20" ht="21.75" x14ac:dyDescent="0.6">
      <c r="A10" s="233"/>
      <c r="B10" s="234" t="s">
        <v>14</v>
      </c>
      <c r="C10" s="235" t="s">
        <v>123</v>
      </c>
      <c r="D10" s="236" t="s">
        <v>18</v>
      </c>
      <c r="E10" s="265"/>
      <c r="F10" s="265"/>
      <c r="G10" s="232"/>
      <c r="O10" s="251"/>
      <c r="P10" s="251"/>
    </row>
    <row r="11" spans="1:20" ht="21.75" x14ac:dyDescent="0.6">
      <c r="A11" s="233"/>
      <c r="B11" s="237" t="s">
        <v>295</v>
      </c>
      <c r="C11" s="238" t="s">
        <v>296</v>
      </c>
      <c r="D11" s="266" t="e">
        <f>#REF!/#REF!</f>
        <v>#REF!</v>
      </c>
      <c r="E11" s="265"/>
      <c r="F11" s="265"/>
      <c r="G11" s="232"/>
      <c r="N11" s="254" t="s">
        <v>297</v>
      </c>
      <c r="O11" s="251">
        <f>450+(O4-13000)/1000*16</f>
        <v>242</v>
      </c>
      <c r="P11" s="251"/>
      <c r="Q11" s="251"/>
    </row>
    <row r="12" spans="1:20" ht="21.75" x14ac:dyDescent="0.6">
      <c r="A12" s="233"/>
      <c r="B12" s="267" t="s">
        <v>288</v>
      </c>
      <c r="C12" s="268" t="s">
        <v>289</v>
      </c>
      <c r="D12" s="269">
        <v>49</v>
      </c>
      <c r="E12" s="265"/>
      <c r="F12" s="265"/>
      <c r="G12" s="232"/>
      <c r="N12" s="254" t="s">
        <v>298</v>
      </c>
      <c r="O12" s="251">
        <f>O11*0.4</f>
        <v>96.800000000000011</v>
      </c>
      <c r="P12" s="251"/>
      <c r="Q12" s="251"/>
    </row>
    <row r="13" spans="1:20" ht="21.75" x14ac:dyDescent="0.6">
      <c r="A13" s="233"/>
      <c r="B13" s="270" t="s">
        <v>299</v>
      </c>
      <c r="C13" s="271" t="s">
        <v>3</v>
      </c>
      <c r="D13" s="272" t="e">
        <f>ROUNDUP((D12*#REF!)/#REF!/180,)</f>
        <v>#REF!</v>
      </c>
      <c r="E13" s="265"/>
      <c r="F13" s="265"/>
      <c r="G13" s="232"/>
      <c r="O13" s="251"/>
      <c r="P13" s="251"/>
      <c r="Q13" s="251"/>
    </row>
    <row r="14" spans="1:20" ht="21.75" x14ac:dyDescent="0.6">
      <c r="A14" s="233"/>
      <c r="B14" s="273" t="s">
        <v>294</v>
      </c>
      <c r="C14" s="274" t="s">
        <v>3</v>
      </c>
      <c r="D14" s="275">
        <v>5</v>
      </c>
      <c r="E14" s="265"/>
      <c r="F14" s="265"/>
      <c r="G14" s="232"/>
      <c r="O14" s="276">
        <f>SUM(O11:O13)</f>
        <v>338.8</v>
      </c>
      <c r="P14" s="251"/>
    </row>
    <row r="15" spans="1:20" ht="21.75" x14ac:dyDescent="0.6">
      <c r="A15" s="233"/>
      <c r="B15" s="277" t="s">
        <v>300</v>
      </c>
      <c r="C15" s="278" t="s">
        <v>3</v>
      </c>
      <c r="D15" s="279" t="e">
        <f>ROUNDUP($D$13/20,0)</f>
        <v>#REF!</v>
      </c>
      <c r="E15" s="280" t="s">
        <v>301</v>
      </c>
      <c r="F15" s="280"/>
      <c r="G15" s="232"/>
      <c r="O15" s="251"/>
      <c r="P15" s="251"/>
    </row>
    <row r="16" spans="1:20" ht="21.75" x14ac:dyDescent="0.6">
      <c r="A16" s="233"/>
      <c r="B16" s="240" t="s">
        <v>302</v>
      </c>
      <c r="C16" s="278" t="s">
        <v>3</v>
      </c>
      <c r="D16" s="281" t="e">
        <f>ROUNDUP(#REF!/5,0)</f>
        <v>#REF!</v>
      </c>
      <c r="E16" s="280" t="s">
        <v>303</v>
      </c>
      <c r="F16" s="280"/>
      <c r="G16" s="232"/>
      <c r="N16" s="254" t="s">
        <v>304</v>
      </c>
      <c r="O16" s="251">
        <v>1</v>
      </c>
      <c r="P16" s="251" t="s">
        <v>305</v>
      </c>
    </row>
    <row r="17" spans="1:17" ht="21.75" x14ac:dyDescent="0.6">
      <c r="A17" s="282"/>
      <c r="B17" s="277" t="s">
        <v>306</v>
      </c>
      <c r="C17" s="278" t="s">
        <v>307</v>
      </c>
      <c r="D17" s="283" t="e">
        <f>800*D13</f>
        <v>#REF!</v>
      </c>
      <c r="E17" s="280" t="s">
        <v>308</v>
      </c>
      <c r="F17" s="280"/>
      <c r="G17" s="232"/>
      <c r="O17" s="251" t="e">
        <f>O16*O6</f>
        <v>#DIV/0!</v>
      </c>
      <c r="P17" s="251" t="s">
        <v>2</v>
      </c>
    </row>
    <row r="18" spans="1:17" ht="18" x14ac:dyDescent="0.45">
      <c r="A18" s="284"/>
      <c r="B18" s="277" t="s">
        <v>309</v>
      </c>
      <c r="C18" s="278" t="s">
        <v>307</v>
      </c>
      <c r="D18" s="283" t="e">
        <f>500*D13</f>
        <v>#REF!</v>
      </c>
      <c r="E18" s="280" t="s">
        <v>310</v>
      </c>
      <c r="F18" s="280"/>
      <c r="G18" s="285"/>
      <c r="O18" s="251"/>
      <c r="P18" s="251"/>
    </row>
    <row r="19" spans="1:17" ht="18.75" thickBot="1" x14ac:dyDescent="0.5">
      <c r="A19" s="284"/>
      <c r="B19" s="286" t="s">
        <v>311</v>
      </c>
      <c r="C19" s="287" t="s">
        <v>3</v>
      </c>
      <c r="D19" s="288" t="e">
        <f>ROUNDUP($D$13/20,0)</f>
        <v>#REF!</v>
      </c>
      <c r="E19" s="280" t="s">
        <v>312</v>
      </c>
      <c r="F19" s="280"/>
      <c r="G19" s="285"/>
      <c r="N19" s="254" t="s">
        <v>313</v>
      </c>
      <c r="O19" s="251">
        <v>1.5</v>
      </c>
      <c r="P19" s="251" t="s">
        <v>305</v>
      </c>
    </row>
    <row r="20" spans="1:17" x14ac:dyDescent="0.25">
      <c r="A20" s="284"/>
      <c r="B20" s="289"/>
      <c r="C20" s="289"/>
      <c r="D20" s="289"/>
      <c r="E20" s="289"/>
      <c r="F20" s="289"/>
      <c r="G20" s="285"/>
      <c r="O20" s="251" t="e">
        <f>O19*O6</f>
        <v>#DIV/0!</v>
      </c>
      <c r="P20" s="251" t="s">
        <v>2</v>
      </c>
    </row>
    <row r="21" spans="1:17" ht="15.75" customHeight="1" x14ac:dyDescent="0.6">
      <c r="A21" s="256" t="s">
        <v>314</v>
      </c>
      <c r="B21" s="257"/>
      <c r="C21" s="257"/>
      <c r="D21" s="258"/>
      <c r="E21" s="259"/>
      <c r="F21" s="259"/>
      <c r="G21" s="260"/>
      <c r="O21" s="251"/>
      <c r="P21" s="251"/>
    </row>
    <row r="22" spans="1:17" ht="15.75" customHeight="1" thickBot="1" x14ac:dyDescent="0.65">
      <c r="A22" s="233"/>
      <c r="B22" s="263"/>
      <c r="C22" s="263"/>
      <c r="D22" s="264"/>
      <c r="E22" s="265"/>
      <c r="F22" s="265"/>
      <c r="G22" s="232"/>
      <c r="O22" s="251"/>
      <c r="P22" s="251"/>
    </row>
    <row r="23" spans="1:17" ht="15.75" customHeight="1" x14ac:dyDescent="0.6">
      <c r="A23" s="233"/>
      <c r="B23" s="234" t="s">
        <v>14</v>
      </c>
      <c r="C23" s="235" t="s">
        <v>123</v>
      </c>
      <c r="D23" s="235" t="s">
        <v>18</v>
      </c>
      <c r="E23" s="235" t="s">
        <v>315</v>
      </c>
      <c r="F23" s="290" t="s">
        <v>316</v>
      </c>
      <c r="G23" s="232"/>
      <c r="O23" s="251"/>
      <c r="P23" s="251"/>
    </row>
    <row r="24" spans="1:17" ht="15.75" customHeight="1" x14ac:dyDescent="0.6">
      <c r="A24" s="233"/>
      <c r="B24" s="237" t="s">
        <v>317</v>
      </c>
      <c r="C24" s="238" t="s">
        <v>3</v>
      </c>
      <c r="D24" s="278">
        <f>28*1.5</f>
        <v>42</v>
      </c>
      <c r="E24" s="278">
        <v>200</v>
      </c>
      <c r="F24" s="279">
        <f>D24*E24</f>
        <v>8400</v>
      </c>
      <c r="G24" s="232"/>
      <c r="O24" s="251"/>
      <c r="P24" s="251"/>
    </row>
    <row r="25" spans="1:17" ht="15.75" customHeight="1" x14ac:dyDescent="0.6">
      <c r="A25" s="233"/>
      <c r="B25" s="240" t="s">
        <v>318</v>
      </c>
      <c r="C25" s="278" t="s">
        <v>3</v>
      </c>
      <c r="D25" s="278">
        <v>7</v>
      </c>
      <c r="E25" s="278">
        <v>1000</v>
      </c>
      <c r="F25" s="279">
        <f>E25*D25</f>
        <v>7000</v>
      </c>
      <c r="G25" s="232"/>
      <c r="O25" s="251"/>
      <c r="P25" s="251"/>
    </row>
    <row r="26" spans="1:17" ht="15.75" customHeight="1" x14ac:dyDescent="0.25">
      <c r="A26" s="284"/>
      <c r="B26" s="240" t="s">
        <v>319</v>
      </c>
      <c r="C26" s="278" t="s">
        <v>3</v>
      </c>
      <c r="D26" s="278">
        <v>11</v>
      </c>
      <c r="E26" s="278">
        <v>5000</v>
      </c>
      <c r="F26" s="279">
        <f>E26*D26</f>
        <v>55000</v>
      </c>
      <c r="G26" s="285"/>
      <c r="O26" s="251"/>
      <c r="P26" s="251"/>
    </row>
    <row r="27" spans="1:17" ht="15.75" customHeight="1" x14ac:dyDescent="0.25">
      <c r="A27" s="284"/>
      <c r="B27" s="240" t="s">
        <v>320</v>
      </c>
      <c r="C27" s="278" t="s">
        <v>4</v>
      </c>
      <c r="D27" s="278">
        <f>7*2</f>
        <v>14</v>
      </c>
      <c r="E27" s="278">
        <v>900</v>
      </c>
      <c r="F27" s="279">
        <f>E27*D27</f>
        <v>12600</v>
      </c>
      <c r="G27" s="285"/>
      <c r="O27" s="251"/>
      <c r="P27" s="251"/>
    </row>
    <row r="28" spans="1:17" ht="15.75" customHeight="1" thickBot="1" x14ac:dyDescent="0.3">
      <c r="A28" s="284"/>
      <c r="B28" s="244" t="s">
        <v>321</v>
      </c>
      <c r="C28" s="287" t="s">
        <v>3</v>
      </c>
      <c r="D28" s="287">
        <f>D14</f>
        <v>5</v>
      </c>
      <c r="E28" s="287">
        <v>800</v>
      </c>
      <c r="F28" s="288">
        <f>E28*D28</f>
        <v>4000</v>
      </c>
      <c r="G28" s="285"/>
      <c r="O28" s="251"/>
      <c r="P28" s="251"/>
    </row>
    <row r="29" spans="1:17" ht="15.75" customHeight="1" thickBot="1" x14ac:dyDescent="0.3">
      <c r="A29" s="284"/>
      <c r="B29" s="1084" t="s">
        <v>17</v>
      </c>
      <c r="C29" s="1085"/>
      <c r="D29" s="1085"/>
      <c r="E29" s="1086"/>
      <c r="F29" s="291">
        <f>F26+F27+F28+F25+F24</f>
        <v>87000</v>
      </c>
      <c r="G29" s="285"/>
      <c r="O29" s="251"/>
      <c r="P29" s="251"/>
    </row>
    <row r="30" spans="1:17" ht="15.75" customHeight="1" x14ac:dyDescent="0.25">
      <c r="A30" s="284"/>
      <c r="B30" s="234" t="s">
        <v>14</v>
      </c>
      <c r="C30" s="235" t="s">
        <v>123</v>
      </c>
      <c r="D30" s="235" t="s">
        <v>18</v>
      </c>
      <c r="E30" s="235" t="s">
        <v>315</v>
      </c>
      <c r="F30" s="290" t="s">
        <v>316</v>
      </c>
      <c r="G30" s="285"/>
      <c r="O30" s="251"/>
      <c r="P30" s="251"/>
    </row>
    <row r="31" spans="1:17" ht="15.75" customHeight="1" x14ac:dyDescent="0.25">
      <c r="A31" s="284"/>
      <c r="B31" s="237" t="s">
        <v>322</v>
      </c>
      <c r="C31" s="238" t="s">
        <v>3</v>
      </c>
      <c r="D31" s="278">
        <f>D14</f>
        <v>5</v>
      </c>
      <c r="E31" s="278">
        <v>6000</v>
      </c>
      <c r="F31" s="279">
        <f>D31*E31</f>
        <v>30000</v>
      </c>
      <c r="G31" s="285"/>
      <c r="N31" s="254" t="s">
        <v>323</v>
      </c>
      <c r="O31" s="251" t="e">
        <f>1*ROUNDUP(O6/20,)</f>
        <v>#DIV/0!</v>
      </c>
      <c r="P31" s="251" t="s">
        <v>2</v>
      </c>
    </row>
    <row r="32" spans="1:17" ht="15.75" customHeight="1" x14ac:dyDescent="0.25">
      <c r="A32" s="284"/>
      <c r="B32" s="240" t="s">
        <v>324</v>
      </c>
      <c r="C32" s="278" t="s">
        <v>3</v>
      </c>
      <c r="D32" s="278">
        <v>7</v>
      </c>
      <c r="E32" s="278">
        <v>2000</v>
      </c>
      <c r="F32" s="279">
        <f>E32*D32</f>
        <v>14000</v>
      </c>
      <c r="G32" s="285"/>
      <c r="O32" s="251"/>
      <c r="P32" s="251"/>
      <c r="Q32" s="251"/>
    </row>
    <row r="33" spans="1:16" ht="15.75" customHeight="1" thickBot="1" x14ac:dyDescent="0.3">
      <c r="A33" s="284"/>
      <c r="B33" s="292" t="s">
        <v>325</v>
      </c>
      <c r="C33" s="293" t="s">
        <v>3</v>
      </c>
      <c r="D33" s="293">
        <v>14</v>
      </c>
      <c r="E33" s="293">
        <v>500</v>
      </c>
      <c r="F33" s="294">
        <f>E33*D33</f>
        <v>7000</v>
      </c>
      <c r="G33" s="285"/>
      <c r="N33" s="254" t="s">
        <v>326</v>
      </c>
      <c r="O33" s="251" t="e">
        <f>0.6*ROUNDUP(O6/20,)</f>
        <v>#DIV/0!</v>
      </c>
      <c r="P33" s="251" t="s">
        <v>2</v>
      </c>
    </row>
    <row r="34" spans="1:16" ht="15.75" customHeight="1" thickBot="1" x14ac:dyDescent="0.3">
      <c r="A34" s="295"/>
      <c r="B34" s="1084" t="s">
        <v>17</v>
      </c>
      <c r="C34" s="1085"/>
      <c r="D34" s="1085"/>
      <c r="E34" s="1086"/>
      <c r="F34" s="291">
        <f>+F31+F32+F33</f>
        <v>51000</v>
      </c>
      <c r="G34" s="296"/>
      <c r="N34" s="254" t="s">
        <v>327</v>
      </c>
      <c r="O34" s="251" t="e">
        <f>0.8*ROUNDUP(O6/10,)</f>
        <v>#DIV/0!</v>
      </c>
      <c r="P34" s="251" t="s">
        <v>2</v>
      </c>
    </row>
    <row r="35" spans="1:16" ht="15.75" customHeight="1" thickBot="1" x14ac:dyDescent="0.3">
      <c r="A35" s="297"/>
      <c r="B35" s="298"/>
      <c r="C35" s="298"/>
      <c r="D35" s="298"/>
      <c r="E35" s="298"/>
      <c r="F35" s="298"/>
      <c r="G35" s="299"/>
      <c r="O35" s="251"/>
      <c r="P35" s="251"/>
    </row>
    <row r="36" spans="1:16" ht="15.75" customHeight="1" x14ac:dyDescent="0.25">
      <c r="N36" s="254" t="s">
        <v>328</v>
      </c>
      <c r="O36" s="251">
        <v>8</v>
      </c>
      <c r="P36" s="251" t="s">
        <v>329</v>
      </c>
    </row>
    <row r="37" spans="1:16" ht="15.75" customHeight="1" x14ac:dyDescent="0.25">
      <c r="O37" s="251">
        <f>O36*O8</f>
        <v>40</v>
      </c>
      <c r="P37" s="251" t="s">
        <v>2</v>
      </c>
    </row>
    <row r="38" spans="1:16" ht="15.75" customHeight="1" x14ac:dyDescent="0.25">
      <c r="O38" s="251"/>
      <c r="P38" s="251"/>
    </row>
    <row r="39" spans="1:16" ht="15.75" customHeight="1" x14ac:dyDescent="0.25">
      <c r="N39" s="254" t="s">
        <v>330</v>
      </c>
      <c r="O39" s="251">
        <f>IF(O4&lt;20000,100,100+((O4-20000)/1000)*5)</f>
        <v>100</v>
      </c>
      <c r="P39" s="251" t="s">
        <v>196</v>
      </c>
    </row>
    <row r="40" spans="1:16" ht="15.75" customHeight="1" x14ac:dyDescent="0.25">
      <c r="O40" s="251"/>
      <c r="P40" s="251"/>
    </row>
    <row r="41" spans="1:16" ht="15.75" customHeight="1" x14ac:dyDescent="0.25">
      <c r="O41" s="276" t="e">
        <f>O39+O37+O34+O33+O31+O20+O17</f>
        <v>#DIV/0!</v>
      </c>
      <c r="P41" s="251"/>
    </row>
    <row r="42" spans="1:16" ht="15.75" customHeight="1" x14ac:dyDescent="0.25">
      <c r="O42" s="251"/>
      <c r="P42" s="251"/>
    </row>
    <row r="43" spans="1:16" ht="15.75" customHeight="1" x14ac:dyDescent="0.25">
      <c r="O43" s="251"/>
      <c r="P43" s="251"/>
    </row>
    <row r="44" spans="1:16" ht="15.75" customHeight="1" x14ac:dyDescent="0.25">
      <c r="N44" s="254" t="s">
        <v>300</v>
      </c>
      <c r="O44" s="251">
        <v>20</v>
      </c>
      <c r="P44" s="251" t="s">
        <v>331</v>
      </c>
    </row>
    <row r="45" spans="1:16" ht="15.75" customHeight="1" x14ac:dyDescent="0.25">
      <c r="N45" s="300" t="s">
        <v>300</v>
      </c>
      <c r="O45" s="276" t="e">
        <f>ROUNDUP(O6/O44,)</f>
        <v>#DIV/0!</v>
      </c>
      <c r="P45" s="276" t="s">
        <v>332</v>
      </c>
    </row>
    <row r="46" spans="1:16" ht="15.75" customHeight="1" x14ac:dyDescent="0.25">
      <c r="O46" s="251"/>
      <c r="P46" s="251"/>
    </row>
    <row r="47" spans="1:16" ht="15.75" customHeight="1" x14ac:dyDescent="0.25">
      <c r="O47" s="251"/>
      <c r="P47" s="251"/>
    </row>
    <row r="48" spans="1:16" ht="15.75" customHeight="1" x14ac:dyDescent="0.25">
      <c r="N48" s="254" t="s">
        <v>302</v>
      </c>
      <c r="O48" s="251">
        <v>1</v>
      </c>
      <c r="P48" s="251" t="s">
        <v>333</v>
      </c>
    </row>
    <row r="49" spans="14:18" ht="15.75" customHeight="1" x14ac:dyDescent="0.25">
      <c r="N49" s="254" t="s">
        <v>334</v>
      </c>
      <c r="O49" s="251">
        <f>ROUNDUP(O7/5,)</f>
        <v>0</v>
      </c>
      <c r="P49" s="251" t="s">
        <v>335</v>
      </c>
    </row>
    <row r="50" spans="14:18" ht="15.75" customHeight="1" x14ac:dyDescent="0.25">
      <c r="O50" s="251"/>
      <c r="P50" s="251"/>
    </row>
    <row r="51" spans="14:18" ht="15.75" customHeight="1" x14ac:dyDescent="0.25">
      <c r="N51" s="254" t="s">
        <v>306</v>
      </c>
      <c r="O51" s="251" t="e">
        <f>O6*800</f>
        <v>#DIV/0!</v>
      </c>
      <c r="P51" s="251" t="s">
        <v>336</v>
      </c>
    </row>
    <row r="52" spans="14:18" ht="15.75" customHeight="1" x14ac:dyDescent="0.25">
      <c r="O52" s="251"/>
      <c r="P52" s="251"/>
    </row>
    <row r="53" spans="14:18" ht="15.75" customHeight="1" x14ac:dyDescent="0.25">
      <c r="N53" s="254" t="s">
        <v>309</v>
      </c>
      <c r="O53" s="251" t="e">
        <f>O6*500</f>
        <v>#DIV/0!</v>
      </c>
      <c r="P53" s="251" t="s">
        <v>337</v>
      </c>
      <c r="Q53" s="254" t="s">
        <v>338</v>
      </c>
    </row>
    <row r="54" spans="14:18" ht="15.75" customHeight="1" x14ac:dyDescent="0.25">
      <c r="O54" s="251"/>
      <c r="P54" s="251"/>
    </row>
    <row r="55" spans="14:18" ht="15.75" customHeight="1" x14ac:dyDescent="0.25">
      <c r="O55" s="251"/>
      <c r="P55" s="251"/>
    </row>
    <row r="56" spans="14:18" ht="15.75" customHeight="1" x14ac:dyDescent="0.25">
      <c r="N56" s="254" t="s">
        <v>311</v>
      </c>
      <c r="O56" s="251">
        <v>1</v>
      </c>
      <c r="P56" s="251" t="s">
        <v>339</v>
      </c>
      <c r="Q56" s="254">
        <v>20</v>
      </c>
      <c r="R56" s="254" t="s">
        <v>340</v>
      </c>
    </row>
    <row r="57" spans="14:18" ht="15.75" customHeight="1" x14ac:dyDescent="0.25">
      <c r="O57" s="251" t="e">
        <f>ROUNDUP(O6/Q56,)</f>
        <v>#DIV/0!</v>
      </c>
      <c r="P57" s="251"/>
    </row>
    <row r="58" spans="14:18" ht="15.75" customHeight="1" x14ac:dyDescent="0.25">
      <c r="O58" s="251"/>
      <c r="P58" s="251"/>
    </row>
    <row r="59" spans="14:18" ht="15.75" customHeight="1" x14ac:dyDescent="0.25">
      <c r="O59" s="251"/>
      <c r="P59" s="251"/>
    </row>
    <row r="60" spans="14:18" ht="15.75" customHeight="1" x14ac:dyDescent="0.25">
      <c r="O60" s="251"/>
      <c r="P60" s="251"/>
    </row>
    <row r="61" spans="14:18" ht="15.75" customHeight="1" x14ac:dyDescent="0.25">
      <c r="O61" s="251"/>
      <c r="P61" s="251"/>
    </row>
    <row r="62" spans="14:18" ht="15.75" customHeight="1" x14ac:dyDescent="0.25">
      <c r="O62" s="251"/>
      <c r="P62" s="251"/>
    </row>
    <row r="63" spans="14:18" ht="15.75" customHeight="1" x14ac:dyDescent="0.25">
      <c r="O63" s="251"/>
      <c r="P63" s="251"/>
    </row>
    <row r="64" spans="14:18" ht="15.75" customHeight="1" x14ac:dyDescent="0.25">
      <c r="O64" s="251"/>
      <c r="P64" s="251"/>
    </row>
    <row r="65" spans="15:16" ht="15.75" customHeight="1" x14ac:dyDescent="0.25">
      <c r="O65" s="251"/>
      <c r="P65" s="251"/>
    </row>
    <row r="66" spans="15:16" ht="15.75" customHeight="1" x14ac:dyDescent="0.25">
      <c r="O66" s="251"/>
      <c r="P66" s="251"/>
    </row>
    <row r="67" spans="15:16" ht="15.75" customHeight="1" x14ac:dyDescent="0.25">
      <c r="O67" s="251"/>
      <c r="P67" s="251"/>
    </row>
    <row r="68" spans="15:16" ht="15.75" customHeight="1" x14ac:dyDescent="0.25">
      <c r="O68" s="251"/>
      <c r="P68" s="251"/>
    </row>
    <row r="69" spans="15:16" ht="15.75" customHeight="1" x14ac:dyDescent="0.25">
      <c r="O69" s="251"/>
      <c r="P69" s="251"/>
    </row>
    <row r="70" spans="15:16" ht="15.75" customHeight="1" x14ac:dyDescent="0.25">
      <c r="O70" s="251"/>
      <c r="P70" s="251"/>
    </row>
    <row r="71" spans="15:16" ht="15.75" customHeight="1" x14ac:dyDescent="0.25">
      <c r="O71" s="251"/>
      <c r="P71" s="251"/>
    </row>
    <row r="72" spans="15:16" ht="15.75" customHeight="1" x14ac:dyDescent="0.25">
      <c r="O72" s="251"/>
      <c r="P72" s="251"/>
    </row>
    <row r="73" spans="15:16" ht="15.75" customHeight="1" x14ac:dyDescent="0.25">
      <c r="O73" s="251"/>
      <c r="P73" s="251"/>
    </row>
    <row r="74" spans="15:16" ht="15.75" customHeight="1" x14ac:dyDescent="0.25">
      <c r="O74" s="251"/>
      <c r="P74" s="251"/>
    </row>
    <row r="75" spans="15:16" ht="15.75" customHeight="1" x14ac:dyDescent="0.25">
      <c r="O75" s="251"/>
      <c r="P75" s="251"/>
    </row>
    <row r="76" spans="15:16" ht="15.75" customHeight="1" x14ac:dyDescent="0.25">
      <c r="O76" s="251"/>
      <c r="P76" s="251"/>
    </row>
    <row r="77" spans="15:16" ht="15.75" customHeight="1" x14ac:dyDescent="0.25">
      <c r="O77" s="251"/>
      <c r="P77" s="251"/>
    </row>
    <row r="78" spans="15:16" ht="15.75" customHeight="1" x14ac:dyDescent="0.25">
      <c r="O78" s="251"/>
      <c r="P78" s="251"/>
    </row>
    <row r="79" spans="15:16" ht="15.75" customHeight="1" x14ac:dyDescent="0.25">
      <c r="O79" s="251"/>
      <c r="P79" s="251"/>
    </row>
    <row r="80" spans="15:16" ht="15.75" customHeight="1" x14ac:dyDescent="0.25">
      <c r="O80" s="251"/>
      <c r="P80" s="251"/>
    </row>
    <row r="81" spans="15:16" ht="15.75" customHeight="1" x14ac:dyDescent="0.25">
      <c r="O81" s="251"/>
      <c r="P81" s="251"/>
    </row>
    <row r="82" spans="15:16" ht="15.75" customHeight="1" x14ac:dyDescent="0.25">
      <c r="O82" s="251"/>
      <c r="P82" s="251"/>
    </row>
    <row r="83" spans="15:16" ht="15.75" customHeight="1" x14ac:dyDescent="0.25">
      <c r="O83" s="251"/>
      <c r="P83" s="251"/>
    </row>
    <row r="84" spans="15:16" ht="15.75" customHeight="1" x14ac:dyDescent="0.25">
      <c r="O84" s="251"/>
      <c r="P84" s="251"/>
    </row>
    <row r="85" spans="15:16" ht="15.75" customHeight="1" x14ac:dyDescent="0.25">
      <c r="O85" s="251"/>
      <c r="P85" s="251"/>
    </row>
    <row r="86" spans="15:16" ht="15.75" customHeight="1" x14ac:dyDescent="0.25">
      <c r="O86" s="251"/>
      <c r="P86" s="251"/>
    </row>
    <row r="87" spans="15:16" ht="15.75" customHeight="1" x14ac:dyDescent="0.25">
      <c r="O87" s="251"/>
      <c r="P87" s="251"/>
    </row>
    <row r="88" spans="15:16" ht="15.75" customHeight="1" x14ac:dyDescent="0.25">
      <c r="O88" s="251"/>
      <c r="P88" s="251"/>
    </row>
    <row r="89" spans="15:16" ht="15.75" customHeight="1" x14ac:dyDescent="0.25">
      <c r="O89" s="251"/>
      <c r="P89" s="251"/>
    </row>
    <row r="90" spans="15:16" ht="15.75" customHeight="1" x14ac:dyDescent="0.25">
      <c r="O90" s="251"/>
      <c r="P90" s="251"/>
    </row>
    <row r="91" spans="15:16" ht="15.75" customHeight="1" x14ac:dyDescent="0.25">
      <c r="O91" s="251"/>
      <c r="P91" s="251"/>
    </row>
    <row r="92" spans="15:16" ht="15.75" customHeight="1" x14ac:dyDescent="0.25">
      <c r="O92" s="251"/>
      <c r="P92" s="251"/>
    </row>
    <row r="93" spans="15:16" ht="15.75" customHeight="1" x14ac:dyDescent="0.25">
      <c r="O93" s="251"/>
      <c r="P93" s="251"/>
    </row>
    <row r="94" spans="15:16" ht="15.75" customHeight="1" x14ac:dyDescent="0.25">
      <c r="O94" s="251"/>
      <c r="P94" s="251"/>
    </row>
    <row r="95" spans="15:16" ht="15.75" customHeight="1" x14ac:dyDescent="0.25">
      <c r="O95" s="251"/>
      <c r="P95" s="251"/>
    </row>
    <row r="96" spans="15:16" ht="15.75" customHeight="1" x14ac:dyDescent="0.25">
      <c r="O96" s="251"/>
      <c r="P96" s="251"/>
    </row>
    <row r="97" spans="15:16" ht="15.75" customHeight="1" x14ac:dyDescent="0.25">
      <c r="O97" s="251"/>
      <c r="P97" s="251"/>
    </row>
    <row r="98" spans="15:16" ht="15.75" customHeight="1" x14ac:dyDescent="0.25">
      <c r="O98" s="251"/>
      <c r="P98" s="251"/>
    </row>
    <row r="99" spans="15:16" ht="15.75" customHeight="1" x14ac:dyDescent="0.25">
      <c r="O99" s="251"/>
      <c r="P99" s="251"/>
    </row>
    <row r="100" spans="15:16" ht="15.75" customHeight="1" x14ac:dyDescent="0.25">
      <c r="O100" s="251"/>
      <c r="P100" s="251"/>
    </row>
    <row r="101" spans="15:16" ht="15.75" customHeight="1" x14ac:dyDescent="0.25">
      <c r="O101" s="251"/>
      <c r="P101" s="251"/>
    </row>
    <row r="102" spans="15:16" ht="15.75" customHeight="1" x14ac:dyDescent="0.25">
      <c r="O102" s="251"/>
      <c r="P102" s="251"/>
    </row>
    <row r="103" spans="15:16" ht="15.75" customHeight="1" x14ac:dyDescent="0.25">
      <c r="O103" s="251"/>
      <c r="P103" s="251"/>
    </row>
    <row r="104" spans="15:16" ht="15.75" customHeight="1" x14ac:dyDescent="0.25">
      <c r="O104" s="251"/>
      <c r="P104" s="251"/>
    </row>
    <row r="105" spans="15:16" ht="15.75" customHeight="1" x14ac:dyDescent="0.25">
      <c r="O105" s="251"/>
      <c r="P105" s="251"/>
    </row>
    <row r="106" spans="15:16" ht="15.75" customHeight="1" x14ac:dyDescent="0.25">
      <c r="O106" s="251"/>
      <c r="P106" s="251"/>
    </row>
    <row r="107" spans="15:16" ht="15.75" customHeight="1" x14ac:dyDescent="0.25">
      <c r="O107" s="251"/>
      <c r="P107" s="251"/>
    </row>
    <row r="108" spans="15:16" ht="15.75" customHeight="1" x14ac:dyDescent="0.25">
      <c r="O108" s="251"/>
      <c r="P108" s="251"/>
    </row>
    <row r="109" spans="15:16" ht="15.75" customHeight="1" x14ac:dyDescent="0.25">
      <c r="O109" s="251"/>
      <c r="P109" s="251"/>
    </row>
    <row r="110" spans="15:16" ht="15.75" customHeight="1" x14ac:dyDescent="0.25">
      <c r="O110" s="251"/>
      <c r="P110" s="251"/>
    </row>
    <row r="111" spans="15:16" ht="15.75" customHeight="1" x14ac:dyDescent="0.25">
      <c r="O111" s="251"/>
      <c r="P111" s="251"/>
    </row>
    <row r="112" spans="15:16" ht="15.75" customHeight="1" x14ac:dyDescent="0.25">
      <c r="O112" s="251"/>
      <c r="P112" s="251"/>
    </row>
    <row r="113" spans="15:16" ht="15.75" customHeight="1" x14ac:dyDescent="0.25">
      <c r="O113" s="251"/>
      <c r="P113" s="251"/>
    </row>
    <row r="114" spans="15:16" ht="15.75" customHeight="1" x14ac:dyDescent="0.25">
      <c r="O114" s="251"/>
      <c r="P114" s="251"/>
    </row>
    <row r="115" spans="15:16" ht="15.75" customHeight="1" x14ac:dyDescent="0.25">
      <c r="O115" s="251"/>
      <c r="P115" s="251"/>
    </row>
    <row r="116" spans="15:16" ht="15.75" customHeight="1" x14ac:dyDescent="0.25">
      <c r="O116" s="251"/>
      <c r="P116" s="251"/>
    </row>
    <row r="117" spans="15:16" ht="15.75" customHeight="1" x14ac:dyDescent="0.25">
      <c r="O117" s="251"/>
      <c r="P117" s="251"/>
    </row>
    <row r="118" spans="15:16" ht="15.75" customHeight="1" x14ac:dyDescent="0.25">
      <c r="O118" s="251"/>
      <c r="P118" s="251"/>
    </row>
    <row r="119" spans="15:16" ht="15.75" customHeight="1" x14ac:dyDescent="0.25">
      <c r="O119" s="251"/>
      <c r="P119" s="251"/>
    </row>
    <row r="120" spans="15:16" ht="15.75" customHeight="1" x14ac:dyDescent="0.25">
      <c r="O120" s="251"/>
      <c r="P120" s="251"/>
    </row>
    <row r="121" spans="15:16" ht="15.75" customHeight="1" x14ac:dyDescent="0.25">
      <c r="O121" s="251"/>
      <c r="P121" s="251"/>
    </row>
    <row r="122" spans="15:16" ht="15.75" customHeight="1" x14ac:dyDescent="0.25">
      <c r="O122" s="251"/>
      <c r="P122" s="251"/>
    </row>
    <row r="123" spans="15:16" ht="15.75" customHeight="1" x14ac:dyDescent="0.25">
      <c r="O123" s="251"/>
      <c r="P123" s="251"/>
    </row>
    <row r="124" spans="15:16" ht="15.75" customHeight="1" x14ac:dyDescent="0.25">
      <c r="O124" s="251"/>
      <c r="P124" s="251"/>
    </row>
    <row r="125" spans="15:16" ht="15.75" customHeight="1" x14ac:dyDescent="0.25">
      <c r="O125" s="251"/>
      <c r="P125" s="251"/>
    </row>
    <row r="126" spans="15:16" ht="15.75" customHeight="1" x14ac:dyDescent="0.25">
      <c r="O126" s="251"/>
      <c r="P126" s="251"/>
    </row>
    <row r="127" spans="15:16" ht="15.75" customHeight="1" x14ac:dyDescent="0.25">
      <c r="O127" s="251"/>
      <c r="P127" s="251"/>
    </row>
    <row r="128" spans="15:16" ht="15.75" customHeight="1" x14ac:dyDescent="0.25">
      <c r="O128" s="251"/>
      <c r="P128" s="251"/>
    </row>
    <row r="129" spans="15:16" ht="15.75" customHeight="1" x14ac:dyDescent="0.25">
      <c r="O129" s="251"/>
      <c r="P129" s="251"/>
    </row>
    <row r="130" spans="15:16" ht="15.75" customHeight="1" x14ac:dyDescent="0.25">
      <c r="O130" s="251"/>
      <c r="P130" s="251"/>
    </row>
    <row r="131" spans="15:16" ht="15.75" customHeight="1" x14ac:dyDescent="0.25">
      <c r="O131" s="251"/>
      <c r="P131" s="251"/>
    </row>
    <row r="132" spans="15:16" ht="15.75" customHeight="1" x14ac:dyDescent="0.25">
      <c r="O132" s="251"/>
      <c r="P132" s="251"/>
    </row>
    <row r="133" spans="15:16" ht="15.75" customHeight="1" x14ac:dyDescent="0.25">
      <c r="O133" s="251"/>
      <c r="P133" s="251"/>
    </row>
    <row r="134" spans="15:16" ht="15.75" customHeight="1" x14ac:dyDescent="0.25">
      <c r="O134" s="251"/>
      <c r="P134" s="251"/>
    </row>
    <row r="135" spans="15:16" ht="15.75" customHeight="1" x14ac:dyDescent="0.25">
      <c r="O135" s="251"/>
      <c r="P135" s="251"/>
    </row>
    <row r="136" spans="15:16" ht="15.75" customHeight="1" x14ac:dyDescent="0.25">
      <c r="O136" s="251"/>
      <c r="P136" s="251"/>
    </row>
    <row r="137" spans="15:16" ht="15.75" customHeight="1" x14ac:dyDescent="0.25">
      <c r="O137" s="251"/>
      <c r="P137" s="251"/>
    </row>
    <row r="138" spans="15:16" ht="15.75" customHeight="1" x14ac:dyDescent="0.25">
      <c r="O138" s="251"/>
      <c r="P138" s="251"/>
    </row>
    <row r="139" spans="15:16" ht="15.75" customHeight="1" x14ac:dyDescent="0.25">
      <c r="O139" s="251"/>
      <c r="P139" s="251"/>
    </row>
    <row r="140" spans="15:16" ht="15.75" customHeight="1" x14ac:dyDescent="0.25">
      <c r="O140" s="251"/>
      <c r="P140" s="251"/>
    </row>
    <row r="141" spans="15:16" ht="15.75" customHeight="1" x14ac:dyDescent="0.25">
      <c r="O141" s="251"/>
      <c r="P141" s="251"/>
    </row>
    <row r="142" spans="15:16" ht="15.75" customHeight="1" x14ac:dyDescent="0.25">
      <c r="O142" s="251"/>
      <c r="P142" s="251"/>
    </row>
    <row r="143" spans="15:16" ht="15.75" customHeight="1" x14ac:dyDescent="0.25">
      <c r="O143" s="251"/>
      <c r="P143" s="251"/>
    </row>
    <row r="144" spans="15:16" ht="15.75" customHeight="1" x14ac:dyDescent="0.25">
      <c r="O144" s="251"/>
      <c r="P144" s="251"/>
    </row>
    <row r="145" spans="15:16" ht="15.75" customHeight="1" x14ac:dyDescent="0.25">
      <c r="O145" s="251"/>
      <c r="P145" s="251"/>
    </row>
    <row r="146" spans="15:16" ht="15.75" customHeight="1" x14ac:dyDescent="0.25">
      <c r="O146" s="251"/>
      <c r="P146" s="251"/>
    </row>
    <row r="147" spans="15:16" ht="15.75" customHeight="1" x14ac:dyDescent="0.25">
      <c r="O147" s="251"/>
      <c r="P147" s="251"/>
    </row>
    <row r="148" spans="15:16" ht="15.75" customHeight="1" x14ac:dyDescent="0.25">
      <c r="O148" s="251"/>
      <c r="P148" s="251"/>
    </row>
    <row r="149" spans="15:16" ht="15.75" customHeight="1" x14ac:dyDescent="0.25">
      <c r="O149" s="251"/>
      <c r="P149" s="251"/>
    </row>
    <row r="150" spans="15:16" ht="15.75" customHeight="1" x14ac:dyDescent="0.25">
      <c r="O150" s="251"/>
      <c r="P150" s="251"/>
    </row>
    <row r="151" spans="15:16" ht="15.75" customHeight="1" x14ac:dyDescent="0.25">
      <c r="O151" s="251"/>
      <c r="P151" s="251"/>
    </row>
    <row r="152" spans="15:16" ht="15.75" customHeight="1" x14ac:dyDescent="0.25">
      <c r="O152" s="251"/>
      <c r="P152" s="251"/>
    </row>
    <row r="153" spans="15:16" ht="15.75" customHeight="1" x14ac:dyDescent="0.25">
      <c r="O153" s="251"/>
      <c r="P153" s="251"/>
    </row>
    <row r="154" spans="15:16" ht="15.75" customHeight="1" x14ac:dyDescent="0.25">
      <c r="O154" s="251"/>
      <c r="P154" s="251"/>
    </row>
    <row r="155" spans="15:16" ht="15.75" customHeight="1" x14ac:dyDescent="0.25">
      <c r="O155" s="251"/>
      <c r="P155" s="251"/>
    </row>
    <row r="156" spans="15:16" ht="15.75" customHeight="1" x14ac:dyDescent="0.25">
      <c r="O156" s="251"/>
      <c r="P156" s="251"/>
    </row>
    <row r="157" spans="15:16" ht="15.75" customHeight="1" x14ac:dyDescent="0.25">
      <c r="O157" s="251"/>
      <c r="P157" s="251"/>
    </row>
    <row r="158" spans="15:16" ht="15.75" customHeight="1" x14ac:dyDescent="0.25">
      <c r="O158" s="251"/>
      <c r="P158" s="251"/>
    </row>
    <row r="159" spans="15:16" ht="15.75" customHeight="1" x14ac:dyDescent="0.25">
      <c r="O159" s="251"/>
      <c r="P159" s="251"/>
    </row>
    <row r="160" spans="15:16" ht="15.75" customHeight="1" x14ac:dyDescent="0.25">
      <c r="O160" s="251"/>
      <c r="P160" s="251"/>
    </row>
    <row r="161" spans="15:16" ht="15.75" customHeight="1" x14ac:dyDescent="0.25">
      <c r="O161" s="251"/>
      <c r="P161" s="251"/>
    </row>
    <row r="162" spans="15:16" ht="15.75" customHeight="1" x14ac:dyDescent="0.25">
      <c r="O162" s="251"/>
      <c r="P162" s="251"/>
    </row>
    <row r="163" spans="15:16" ht="15.75" customHeight="1" x14ac:dyDescent="0.25">
      <c r="O163" s="251"/>
      <c r="P163" s="251"/>
    </row>
    <row r="164" spans="15:16" ht="15.75" customHeight="1" x14ac:dyDescent="0.25">
      <c r="O164" s="251"/>
      <c r="P164" s="251"/>
    </row>
    <row r="165" spans="15:16" ht="15.75" customHeight="1" x14ac:dyDescent="0.25">
      <c r="O165" s="251"/>
      <c r="P165" s="251"/>
    </row>
    <row r="166" spans="15:16" ht="15.75" customHeight="1" x14ac:dyDescent="0.25">
      <c r="O166" s="251"/>
      <c r="P166" s="251"/>
    </row>
    <row r="167" spans="15:16" ht="15.75" customHeight="1" x14ac:dyDescent="0.25">
      <c r="O167" s="251"/>
      <c r="P167" s="251"/>
    </row>
    <row r="168" spans="15:16" ht="15.75" customHeight="1" x14ac:dyDescent="0.25">
      <c r="O168" s="251"/>
      <c r="P168" s="251"/>
    </row>
    <row r="169" spans="15:16" ht="15.75" customHeight="1" x14ac:dyDescent="0.25">
      <c r="O169" s="251"/>
      <c r="P169" s="251"/>
    </row>
    <row r="170" spans="15:16" ht="15.75" customHeight="1" x14ac:dyDescent="0.25">
      <c r="O170" s="251"/>
      <c r="P170" s="251"/>
    </row>
    <row r="171" spans="15:16" ht="15.75" customHeight="1" x14ac:dyDescent="0.25">
      <c r="O171" s="251"/>
      <c r="P171" s="251"/>
    </row>
    <row r="172" spans="15:16" ht="15.75" customHeight="1" x14ac:dyDescent="0.25">
      <c r="O172" s="251"/>
      <c r="P172" s="251"/>
    </row>
    <row r="173" spans="15:16" ht="15.75" customHeight="1" x14ac:dyDescent="0.25">
      <c r="O173" s="251"/>
      <c r="P173" s="251"/>
    </row>
    <row r="174" spans="15:16" ht="15.75" customHeight="1" x14ac:dyDescent="0.25">
      <c r="O174" s="251"/>
      <c r="P174" s="251"/>
    </row>
    <row r="175" spans="15:16" ht="15.75" customHeight="1" x14ac:dyDescent="0.25">
      <c r="O175" s="251"/>
      <c r="P175" s="251"/>
    </row>
    <row r="176" spans="15:16" ht="15.75" customHeight="1" x14ac:dyDescent="0.25">
      <c r="O176" s="251"/>
      <c r="P176" s="251"/>
    </row>
    <row r="177" spans="15:16" ht="15.75" customHeight="1" x14ac:dyDescent="0.25">
      <c r="O177" s="251"/>
      <c r="P177" s="251"/>
    </row>
    <row r="178" spans="15:16" ht="15.75" customHeight="1" x14ac:dyDescent="0.25">
      <c r="O178" s="251"/>
      <c r="P178" s="251"/>
    </row>
    <row r="179" spans="15:16" ht="15.75" customHeight="1" x14ac:dyDescent="0.25">
      <c r="O179" s="251"/>
      <c r="P179" s="251"/>
    </row>
    <row r="180" spans="15:16" ht="15.75" customHeight="1" x14ac:dyDescent="0.25">
      <c r="O180" s="251"/>
      <c r="P180" s="251"/>
    </row>
    <row r="181" spans="15:16" ht="15.75" customHeight="1" x14ac:dyDescent="0.25">
      <c r="O181" s="251"/>
      <c r="P181" s="251"/>
    </row>
    <row r="182" spans="15:16" ht="15.75" customHeight="1" x14ac:dyDescent="0.25">
      <c r="O182" s="251"/>
      <c r="P182" s="251"/>
    </row>
    <row r="183" spans="15:16" ht="15.75" customHeight="1" x14ac:dyDescent="0.25">
      <c r="O183" s="251"/>
      <c r="P183" s="251"/>
    </row>
    <row r="184" spans="15:16" ht="15.75" customHeight="1" x14ac:dyDescent="0.25">
      <c r="O184" s="251"/>
      <c r="P184" s="251"/>
    </row>
    <row r="185" spans="15:16" ht="15.75" customHeight="1" x14ac:dyDescent="0.25">
      <c r="O185" s="251"/>
      <c r="P185" s="251"/>
    </row>
    <row r="186" spans="15:16" ht="15.75" customHeight="1" x14ac:dyDescent="0.25">
      <c r="O186" s="251"/>
      <c r="P186" s="251"/>
    </row>
    <row r="187" spans="15:16" ht="15.75" customHeight="1" x14ac:dyDescent="0.25">
      <c r="O187" s="251"/>
      <c r="P187" s="251"/>
    </row>
    <row r="188" spans="15:16" ht="15.75" customHeight="1" x14ac:dyDescent="0.25">
      <c r="O188" s="251"/>
      <c r="P188" s="251"/>
    </row>
    <row r="189" spans="15:16" ht="15.75" customHeight="1" x14ac:dyDescent="0.25">
      <c r="O189" s="251"/>
      <c r="P189" s="251"/>
    </row>
    <row r="190" spans="15:16" ht="15.75" customHeight="1" x14ac:dyDescent="0.25">
      <c r="O190" s="251"/>
      <c r="P190" s="251"/>
    </row>
    <row r="191" spans="15:16" ht="15.75" customHeight="1" x14ac:dyDescent="0.25">
      <c r="O191" s="251"/>
      <c r="P191" s="251"/>
    </row>
    <row r="192" spans="15:16" ht="15.75" customHeight="1" x14ac:dyDescent="0.25">
      <c r="O192" s="251"/>
      <c r="P192" s="251"/>
    </row>
    <row r="193" spans="15:16" ht="15.75" customHeight="1" x14ac:dyDescent="0.25">
      <c r="O193" s="251"/>
      <c r="P193" s="251"/>
    </row>
    <row r="194" spans="15:16" ht="15.75" customHeight="1" x14ac:dyDescent="0.25">
      <c r="O194" s="251"/>
      <c r="P194" s="251"/>
    </row>
    <row r="195" spans="15:16" ht="15.75" customHeight="1" x14ac:dyDescent="0.25">
      <c r="O195" s="251"/>
      <c r="P195" s="251"/>
    </row>
    <row r="196" spans="15:16" ht="15.75" customHeight="1" x14ac:dyDescent="0.25">
      <c r="O196" s="251"/>
      <c r="P196" s="251"/>
    </row>
    <row r="197" spans="15:16" ht="15.75" customHeight="1" x14ac:dyDescent="0.25">
      <c r="O197" s="251"/>
      <c r="P197" s="251"/>
    </row>
    <row r="198" spans="15:16" ht="15.75" customHeight="1" x14ac:dyDescent="0.25">
      <c r="O198" s="251"/>
      <c r="P198" s="251"/>
    </row>
    <row r="199" spans="15:16" ht="15.75" customHeight="1" x14ac:dyDescent="0.25">
      <c r="O199" s="251"/>
      <c r="P199" s="251"/>
    </row>
    <row r="200" spans="15:16" ht="15.75" customHeight="1" x14ac:dyDescent="0.25">
      <c r="O200" s="251"/>
      <c r="P200" s="251"/>
    </row>
    <row r="201" spans="15:16" ht="15.75" customHeight="1" x14ac:dyDescent="0.25">
      <c r="O201" s="251"/>
      <c r="P201" s="251"/>
    </row>
    <row r="202" spans="15:16" ht="15.75" customHeight="1" x14ac:dyDescent="0.25">
      <c r="O202" s="251"/>
      <c r="P202" s="251"/>
    </row>
    <row r="203" spans="15:16" ht="15.75" customHeight="1" x14ac:dyDescent="0.25">
      <c r="O203" s="251"/>
      <c r="P203" s="251"/>
    </row>
    <row r="204" spans="15:16" ht="15.75" customHeight="1" x14ac:dyDescent="0.25">
      <c r="O204" s="251"/>
      <c r="P204" s="251"/>
    </row>
    <row r="205" spans="15:16" ht="15.75" customHeight="1" x14ac:dyDescent="0.25">
      <c r="O205" s="251"/>
      <c r="P205" s="251"/>
    </row>
    <row r="206" spans="15:16" ht="15.75" customHeight="1" x14ac:dyDescent="0.25">
      <c r="O206" s="251"/>
      <c r="P206" s="251"/>
    </row>
    <row r="207" spans="15:16" ht="15.75" customHeight="1" x14ac:dyDescent="0.25">
      <c r="O207" s="251"/>
      <c r="P207" s="251"/>
    </row>
    <row r="208" spans="15:16" ht="15.75" customHeight="1" x14ac:dyDescent="0.25">
      <c r="O208" s="251"/>
      <c r="P208" s="251"/>
    </row>
    <row r="209" spans="15:16" ht="15.75" customHeight="1" x14ac:dyDescent="0.25">
      <c r="O209" s="251"/>
      <c r="P209" s="251"/>
    </row>
    <row r="210" spans="15:16" ht="15.75" customHeight="1" x14ac:dyDescent="0.25">
      <c r="O210" s="251"/>
      <c r="P210" s="251"/>
    </row>
    <row r="211" spans="15:16" ht="15.75" customHeight="1" x14ac:dyDescent="0.25">
      <c r="O211" s="251"/>
      <c r="P211" s="251"/>
    </row>
    <row r="212" spans="15:16" ht="15.75" customHeight="1" x14ac:dyDescent="0.25">
      <c r="O212" s="251"/>
      <c r="P212" s="251"/>
    </row>
    <row r="213" spans="15:16" ht="15.75" customHeight="1" x14ac:dyDescent="0.25">
      <c r="O213" s="251"/>
      <c r="P213" s="251"/>
    </row>
    <row r="214" spans="15:16" ht="15.75" customHeight="1" x14ac:dyDescent="0.25">
      <c r="O214" s="251"/>
      <c r="P214" s="251"/>
    </row>
    <row r="215" spans="15:16" ht="15.75" customHeight="1" x14ac:dyDescent="0.25">
      <c r="O215" s="251"/>
      <c r="P215" s="251"/>
    </row>
    <row r="216" spans="15:16" ht="15.75" customHeight="1" x14ac:dyDescent="0.25">
      <c r="O216" s="251"/>
      <c r="P216" s="251"/>
    </row>
    <row r="217" spans="15:16" ht="15.75" customHeight="1" x14ac:dyDescent="0.25">
      <c r="O217" s="251"/>
      <c r="P217" s="251"/>
    </row>
    <row r="218" spans="15:16" ht="15.75" customHeight="1" x14ac:dyDescent="0.25">
      <c r="O218" s="251"/>
      <c r="P218" s="251"/>
    </row>
    <row r="219" spans="15:16" ht="15.75" customHeight="1" x14ac:dyDescent="0.25">
      <c r="O219" s="251"/>
      <c r="P219" s="251"/>
    </row>
    <row r="220" spans="15:16" ht="15.75" customHeight="1" x14ac:dyDescent="0.25">
      <c r="O220" s="251"/>
      <c r="P220" s="251"/>
    </row>
    <row r="221" spans="15:16" ht="15.75" customHeight="1" x14ac:dyDescent="0.25">
      <c r="O221" s="251"/>
      <c r="P221" s="251"/>
    </row>
    <row r="222" spans="15:16" ht="15.75" customHeight="1" x14ac:dyDescent="0.25">
      <c r="O222" s="251"/>
      <c r="P222" s="251"/>
    </row>
    <row r="223" spans="15:16" ht="15.75" customHeight="1" x14ac:dyDescent="0.25">
      <c r="O223" s="251"/>
      <c r="P223" s="251"/>
    </row>
    <row r="224" spans="15:16" ht="15.75" customHeight="1" x14ac:dyDescent="0.25">
      <c r="O224" s="251"/>
      <c r="P224" s="251"/>
    </row>
    <row r="225" spans="15:16" ht="15.75" customHeight="1" x14ac:dyDescent="0.25">
      <c r="O225" s="251"/>
      <c r="P225" s="251"/>
    </row>
    <row r="226" spans="15:16" ht="15.75" customHeight="1" x14ac:dyDescent="0.25">
      <c r="O226" s="251"/>
      <c r="P226" s="251"/>
    </row>
    <row r="227" spans="15:16" ht="15.75" customHeight="1" x14ac:dyDescent="0.25">
      <c r="O227" s="251"/>
      <c r="P227" s="251"/>
    </row>
    <row r="228" spans="15:16" ht="15.75" customHeight="1" x14ac:dyDescent="0.25">
      <c r="O228" s="251"/>
      <c r="P228" s="251"/>
    </row>
    <row r="229" spans="15:16" ht="15.75" customHeight="1" x14ac:dyDescent="0.25">
      <c r="O229" s="251"/>
      <c r="P229" s="251"/>
    </row>
    <row r="230" spans="15:16" ht="15.75" customHeight="1" x14ac:dyDescent="0.25">
      <c r="O230" s="251"/>
      <c r="P230" s="251"/>
    </row>
    <row r="231" spans="15:16" ht="15.75" customHeight="1" x14ac:dyDescent="0.25">
      <c r="O231" s="251"/>
      <c r="P231" s="251"/>
    </row>
    <row r="232" spans="15:16" ht="15.75" customHeight="1" x14ac:dyDescent="0.25">
      <c r="O232" s="251"/>
      <c r="P232" s="251"/>
    </row>
    <row r="233" spans="15:16" ht="15.75" customHeight="1" x14ac:dyDescent="0.25">
      <c r="O233" s="251"/>
      <c r="P233" s="251"/>
    </row>
    <row r="234" spans="15:16" ht="15.75" customHeight="1" x14ac:dyDescent="0.25">
      <c r="O234" s="251"/>
      <c r="P234" s="251"/>
    </row>
    <row r="235" spans="15:16" ht="15.75" customHeight="1" x14ac:dyDescent="0.25">
      <c r="O235" s="251"/>
      <c r="P235" s="251"/>
    </row>
    <row r="236" spans="15:16" ht="15.75" customHeight="1" x14ac:dyDescent="0.25">
      <c r="O236" s="251"/>
      <c r="P236" s="251"/>
    </row>
    <row r="237" spans="15:16" ht="15.75" customHeight="1" x14ac:dyDescent="0.25">
      <c r="O237" s="251"/>
      <c r="P237" s="251"/>
    </row>
    <row r="238" spans="15:16" ht="15.75" customHeight="1" x14ac:dyDescent="0.25">
      <c r="O238" s="251"/>
      <c r="P238" s="251"/>
    </row>
    <row r="239" spans="15:16" ht="15.75" customHeight="1" x14ac:dyDescent="0.25">
      <c r="O239" s="251"/>
      <c r="P239" s="251"/>
    </row>
    <row r="240" spans="15:16" ht="15.75" customHeight="1" x14ac:dyDescent="0.25">
      <c r="O240" s="251"/>
      <c r="P240" s="251"/>
    </row>
    <row r="241" spans="15:16" ht="15.75" customHeight="1" x14ac:dyDescent="0.25">
      <c r="O241" s="251"/>
      <c r="P241" s="251"/>
    </row>
    <row r="242" spans="15:16" ht="15.75" customHeight="1" x14ac:dyDescent="0.25">
      <c r="O242" s="251"/>
      <c r="P242" s="251"/>
    </row>
    <row r="243" spans="15:16" ht="15.75" customHeight="1" x14ac:dyDescent="0.25">
      <c r="O243" s="251"/>
      <c r="P243" s="251"/>
    </row>
    <row r="244" spans="15:16" ht="15.75" customHeight="1" x14ac:dyDescent="0.25">
      <c r="O244" s="251"/>
      <c r="P244" s="251"/>
    </row>
    <row r="245" spans="15:16" ht="15.75" customHeight="1" x14ac:dyDescent="0.25">
      <c r="O245" s="251"/>
      <c r="P245" s="251"/>
    </row>
    <row r="246" spans="15:16" ht="15.75" customHeight="1" x14ac:dyDescent="0.25">
      <c r="O246" s="251"/>
      <c r="P246" s="251"/>
    </row>
    <row r="247" spans="15:16" ht="15.75" customHeight="1" x14ac:dyDescent="0.25">
      <c r="O247" s="251"/>
      <c r="P247" s="251"/>
    </row>
    <row r="248" spans="15:16" ht="15.75" customHeight="1" x14ac:dyDescent="0.25">
      <c r="O248" s="251"/>
      <c r="P248" s="251"/>
    </row>
    <row r="249" spans="15:16" ht="15.75" customHeight="1" x14ac:dyDescent="0.25">
      <c r="O249" s="251"/>
      <c r="P249" s="251"/>
    </row>
    <row r="250" spans="15:16" ht="15.75" customHeight="1" x14ac:dyDescent="0.25">
      <c r="O250" s="251"/>
      <c r="P250" s="251"/>
    </row>
    <row r="251" spans="15:16" ht="15.75" customHeight="1" x14ac:dyDescent="0.25">
      <c r="O251" s="251"/>
      <c r="P251" s="251"/>
    </row>
    <row r="252" spans="15:16" ht="15.75" customHeight="1" x14ac:dyDescent="0.25">
      <c r="O252" s="251"/>
      <c r="P252" s="251"/>
    </row>
    <row r="253" spans="15:16" ht="15.75" customHeight="1" x14ac:dyDescent="0.25">
      <c r="O253" s="251"/>
      <c r="P253" s="251"/>
    </row>
    <row r="254" spans="15:16" ht="15.75" customHeight="1" x14ac:dyDescent="0.25">
      <c r="O254" s="251"/>
      <c r="P254" s="251"/>
    </row>
    <row r="255" spans="15:16" ht="15.75" customHeight="1" x14ac:dyDescent="0.25">
      <c r="O255" s="251"/>
      <c r="P255" s="251"/>
    </row>
    <row r="256" spans="15:16" ht="15.75" customHeight="1" x14ac:dyDescent="0.25">
      <c r="O256" s="251"/>
      <c r="P256" s="251"/>
    </row>
    <row r="257" spans="15:16" ht="15.75" customHeight="1" x14ac:dyDescent="0.25">
      <c r="O257" s="251"/>
      <c r="P257" s="251"/>
    </row>
    <row r="258" spans="15:16" ht="15.75" customHeight="1" x14ac:dyDescent="0.25">
      <c r="O258" s="251"/>
      <c r="P258" s="251"/>
    </row>
    <row r="259" spans="15:16" ht="15.75" customHeight="1" x14ac:dyDescent="0.25">
      <c r="O259" s="251"/>
      <c r="P259" s="251"/>
    </row>
    <row r="260" spans="15:16" ht="15.75" customHeight="1" x14ac:dyDescent="0.25">
      <c r="O260" s="251"/>
      <c r="P260" s="251"/>
    </row>
    <row r="261" spans="15:16" ht="15.75" customHeight="1" x14ac:dyDescent="0.25">
      <c r="O261" s="251"/>
      <c r="P261" s="251"/>
    </row>
    <row r="262" spans="15:16" ht="15.75" customHeight="1" x14ac:dyDescent="0.25">
      <c r="O262" s="251"/>
      <c r="P262" s="251"/>
    </row>
    <row r="263" spans="15:16" ht="15.75" customHeight="1" x14ac:dyDescent="0.25">
      <c r="O263" s="251"/>
      <c r="P263" s="251"/>
    </row>
    <row r="264" spans="15:16" ht="15.75" customHeight="1" x14ac:dyDescent="0.25">
      <c r="O264" s="251"/>
      <c r="P264" s="251"/>
    </row>
    <row r="265" spans="15:16" ht="15.75" customHeight="1" x14ac:dyDescent="0.25">
      <c r="O265" s="251"/>
      <c r="P265" s="251"/>
    </row>
    <row r="266" spans="15:16" ht="15.75" customHeight="1" x14ac:dyDescent="0.25">
      <c r="O266" s="251"/>
      <c r="P266" s="251"/>
    </row>
    <row r="267" spans="15:16" ht="15.75" customHeight="1" x14ac:dyDescent="0.25">
      <c r="O267" s="251"/>
      <c r="P267" s="251"/>
    </row>
    <row r="268" spans="15:16" ht="15.75" customHeight="1" x14ac:dyDescent="0.25">
      <c r="O268" s="251"/>
      <c r="P268" s="251"/>
    </row>
    <row r="269" spans="15:16" ht="15.75" customHeight="1" x14ac:dyDescent="0.25">
      <c r="O269" s="251"/>
      <c r="P269" s="251"/>
    </row>
    <row r="270" spans="15:16" ht="15.75" customHeight="1" x14ac:dyDescent="0.25">
      <c r="O270" s="251"/>
      <c r="P270" s="251"/>
    </row>
    <row r="271" spans="15:16" ht="15.75" customHeight="1" x14ac:dyDescent="0.25">
      <c r="O271" s="251"/>
      <c r="P271" s="251"/>
    </row>
    <row r="272" spans="15:16" ht="15.75" customHeight="1" x14ac:dyDescent="0.25">
      <c r="O272" s="251"/>
      <c r="P272" s="251"/>
    </row>
    <row r="273" spans="15:16" ht="15.75" customHeight="1" x14ac:dyDescent="0.25">
      <c r="O273" s="251"/>
      <c r="P273" s="251"/>
    </row>
    <row r="274" spans="15:16" ht="15.75" customHeight="1" x14ac:dyDescent="0.25">
      <c r="O274" s="251"/>
      <c r="P274" s="251"/>
    </row>
    <row r="275" spans="15:16" ht="15.75" customHeight="1" x14ac:dyDescent="0.25">
      <c r="O275" s="251"/>
      <c r="P275" s="251"/>
    </row>
    <row r="276" spans="15:16" ht="15.75" customHeight="1" x14ac:dyDescent="0.25">
      <c r="O276" s="251"/>
      <c r="P276" s="251"/>
    </row>
    <row r="277" spans="15:16" ht="15.75" customHeight="1" x14ac:dyDescent="0.25">
      <c r="O277" s="251"/>
      <c r="P277" s="251"/>
    </row>
    <row r="278" spans="15:16" ht="15.75" customHeight="1" x14ac:dyDescent="0.25">
      <c r="O278" s="251"/>
      <c r="P278" s="251"/>
    </row>
    <row r="279" spans="15:16" ht="15.75" customHeight="1" x14ac:dyDescent="0.25">
      <c r="O279" s="251"/>
      <c r="P279" s="251"/>
    </row>
    <row r="280" spans="15:16" ht="15.75" customHeight="1" x14ac:dyDescent="0.25">
      <c r="O280" s="251"/>
      <c r="P280" s="251"/>
    </row>
    <row r="281" spans="15:16" ht="15.75" customHeight="1" x14ac:dyDescent="0.25">
      <c r="O281" s="251"/>
      <c r="P281" s="251"/>
    </row>
    <row r="282" spans="15:16" ht="15.75" customHeight="1" x14ac:dyDescent="0.25">
      <c r="O282" s="251"/>
      <c r="P282" s="251"/>
    </row>
    <row r="283" spans="15:16" ht="15.75" customHeight="1" x14ac:dyDescent="0.25">
      <c r="O283" s="251"/>
      <c r="P283" s="251"/>
    </row>
    <row r="284" spans="15:16" ht="15.75" customHeight="1" x14ac:dyDescent="0.25">
      <c r="O284" s="251"/>
      <c r="P284" s="251"/>
    </row>
    <row r="285" spans="15:16" ht="15.75" customHeight="1" x14ac:dyDescent="0.25">
      <c r="O285" s="251"/>
      <c r="P285" s="251"/>
    </row>
    <row r="286" spans="15:16" ht="15.75" customHeight="1" x14ac:dyDescent="0.25">
      <c r="O286" s="251"/>
      <c r="P286" s="251"/>
    </row>
    <row r="287" spans="15:16" ht="15.75" customHeight="1" x14ac:dyDescent="0.25">
      <c r="O287" s="251"/>
      <c r="P287" s="251"/>
    </row>
    <row r="288" spans="15:16" ht="15.75" customHeight="1" x14ac:dyDescent="0.25">
      <c r="O288" s="251"/>
      <c r="P288" s="251"/>
    </row>
    <row r="289" spans="15:16" ht="15.75" customHeight="1" x14ac:dyDescent="0.25">
      <c r="O289" s="251"/>
      <c r="P289" s="251"/>
    </row>
    <row r="290" spans="15:16" ht="15.75" customHeight="1" x14ac:dyDescent="0.25">
      <c r="O290" s="251"/>
      <c r="P290" s="251"/>
    </row>
    <row r="291" spans="15:16" ht="15.75" customHeight="1" x14ac:dyDescent="0.25">
      <c r="O291" s="251"/>
      <c r="P291" s="251"/>
    </row>
    <row r="292" spans="15:16" ht="15.75" customHeight="1" x14ac:dyDescent="0.25">
      <c r="O292" s="251"/>
      <c r="P292" s="251"/>
    </row>
    <row r="293" spans="15:16" ht="15.75" customHeight="1" x14ac:dyDescent="0.25">
      <c r="O293" s="251"/>
      <c r="P293" s="251"/>
    </row>
    <row r="294" spans="15:16" ht="15.75" customHeight="1" x14ac:dyDescent="0.25">
      <c r="O294" s="251"/>
      <c r="P294" s="251"/>
    </row>
    <row r="295" spans="15:16" ht="15.75" customHeight="1" x14ac:dyDescent="0.25">
      <c r="O295" s="251"/>
      <c r="P295" s="251"/>
    </row>
    <row r="296" spans="15:16" ht="15.75" customHeight="1" x14ac:dyDescent="0.25">
      <c r="O296" s="251"/>
      <c r="P296" s="251"/>
    </row>
    <row r="297" spans="15:16" ht="15.75" customHeight="1" x14ac:dyDescent="0.25">
      <c r="O297" s="251"/>
      <c r="P297" s="251"/>
    </row>
    <row r="298" spans="15:16" ht="15.75" customHeight="1" x14ac:dyDescent="0.25">
      <c r="O298" s="251"/>
      <c r="P298" s="251"/>
    </row>
    <row r="299" spans="15:16" ht="15.75" customHeight="1" x14ac:dyDescent="0.25">
      <c r="O299" s="251"/>
      <c r="P299" s="251"/>
    </row>
    <row r="300" spans="15:16" ht="15.75" customHeight="1" x14ac:dyDescent="0.25">
      <c r="O300" s="251"/>
      <c r="P300" s="251"/>
    </row>
    <row r="301" spans="15:16" ht="15.75" customHeight="1" x14ac:dyDescent="0.25">
      <c r="O301" s="251"/>
      <c r="P301" s="251"/>
    </row>
    <row r="302" spans="15:16" ht="15.75" customHeight="1" x14ac:dyDescent="0.25">
      <c r="O302" s="251"/>
      <c r="P302" s="251"/>
    </row>
    <row r="303" spans="15:16" ht="15.75" customHeight="1" x14ac:dyDescent="0.25">
      <c r="O303" s="251"/>
      <c r="P303" s="251"/>
    </row>
    <row r="304" spans="15:16" ht="15.75" customHeight="1" x14ac:dyDescent="0.25">
      <c r="O304" s="251"/>
      <c r="P304" s="251"/>
    </row>
    <row r="305" spans="15:16" ht="15.75" customHeight="1" x14ac:dyDescent="0.25">
      <c r="O305" s="251"/>
      <c r="P305" s="251"/>
    </row>
    <row r="306" spans="15:16" ht="15.75" customHeight="1" x14ac:dyDescent="0.25">
      <c r="O306" s="251"/>
      <c r="P306" s="251"/>
    </row>
    <row r="307" spans="15:16" ht="15.75" customHeight="1" x14ac:dyDescent="0.25">
      <c r="O307" s="251"/>
      <c r="P307" s="251"/>
    </row>
    <row r="308" spans="15:16" ht="15.75" customHeight="1" x14ac:dyDescent="0.25">
      <c r="O308" s="251"/>
      <c r="P308" s="251"/>
    </row>
    <row r="309" spans="15:16" ht="15.75" customHeight="1" x14ac:dyDescent="0.25">
      <c r="O309" s="251"/>
      <c r="P309" s="251"/>
    </row>
    <row r="310" spans="15:16" ht="15.75" customHeight="1" x14ac:dyDescent="0.25">
      <c r="O310" s="251"/>
      <c r="P310" s="251"/>
    </row>
    <row r="311" spans="15:16" ht="15.75" customHeight="1" x14ac:dyDescent="0.25">
      <c r="O311" s="251"/>
      <c r="P311" s="251"/>
    </row>
    <row r="312" spans="15:16" ht="15.75" customHeight="1" x14ac:dyDescent="0.25">
      <c r="O312" s="251"/>
      <c r="P312" s="251"/>
    </row>
    <row r="313" spans="15:16" ht="15.75" customHeight="1" x14ac:dyDescent="0.25">
      <c r="O313" s="251"/>
      <c r="P313" s="251"/>
    </row>
    <row r="314" spans="15:16" ht="15.75" customHeight="1" x14ac:dyDescent="0.25">
      <c r="O314" s="251"/>
      <c r="P314" s="251"/>
    </row>
    <row r="315" spans="15:16" ht="15.75" customHeight="1" x14ac:dyDescent="0.25">
      <c r="O315" s="251"/>
      <c r="P315" s="251"/>
    </row>
    <row r="316" spans="15:16" ht="15.75" customHeight="1" x14ac:dyDescent="0.25">
      <c r="O316" s="251"/>
      <c r="P316" s="251"/>
    </row>
    <row r="317" spans="15:16" ht="15.75" customHeight="1" x14ac:dyDescent="0.25">
      <c r="O317" s="251"/>
      <c r="P317" s="251"/>
    </row>
    <row r="318" spans="15:16" ht="15.75" customHeight="1" x14ac:dyDescent="0.25">
      <c r="O318" s="251"/>
      <c r="P318" s="251"/>
    </row>
    <row r="319" spans="15:16" ht="15.75" customHeight="1" x14ac:dyDescent="0.25">
      <c r="O319" s="251"/>
      <c r="P319" s="251"/>
    </row>
    <row r="320" spans="15:16" ht="15.75" customHeight="1" x14ac:dyDescent="0.25">
      <c r="O320" s="251"/>
      <c r="P320" s="251"/>
    </row>
    <row r="321" spans="15:16" ht="15.75" customHeight="1" x14ac:dyDescent="0.25">
      <c r="O321" s="251"/>
      <c r="P321" s="251"/>
    </row>
    <row r="322" spans="15:16" ht="15.75" customHeight="1" x14ac:dyDescent="0.25">
      <c r="O322" s="251"/>
      <c r="P322" s="251"/>
    </row>
    <row r="323" spans="15:16" ht="15.75" customHeight="1" x14ac:dyDescent="0.25">
      <c r="O323" s="251"/>
      <c r="P323" s="251"/>
    </row>
    <row r="324" spans="15:16" ht="15.75" customHeight="1" x14ac:dyDescent="0.25">
      <c r="O324" s="251"/>
      <c r="P324" s="251"/>
    </row>
    <row r="325" spans="15:16" ht="15.75" customHeight="1" x14ac:dyDescent="0.25">
      <c r="O325" s="251"/>
      <c r="P325" s="251"/>
    </row>
    <row r="326" spans="15:16" ht="15.75" customHeight="1" x14ac:dyDescent="0.25">
      <c r="O326" s="251"/>
      <c r="P326" s="251"/>
    </row>
    <row r="327" spans="15:16" ht="15.75" customHeight="1" x14ac:dyDescent="0.25">
      <c r="O327" s="251"/>
      <c r="P327" s="251"/>
    </row>
    <row r="328" spans="15:16" ht="15.75" customHeight="1" x14ac:dyDescent="0.25">
      <c r="O328" s="251"/>
      <c r="P328" s="251"/>
    </row>
    <row r="329" spans="15:16" ht="15.75" customHeight="1" x14ac:dyDescent="0.25">
      <c r="O329" s="251"/>
      <c r="P329" s="251"/>
    </row>
    <row r="330" spans="15:16" ht="15.75" customHeight="1" x14ac:dyDescent="0.25">
      <c r="O330" s="251"/>
      <c r="P330" s="251"/>
    </row>
    <row r="331" spans="15:16" ht="15.75" customHeight="1" x14ac:dyDescent="0.25">
      <c r="O331" s="251"/>
      <c r="P331" s="251"/>
    </row>
    <row r="332" spans="15:16" ht="15.75" customHeight="1" x14ac:dyDescent="0.25">
      <c r="O332" s="251"/>
      <c r="P332" s="251"/>
    </row>
    <row r="333" spans="15:16" ht="15.75" customHeight="1" x14ac:dyDescent="0.25">
      <c r="O333" s="251"/>
      <c r="P333" s="251"/>
    </row>
    <row r="334" spans="15:16" ht="15.75" customHeight="1" x14ac:dyDescent="0.25">
      <c r="O334" s="251"/>
      <c r="P334" s="251"/>
    </row>
    <row r="335" spans="15:16" ht="15.75" customHeight="1" x14ac:dyDescent="0.25">
      <c r="O335" s="251"/>
      <c r="P335" s="251"/>
    </row>
    <row r="336" spans="15:16" ht="15.75" customHeight="1" x14ac:dyDescent="0.25">
      <c r="O336" s="251"/>
      <c r="P336" s="251"/>
    </row>
    <row r="337" spans="15:16" ht="15.75" customHeight="1" x14ac:dyDescent="0.25">
      <c r="O337" s="251"/>
      <c r="P337" s="251"/>
    </row>
    <row r="338" spans="15:16" ht="15.75" customHeight="1" x14ac:dyDescent="0.25">
      <c r="O338" s="251"/>
      <c r="P338" s="251"/>
    </row>
    <row r="339" spans="15:16" ht="15.75" customHeight="1" x14ac:dyDescent="0.25">
      <c r="O339" s="251"/>
      <c r="P339" s="251"/>
    </row>
    <row r="340" spans="15:16" ht="15.75" customHeight="1" x14ac:dyDescent="0.25">
      <c r="O340" s="251"/>
      <c r="P340" s="251"/>
    </row>
    <row r="341" spans="15:16" ht="15.75" customHeight="1" x14ac:dyDescent="0.25">
      <c r="O341" s="251"/>
      <c r="P341" s="251"/>
    </row>
    <row r="342" spans="15:16" ht="15.75" customHeight="1" x14ac:dyDescent="0.25">
      <c r="O342" s="251"/>
      <c r="P342" s="251"/>
    </row>
    <row r="343" spans="15:16" ht="15.75" customHeight="1" x14ac:dyDescent="0.25">
      <c r="O343" s="251"/>
      <c r="P343" s="251"/>
    </row>
    <row r="344" spans="15:16" ht="15.75" customHeight="1" x14ac:dyDescent="0.25">
      <c r="O344" s="251"/>
      <c r="P344" s="251"/>
    </row>
    <row r="345" spans="15:16" ht="15.75" customHeight="1" x14ac:dyDescent="0.25">
      <c r="O345" s="251"/>
      <c r="P345" s="251"/>
    </row>
    <row r="346" spans="15:16" ht="15.75" customHeight="1" x14ac:dyDescent="0.25">
      <c r="O346" s="251"/>
      <c r="P346" s="251"/>
    </row>
    <row r="347" spans="15:16" ht="15.75" customHeight="1" x14ac:dyDescent="0.25">
      <c r="O347" s="251"/>
      <c r="P347" s="251"/>
    </row>
    <row r="348" spans="15:16" ht="15.75" customHeight="1" x14ac:dyDescent="0.25">
      <c r="O348" s="251"/>
      <c r="P348" s="251"/>
    </row>
    <row r="349" spans="15:16" ht="15.75" customHeight="1" x14ac:dyDescent="0.25">
      <c r="O349" s="251"/>
      <c r="P349" s="251"/>
    </row>
    <row r="350" spans="15:16" ht="15.75" customHeight="1" x14ac:dyDescent="0.25">
      <c r="O350" s="251"/>
      <c r="P350" s="251"/>
    </row>
    <row r="351" spans="15:16" ht="15.75" customHeight="1" x14ac:dyDescent="0.25">
      <c r="O351" s="251"/>
      <c r="P351" s="251"/>
    </row>
    <row r="352" spans="15:16" ht="15.75" customHeight="1" x14ac:dyDescent="0.25">
      <c r="O352" s="251"/>
      <c r="P352" s="251"/>
    </row>
    <row r="353" spans="15:16" ht="15.75" customHeight="1" x14ac:dyDescent="0.25">
      <c r="O353" s="251"/>
      <c r="P353" s="251"/>
    </row>
    <row r="354" spans="15:16" ht="15.75" customHeight="1" x14ac:dyDescent="0.25">
      <c r="O354" s="251"/>
      <c r="P354" s="251"/>
    </row>
    <row r="355" spans="15:16" ht="15.75" customHeight="1" x14ac:dyDescent="0.25">
      <c r="O355" s="251"/>
      <c r="P355" s="251"/>
    </row>
    <row r="356" spans="15:16" ht="15.75" customHeight="1" x14ac:dyDescent="0.25">
      <c r="O356" s="251"/>
      <c r="P356" s="251"/>
    </row>
    <row r="357" spans="15:16" ht="15.75" customHeight="1" x14ac:dyDescent="0.25">
      <c r="O357" s="251"/>
      <c r="P357" s="251"/>
    </row>
    <row r="358" spans="15:16" ht="15.75" customHeight="1" x14ac:dyDescent="0.25">
      <c r="O358" s="251"/>
      <c r="P358" s="251"/>
    </row>
    <row r="359" spans="15:16" ht="15.75" customHeight="1" x14ac:dyDescent="0.25">
      <c r="O359" s="251"/>
      <c r="P359" s="251"/>
    </row>
    <row r="360" spans="15:16" ht="15.75" customHeight="1" x14ac:dyDescent="0.25">
      <c r="O360" s="251"/>
      <c r="P360" s="251"/>
    </row>
    <row r="361" spans="15:16" ht="15.75" customHeight="1" x14ac:dyDescent="0.25">
      <c r="O361" s="251"/>
      <c r="P361" s="251"/>
    </row>
    <row r="362" spans="15:16" ht="15.75" customHeight="1" x14ac:dyDescent="0.25">
      <c r="O362" s="251"/>
      <c r="P362" s="251"/>
    </row>
    <row r="363" spans="15:16" ht="15.75" customHeight="1" x14ac:dyDescent="0.25">
      <c r="O363" s="251"/>
      <c r="P363" s="251"/>
    </row>
    <row r="364" spans="15:16" ht="15.75" customHeight="1" x14ac:dyDescent="0.25">
      <c r="O364" s="251"/>
      <c r="P364" s="251"/>
    </row>
    <row r="365" spans="15:16" ht="15.75" customHeight="1" x14ac:dyDescent="0.25">
      <c r="O365" s="251"/>
      <c r="P365" s="251"/>
    </row>
    <row r="366" spans="15:16" ht="15.75" customHeight="1" x14ac:dyDescent="0.25">
      <c r="O366" s="251"/>
      <c r="P366" s="251"/>
    </row>
    <row r="367" spans="15:16" ht="15.75" customHeight="1" x14ac:dyDescent="0.25">
      <c r="O367" s="251"/>
      <c r="P367" s="251"/>
    </row>
    <row r="368" spans="15:16" ht="15.75" customHeight="1" x14ac:dyDescent="0.25">
      <c r="O368" s="251"/>
      <c r="P368" s="251"/>
    </row>
    <row r="369" spans="15:16" ht="15.75" customHeight="1" x14ac:dyDescent="0.25">
      <c r="O369" s="251"/>
      <c r="P369" s="251"/>
    </row>
    <row r="370" spans="15:16" ht="15.75" customHeight="1" x14ac:dyDescent="0.25">
      <c r="O370" s="251"/>
      <c r="P370" s="251"/>
    </row>
    <row r="371" spans="15:16" ht="15.75" customHeight="1" x14ac:dyDescent="0.25">
      <c r="O371" s="251"/>
      <c r="P371" s="251"/>
    </row>
    <row r="372" spans="15:16" ht="15.75" customHeight="1" x14ac:dyDescent="0.25">
      <c r="O372" s="251"/>
      <c r="P372" s="251"/>
    </row>
    <row r="373" spans="15:16" ht="15.75" customHeight="1" x14ac:dyDescent="0.25">
      <c r="O373" s="251"/>
      <c r="P373" s="251"/>
    </row>
    <row r="374" spans="15:16" ht="15.75" customHeight="1" x14ac:dyDescent="0.25">
      <c r="O374" s="251"/>
      <c r="P374" s="251"/>
    </row>
    <row r="375" spans="15:16" ht="15.75" customHeight="1" x14ac:dyDescent="0.25">
      <c r="O375" s="251"/>
      <c r="P375" s="251"/>
    </row>
    <row r="376" spans="15:16" ht="15.75" customHeight="1" x14ac:dyDescent="0.25">
      <c r="O376" s="251"/>
      <c r="P376" s="251"/>
    </row>
    <row r="377" spans="15:16" ht="15.75" customHeight="1" x14ac:dyDescent="0.25">
      <c r="O377" s="251"/>
      <c r="P377" s="251"/>
    </row>
    <row r="378" spans="15:16" ht="15.75" customHeight="1" x14ac:dyDescent="0.25">
      <c r="O378" s="251"/>
      <c r="P378" s="251"/>
    </row>
    <row r="379" spans="15:16" ht="15.75" customHeight="1" x14ac:dyDescent="0.25">
      <c r="O379" s="251"/>
      <c r="P379" s="251"/>
    </row>
    <row r="380" spans="15:16" ht="15.75" customHeight="1" x14ac:dyDescent="0.25">
      <c r="O380" s="251"/>
      <c r="P380" s="251"/>
    </row>
    <row r="381" spans="15:16" ht="15.75" customHeight="1" x14ac:dyDescent="0.25">
      <c r="O381" s="251"/>
      <c r="P381" s="251"/>
    </row>
    <row r="382" spans="15:16" ht="15.75" customHeight="1" x14ac:dyDescent="0.25">
      <c r="O382" s="251"/>
      <c r="P382" s="251"/>
    </row>
    <row r="383" spans="15:16" ht="15.75" customHeight="1" x14ac:dyDescent="0.25">
      <c r="O383" s="251"/>
      <c r="P383" s="251"/>
    </row>
    <row r="384" spans="15:16" ht="15.75" customHeight="1" x14ac:dyDescent="0.25">
      <c r="O384" s="251"/>
      <c r="P384" s="251"/>
    </row>
    <row r="385" spans="15:16" ht="15.75" customHeight="1" x14ac:dyDescent="0.25">
      <c r="O385" s="251"/>
      <c r="P385" s="251"/>
    </row>
    <row r="386" spans="15:16" ht="15.75" customHeight="1" x14ac:dyDescent="0.25">
      <c r="O386" s="251"/>
      <c r="P386" s="251"/>
    </row>
    <row r="387" spans="15:16" ht="15.75" customHeight="1" x14ac:dyDescent="0.25">
      <c r="O387" s="251"/>
      <c r="P387" s="251"/>
    </row>
    <row r="388" spans="15:16" ht="15.75" customHeight="1" x14ac:dyDescent="0.25">
      <c r="O388" s="251"/>
      <c r="P388" s="251"/>
    </row>
    <row r="389" spans="15:16" ht="15.75" customHeight="1" x14ac:dyDescent="0.25">
      <c r="O389" s="251"/>
      <c r="P389" s="251"/>
    </row>
    <row r="390" spans="15:16" ht="15.75" customHeight="1" x14ac:dyDescent="0.25">
      <c r="O390" s="251"/>
      <c r="P390" s="251"/>
    </row>
    <row r="391" spans="15:16" ht="15.75" customHeight="1" x14ac:dyDescent="0.25">
      <c r="O391" s="251"/>
      <c r="P391" s="251"/>
    </row>
    <row r="392" spans="15:16" ht="15.75" customHeight="1" x14ac:dyDescent="0.25">
      <c r="O392" s="251"/>
      <c r="P392" s="251"/>
    </row>
    <row r="393" spans="15:16" ht="15.75" customHeight="1" x14ac:dyDescent="0.25">
      <c r="O393" s="251"/>
      <c r="P393" s="251"/>
    </row>
    <row r="394" spans="15:16" ht="15.75" customHeight="1" x14ac:dyDescent="0.25">
      <c r="O394" s="251"/>
      <c r="P394" s="251"/>
    </row>
    <row r="395" spans="15:16" ht="15.75" customHeight="1" x14ac:dyDescent="0.25">
      <c r="O395" s="251"/>
      <c r="P395" s="251"/>
    </row>
    <row r="396" spans="15:16" ht="15.75" customHeight="1" x14ac:dyDescent="0.25">
      <c r="O396" s="251"/>
      <c r="P396" s="251"/>
    </row>
    <row r="397" spans="15:16" ht="15.75" customHeight="1" x14ac:dyDescent="0.25">
      <c r="O397" s="251"/>
      <c r="P397" s="251"/>
    </row>
    <row r="398" spans="15:16" ht="15.75" customHeight="1" x14ac:dyDescent="0.25">
      <c r="O398" s="251"/>
      <c r="P398" s="251"/>
    </row>
    <row r="399" spans="15:16" ht="15.75" customHeight="1" x14ac:dyDescent="0.25">
      <c r="O399" s="251"/>
      <c r="P399" s="251"/>
    </row>
    <row r="400" spans="15:16" ht="15.75" customHeight="1" x14ac:dyDescent="0.25">
      <c r="O400" s="251"/>
      <c r="P400" s="251"/>
    </row>
    <row r="401" spans="15:16" ht="15.75" customHeight="1" x14ac:dyDescent="0.25">
      <c r="O401" s="251"/>
      <c r="P401" s="251"/>
    </row>
    <row r="402" spans="15:16" ht="15.75" customHeight="1" x14ac:dyDescent="0.25">
      <c r="O402" s="251"/>
      <c r="P402" s="251"/>
    </row>
    <row r="403" spans="15:16" ht="15.75" customHeight="1" x14ac:dyDescent="0.25">
      <c r="O403" s="251"/>
      <c r="P403" s="251"/>
    </row>
    <row r="404" spans="15:16" ht="15.75" customHeight="1" x14ac:dyDescent="0.25">
      <c r="O404" s="251"/>
      <c r="P404" s="251"/>
    </row>
    <row r="405" spans="15:16" ht="15.75" customHeight="1" x14ac:dyDescent="0.25">
      <c r="O405" s="251"/>
      <c r="P405" s="251"/>
    </row>
    <row r="406" spans="15:16" ht="15.75" customHeight="1" x14ac:dyDescent="0.25">
      <c r="O406" s="251"/>
      <c r="P406" s="251"/>
    </row>
    <row r="407" spans="15:16" ht="15.75" customHeight="1" x14ac:dyDescent="0.25">
      <c r="O407" s="251"/>
      <c r="P407" s="251"/>
    </row>
    <row r="408" spans="15:16" ht="15.75" customHeight="1" x14ac:dyDescent="0.25">
      <c r="O408" s="251"/>
      <c r="P408" s="251"/>
    </row>
    <row r="409" spans="15:16" ht="15.75" customHeight="1" x14ac:dyDescent="0.25">
      <c r="O409" s="251"/>
      <c r="P409" s="251"/>
    </row>
    <row r="410" spans="15:16" ht="15.75" customHeight="1" x14ac:dyDescent="0.25">
      <c r="O410" s="251"/>
      <c r="P410" s="251"/>
    </row>
    <row r="411" spans="15:16" ht="15.75" customHeight="1" x14ac:dyDescent="0.25">
      <c r="O411" s="251"/>
      <c r="P411" s="251"/>
    </row>
    <row r="412" spans="15:16" ht="15.75" customHeight="1" x14ac:dyDescent="0.25">
      <c r="O412" s="251"/>
      <c r="P412" s="251"/>
    </row>
    <row r="413" spans="15:16" ht="15.75" customHeight="1" x14ac:dyDescent="0.25">
      <c r="O413" s="251"/>
      <c r="P413" s="251"/>
    </row>
    <row r="414" spans="15:16" ht="15.75" customHeight="1" x14ac:dyDescent="0.25">
      <c r="O414" s="251"/>
      <c r="P414" s="251"/>
    </row>
    <row r="415" spans="15:16" ht="15.75" customHeight="1" x14ac:dyDescent="0.25">
      <c r="O415" s="251"/>
      <c r="P415" s="251"/>
    </row>
    <row r="416" spans="15:16" ht="15.75" customHeight="1" x14ac:dyDescent="0.25">
      <c r="O416" s="251"/>
      <c r="P416" s="251"/>
    </row>
    <row r="417" spans="15:16" ht="15.75" customHeight="1" x14ac:dyDescent="0.25">
      <c r="O417" s="251"/>
      <c r="P417" s="251"/>
    </row>
    <row r="418" spans="15:16" ht="15.75" customHeight="1" x14ac:dyDescent="0.25">
      <c r="O418" s="251"/>
      <c r="P418" s="251"/>
    </row>
    <row r="419" spans="15:16" ht="15.75" customHeight="1" x14ac:dyDescent="0.25">
      <c r="O419" s="251"/>
      <c r="P419" s="251"/>
    </row>
    <row r="420" spans="15:16" ht="15.75" customHeight="1" x14ac:dyDescent="0.25">
      <c r="O420" s="251"/>
      <c r="P420" s="251"/>
    </row>
    <row r="421" spans="15:16" ht="15.75" customHeight="1" x14ac:dyDescent="0.25">
      <c r="O421" s="251"/>
      <c r="P421" s="251"/>
    </row>
    <row r="422" spans="15:16" ht="15.75" customHeight="1" x14ac:dyDescent="0.25">
      <c r="O422" s="251"/>
      <c r="P422" s="251"/>
    </row>
    <row r="423" spans="15:16" ht="15.75" customHeight="1" x14ac:dyDescent="0.25">
      <c r="O423" s="251"/>
      <c r="P423" s="251"/>
    </row>
    <row r="424" spans="15:16" ht="15.75" customHeight="1" x14ac:dyDescent="0.25">
      <c r="O424" s="251"/>
      <c r="P424" s="251"/>
    </row>
    <row r="425" spans="15:16" ht="15.75" customHeight="1" x14ac:dyDescent="0.25">
      <c r="O425" s="251"/>
      <c r="P425" s="251"/>
    </row>
    <row r="426" spans="15:16" ht="15.75" customHeight="1" x14ac:dyDescent="0.25">
      <c r="O426" s="251"/>
      <c r="P426" s="251"/>
    </row>
    <row r="427" spans="15:16" ht="15.75" customHeight="1" x14ac:dyDescent="0.25">
      <c r="O427" s="251"/>
      <c r="P427" s="251"/>
    </row>
    <row r="428" spans="15:16" ht="15.75" customHeight="1" x14ac:dyDescent="0.25">
      <c r="O428" s="251"/>
      <c r="P428" s="251"/>
    </row>
    <row r="429" spans="15:16" ht="15.75" customHeight="1" x14ac:dyDescent="0.25">
      <c r="O429" s="251"/>
      <c r="P429" s="251"/>
    </row>
    <row r="430" spans="15:16" ht="15.75" customHeight="1" x14ac:dyDescent="0.25">
      <c r="O430" s="251"/>
      <c r="P430" s="251"/>
    </row>
    <row r="431" spans="15:16" ht="15.75" customHeight="1" x14ac:dyDescent="0.25">
      <c r="O431" s="251"/>
      <c r="P431" s="251"/>
    </row>
    <row r="432" spans="15:16" ht="15.75" customHeight="1" x14ac:dyDescent="0.25">
      <c r="O432" s="251"/>
      <c r="P432" s="251"/>
    </row>
    <row r="433" spans="15:16" ht="15.75" customHeight="1" x14ac:dyDescent="0.25">
      <c r="O433" s="251"/>
      <c r="P433" s="251"/>
    </row>
    <row r="434" spans="15:16" ht="15.75" customHeight="1" x14ac:dyDescent="0.25">
      <c r="O434" s="251"/>
      <c r="P434" s="251"/>
    </row>
    <row r="435" spans="15:16" ht="15.75" customHeight="1" x14ac:dyDescent="0.25">
      <c r="O435" s="251"/>
      <c r="P435" s="251"/>
    </row>
    <row r="436" spans="15:16" ht="15.75" customHeight="1" x14ac:dyDescent="0.25">
      <c r="O436" s="251"/>
      <c r="P436" s="251"/>
    </row>
    <row r="437" spans="15:16" ht="15.75" customHeight="1" x14ac:dyDescent="0.25">
      <c r="O437" s="251"/>
      <c r="P437" s="251"/>
    </row>
    <row r="438" spans="15:16" ht="15.75" customHeight="1" x14ac:dyDescent="0.25">
      <c r="O438" s="251"/>
      <c r="P438" s="251"/>
    </row>
    <row r="439" spans="15:16" ht="15.75" customHeight="1" x14ac:dyDescent="0.25">
      <c r="O439" s="251"/>
      <c r="P439" s="251"/>
    </row>
    <row r="440" spans="15:16" ht="15.75" customHeight="1" x14ac:dyDescent="0.25">
      <c r="O440" s="251"/>
      <c r="P440" s="251"/>
    </row>
    <row r="441" spans="15:16" ht="15.75" customHeight="1" x14ac:dyDescent="0.25">
      <c r="O441" s="251"/>
      <c r="P441" s="251"/>
    </row>
    <row r="442" spans="15:16" ht="15.75" customHeight="1" x14ac:dyDescent="0.25">
      <c r="O442" s="251"/>
      <c r="P442" s="251"/>
    </row>
    <row r="443" spans="15:16" ht="15.75" customHeight="1" x14ac:dyDescent="0.25">
      <c r="O443" s="251"/>
      <c r="P443" s="251"/>
    </row>
    <row r="444" spans="15:16" ht="15.75" customHeight="1" x14ac:dyDescent="0.25">
      <c r="O444" s="251"/>
      <c r="P444" s="251"/>
    </row>
    <row r="445" spans="15:16" ht="15.75" customHeight="1" x14ac:dyDescent="0.25">
      <c r="O445" s="251"/>
      <c r="P445" s="251"/>
    </row>
    <row r="446" spans="15:16" ht="15.75" customHeight="1" x14ac:dyDescent="0.25">
      <c r="O446" s="251"/>
      <c r="P446" s="251"/>
    </row>
    <row r="447" spans="15:16" ht="15.75" customHeight="1" x14ac:dyDescent="0.25">
      <c r="O447" s="251"/>
      <c r="P447" s="251"/>
    </row>
    <row r="448" spans="15:16" ht="15.75" customHeight="1" x14ac:dyDescent="0.25">
      <c r="O448" s="251"/>
      <c r="P448" s="251"/>
    </row>
    <row r="449" spans="15:16" ht="15.75" customHeight="1" x14ac:dyDescent="0.25">
      <c r="O449" s="251"/>
      <c r="P449" s="251"/>
    </row>
    <row r="450" spans="15:16" ht="15.75" customHeight="1" x14ac:dyDescent="0.25">
      <c r="O450" s="251"/>
      <c r="P450" s="251"/>
    </row>
    <row r="451" spans="15:16" ht="15.75" customHeight="1" x14ac:dyDescent="0.25">
      <c r="O451" s="251"/>
      <c r="P451" s="251"/>
    </row>
    <row r="452" spans="15:16" ht="15.75" customHeight="1" x14ac:dyDescent="0.25">
      <c r="O452" s="251"/>
      <c r="P452" s="251"/>
    </row>
    <row r="453" spans="15:16" ht="15.75" customHeight="1" x14ac:dyDescent="0.25">
      <c r="O453" s="251"/>
      <c r="P453" s="251"/>
    </row>
    <row r="454" spans="15:16" ht="15.75" customHeight="1" x14ac:dyDescent="0.25">
      <c r="O454" s="251"/>
      <c r="P454" s="251"/>
    </row>
    <row r="455" spans="15:16" ht="15.75" customHeight="1" x14ac:dyDescent="0.25">
      <c r="O455" s="251"/>
      <c r="P455" s="251"/>
    </row>
    <row r="456" spans="15:16" ht="15.75" customHeight="1" x14ac:dyDescent="0.25">
      <c r="O456" s="251"/>
      <c r="P456" s="251"/>
    </row>
    <row r="457" spans="15:16" ht="15.75" customHeight="1" x14ac:dyDescent="0.25">
      <c r="O457" s="251"/>
      <c r="P457" s="251"/>
    </row>
    <row r="458" spans="15:16" ht="15.75" customHeight="1" x14ac:dyDescent="0.25">
      <c r="O458" s="251"/>
      <c r="P458" s="251"/>
    </row>
    <row r="459" spans="15:16" ht="15.75" customHeight="1" x14ac:dyDescent="0.25">
      <c r="O459" s="251"/>
      <c r="P459" s="251"/>
    </row>
    <row r="460" spans="15:16" ht="15.75" customHeight="1" x14ac:dyDescent="0.25">
      <c r="O460" s="251"/>
      <c r="P460" s="251"/>
    </row>
    <row r="461" spans="15:16" ht="15.75" customHeight="1" x14ac:dyDescent="0.25">
      <c r="O461" s="251"/>
      <c r="P461" s="251"/>
    </row>
    <row r="462" spans="15:16" ht="15.75" customHeight="1" x14ac:dyDescent="0.25">
      <c r="O462" s="251"/>
      <c r="P462" s="251"/>
    </row>
    <row r="463" spans="15:16" ht="15.75" customHeight="1" x14ac:dyDescent="0.25">
      <c r="O463" s="251"/>
      <c r="P463" s="251"/>
    </row>
    <row r="464" spans="15:16" ht="15.75" customHeight="1" x14ac:dyDescent="0.25">
      <c r="O464" s="251"/>
      <c r="P464" s="251"/>
    </row>
    <row r="465" spans="15:16" ht="15.75" customHeight="1" x14ac:dyDescent="0.25">
      <c r="O465" s="251"/>
      <c r="P465" s="251"/>
    </row>
    <row r="466" spans="15:16" ht="15.75" customHeight="1" x14ac:dyDescent="0.25">
      <c r="O466" s="251"/>
      <c r="P466" s="251"/>
    </row>
    <row r="467" spans="15:16" ht="15.75" customHeight="1" x14ac:dyDescent="0.25">
      <c r="O467" s="251"/>
      <c r="P467" s="251"/>
    </row>
    <row r="468" spans="15:16" ht="15.75" customHeight="1" x14ac:dyDescent="0.25">
      <c r="O468" s="251"/>
      <c r="P468" s="251"/>
    </row>
    <row r="469" spans="15:16" ht="15.75" customHeight="1" x14ac:dyDescent="0.25">
      <c r="O469" s="251"/>
      <c r="P469" s="251"/>
    </row>
    <row r="470" spans="15:16" ht="15.75" customHeight="1" x14ac:dyDescent="0.25">
      <c r="O470" s="251"/>
      <c r="P470" s="251"/>
    </row>
    <row r="471" spans="15:16" ht="15.75" customHeight="1" x14ac:dyDescent="0.25">
      <c r="O471" s="251"/>
      <c r="P471" s="251"/>
    </row>
    <row r="472" spans="15:16" ht="15.75" customHeight="1" x14ac:dyDescent="0.25">
      <c r="O472" s="251"/>
      <c r="P472" s="251"/>
    </row>
    <row r="473" spans="15:16" ht="15.75" customHeight="1" x14ac:dyDescent="0.25">
      <c r="O473" s="251"/>
      <c r="P473" s="251"/>
    </row>
    <row r="474" spans="15:16" ht="15.75" customHeight="1" x14ac:dyDescent="0.25">
      <c r="O474" s="251"/>
      <c r="P474" s="251"/>
    </row>
    <row r="475" spans="15:16" ht="15.75" customHeight="1" x14ac:dyDescent="0.25">
      <c r="O475" s="251"/>
      <c r="P475" s="251"/>
    </row>
    <row r="476" spans="15:16" ht="15.75" customHeight="1" x14ac:dyDescent="0.25">
      <c r="O476" s="251"/>
      <c r="P476" s="251"/>
    </row>
    <row r="477" spans="15:16" ht="15.75" customHeight="1" x14ac:dyDescent="0.25">
      <c r="O477" s="251"/>
      <c r="P477" s="251"/>
    </row>
    <row r="478" spans="15:16" ht="15.75" customHeight="1" x14ac:dyDescent="0.25">
      <c r="O478" s="251"/>
      <c r="P478" s="251"/>
    </row>
    <row r="479" spans="15:16" ht="15.75" customHeight="1" x14ac:dyDescent="0.25">
      <c r="O479" s="251"/>
      <c r="P479" s="251"/>
    </row>
    <row r="480" spans="15:16" ht="15.75" customHeight="1" x14ac:dyDescent="0.25">
      <c r="O480" s="251"/>
      <c r="P480" s="251"/>
    </row>
    <row r="481" spans="15:16" ht="15.75" customHeight="1" x14ac:dyDescent="0.25">
      <c r="O481" s="251"/>
      <c r="P481" s="251"/>
    </row>
    <row r="482" spans="15:16" ht="15.75" customHeight="1" x14ac:dyDescent="0.25">
      <c r="O482" s="251"/>
      <c r="P482" s="251"/>
    </row>
    <row r="483" spans="15:16" ht="15.75" customHeight="1" x14ac:dyDescent="0.25">
      <c r="O483" s="251"/>
      <c r="P483" s="251"/>
    </row>
    <row r="484" spans="15:16" ht="15.75" customHeight="1" x14ac:dyDescent="0.25">
      <c r="O484" s="251"/>
      <c r="P484" s="251"/>
    </row>
    <row r="485" spans="15:16" ht="15.75" customHeight="1" x14ac:dyDescent="0.25">
      <c r="O485" s="251"/>
      <c r="P485" s="251"/>
    </row>
    <row r="486" spans="15:16" ht="15.75" customHeight="1" x14ac:dyDescent="0.25">
      <c r="O486" s="251"/>
      <c r="P486" s="251"/>
    </row>
    <row r="487" spans="15:16" ht="15.75" customHeight="1" x14ac:dyDescent="0.25">
      <c r="O487" s="251"/>
      <c r="P487" s="251"/>
    </row>
    <row r="488" spans="15:16" ht="15.75" customHeight="1" x14ac:dyDescent="0.25">
      <c r="O488" s="251"/>
      <c r="P488" s="251"/>
    </row>
    <row r="489" spans="15:16" ht="15.75" customHeight="1" x14ac:dyDescent="0.25">
      <c r="O489" s="251"/>
      <c r="P489" s="251"/>
    </row>
    <row r="490" spans="15:16" ht="15.75" customHeight="1" x14ac:dyDescent="0.25">
      <c r="O490" s="251"/>
      <c r="P490" s="251"/>
    </row>
    <row r="491" spans="15:16" ht="15.75" customHeight="1" x14ac:dyDescent="0.25">
      <c r="O491" s="251"/>
      <c r="P491" s="251"/>
    </row>
    <row r="492" spans="15:16" ht="15.75" customHeight="1" x14ac:dyDescent="0.25">
      <c r="O492" s="251"/>
      <c r="P492" s="251"/>
    </row>
    <row r="493" spans="15:16" ht="15.75" customHeight="1" x14ac:dyDescent="0.25">
      <c r="O493" s="251"/>
      <c r="P493" s="251"/>
    </row>
    <row r="494" spans="15:16" ht="15.75" customHeight="1" x14ac:dyDescent="0.25">
      <c r="O494" s="251"/>
      <c r="P494" s="251"/>
    </row>
    <row r="495" spans="15:16" ht="15.75" customHeight="1" x14ac:dyDescent="0.25">
      <c r="O495" s="251"/>
      <c r="P495" s="251"/>
    </row>
    <row r="496" spans="15:16" ht="15.75" customHeight="1" x14ac:dyDescent="0.25">
      <c r="O496" s="251"/>
      <c r="P496" s="251"/>
    </row>
    <row r="497" spans="15:16" ht="15.75" customHeight="1" x14ac:dyDescent="0.25">
      <c r="O497" s="251"/>
      <c r="P497" s="251"/>
    </row>
    <row r="498" spans="15:16" ht="15.75" customHeight="1" x14ac:dyDescent="0.25">
      <c r="O498" s="251"/>
      <c r="P498" s="251"/>
    </row>
    <row r="499" spans="15:16" ht="15.75" customHeight="1" x14ac:dyDescent="0.25">
      <c r="O499" s="251"/>
      <c r="P499" s="251"/>
    </row>
    <row r="500" spans="15:16" ht="15.75" customHeight="1" x14ac:dyDescent="0.25">
      <c r="O500" s="251"/>
      <c r="P500" s="251"/>
    </row>
    <row r="501" spans="15:16" ht="15.75" customHeight="1" x14ac:dyDescent="0.25">
      <c r="O501" s="251"/>
      <c r="P501" s="251"/>
    </row>
    <row r="502" spans="15:16" ht="15.75" customHeight="1" x14ac:dyDescent="0.25">
      <c r="O502" s="251"/>
      <c r="P502" s="251"/>
    </row>
    <row r="503" spans="15:16" ht="15.75" customHeight="1" x14ac:dyDescent="0.25">
      <c r="O503" s="251"/>
      <c r="P503" s="251"/>
    </row>
    <row r="504" spans="15:16" ht="15.75" customHeight="1" x14ac:dyDescent="0.25">
      <c r="O504" s="251"/>
      <c r="P504" s="251"/>
    </row>
    <row r="505" spans="15:16" ht="15.75" customHeight="1" x14ac:dyDescent="0.25">
      <c r="O505" s="251"/>
      <c r="P505" s="251"/>
    </row>
    <row r="506" spans="15:16" ht="15.75" customHeight="1" x14ac:dyDescent="0.25">
      <c r="O506" s="251"/>
      <c r="P506" s="251"/>
    </row>
    <row r="507" spans="15:16" ht="15.75" customHeight="1" x14ac:dyDescent="0.25">
      <c r="O507" s="251"/>
      <c r="P507" s="251"/>
    </row>
    <row r="508" spans="15:16" ht="15.75" customHeight="1" x14ac:dyDescent="0.25">
      <c r="O508" s="251"/>
      <c r="P508" s="251"/>
    </row>
    <row r="509" spans="15:16" ht="15.75" customHeight="1" x14ac:dyDescent="0.25">
      <c r="O509" s="251"/>
      <c r="P509" s="251"/>
    </row>
    <row r="510" spans="15:16" ht="15.75" customHeight="1" x14ac:dyDescent="0.25">
      <c r="O510" s="251"/>
      <c r="P510" s="251"/>
    </row>
    <row r="511" spans="15:16" ht="15.75" customHeight="1" x14ac:dyDescent="0.25">
      <c r="O511" s="251"/>
      <c r="P511" s="251"/>
    </row>
    <row r="512" spans="15:16" ht="15.75" customHeight="1" x14ac:dyDescent="0.25">
      <c r="O512" s="251"/>
      <c r="P512" s="251"/>
    </row>
    <row r="513" spans="15:16" ht="15.75" customHeight="1" x14ac:dyDescent="0.25">
      <c r="O513" s="251"/>
      <c r="P513" s="251"/>
    </row>
    <row r="514" spans="15:16" ht="15.75" customHeight="1" x14ac:dyDescent="0.25">
      <c r="O514" s="251"/>
      <c r="P514" s="251"/>
    </row>
    <row r="515" spans="15:16" ht="15.75" customHeight="1" x14ac:dyDescent="0.25">
      <c r="O515" s="251"/>
      <c r="P515" s="251"/>
    </row>
    <row r="516" spans="15:16" ht="15.75" customHeight="1" x14ac:dyDescent="0.25">
      <c r="O516" s="251"/>
      <c r="P516" s="251"/>
    </row>
    <row r="517" spans="15:16" ht="15.75" customHeight="1" x14ac:dyDescent="0.25">
      <c r="O517" s="251"/>
      <c r="P517" s="251"/>
    </row>
    <row r="518" spans="15:16" ht="15.75" customHeight="1" x14ac:dyDescent="0.25">
      <c r="O518" s="251"/>
      <c r="P518" s="251"/>
    </row>
    <row r="519" spans="15:16" ht="15.75" customHeight="1" x14ac:dyDescent="0.25">
      <c r="O519" s="251"/>
      <c r="P519" s="251"/>
    </row>
    <row r="520" spans="15:16" ht="15.75" customHeight="1" x14ac:dyDescent="0.25">
      <c r="O520" s="251"/>
      <c r="P520" s="251"/>
    </row>
    <row r="521" spans="15:16" ht="15.75" customHeight="1" x14ac:dyDescent="0.25">
      <c r="O521" s="251"/>
      <c r="P521" s="251"/>
    </row>
    <row r="522" spans="15:16" ht="15.75" customHeight="1" x14ac:dyDescent="0.25">
      <c r="O522" s="251"/>
      <c r="P522" s="251"/>
    </row>
    <row r="523" spans="15:16" ht="15.75" customHeight="1" x14ac:dyDescent="0.25">
      <c r="O523" s="251"/>
      <c r="P523" s="251"/>
    </row>
    <row r="524" spans="15:16" ht="15.75" customHeight="1" x14ac:dyDescent="0.25">
      <c r="O524" s="251"/>
      <c r="P524" s="251"/>
    </row>
    <row r="525" spans="15:16" ht="15.75" customHeight="1" x14ac:dyDescent="0.25">
      <c r="O525" s="251"/>
      <c r="P525" s="251"/>
    </row>
    <row r="526" spans="15:16" ht="15.75" customHeight="1" x14ac:dyDescent="0.25">
      <c r="O526" s="251"/>
      <c r="P526" s="251"/>
    </row>
    <row r="527" spans="15:16" ht="15.75" customHeight="1" x14ac:dyDescent="0.25">
      <c r="O527" s="251"/>
      <c r="P527" s="251"/>
    </row>
    <row r="528" spans="15:16" ht="15.75" customHeight="1" x14ac:dyDescent="0.25">
      <c r="O528" s="251"/>
      <c r="P528" s="251"/>
    </row>
    <row r="529" spans="15:16" ht="15.75" customHeight="1" x14ac:dyDescent="0.25">
      <c r="O529" s="251"/>
      <c r="P529" s="251"/>
    </row>
    <row r="530" spans="15:16" ht="15.75" customHeight="1" x14ac:dyDescent="0.25">
      <c r="O530" s="251"/>
      <c r="P530" s="251"/>
    </row>
    <row r="531" spans="15:16" ht="15.75" customHeight="1" x14ac:dyDescent="0.25">
      <c r="O531" s="251"/>
      <c r="P531" s="251"/>
    </row>
    <row r="532" spans="15:16" ht="15.75" customHeight="1" x14ac:dyDescent="0.25">
      <c r="O532" s="251"/>
      <c r="P532" s="251"/>
    </row>
    <row r="533" spans="15:16" ht="15.75" customHeight="1" x14ac:dyDescent="0.25">
      <c r="O533" s="251"/>
      <c r="P533" s="251"/>
    </row>
    <row r="534" spans="15:16" ht="15.75" customHeight="1" x14ac:dyDescent="0.25">
      <c r="O534" s="251"/>
      <c r="P534" s="251"/>
    </row>
    <row r="535" spans="15:16" ht="15.75" customHeight="1" x14ac:dyDescent="0.25">
      <c r="O535" s="251"/>
      <c r="P535" s="251"/>
    </row>
    <row r="536" spans="15:16" ht="15.75" customHeight="1" x14ac:dyDescent="0.25">
      <c r="O536" s="251"/>
      <c r="P536" s="251"/>
    </row>
    <row r="537" spans="15:16" ht="15.75" customHeight="1" x14ac:dyDescent="0.25">
      <c r="O537" s="251"/>
      <c r="P537" s="251"/>
    </row>
    <row r="538" spans="15:16" ht="15.75" customHeight="1" x14ac:dyDescent="0.25">
      <c r="O538" s="251"/>
      <c r="P538" s="251"/>
    </row>
    <row r="539" spans="15:16" ht="15.75" customHeight="1" x14ac:dyDescent="0.25">
      <c r="O539" s="251"/>
      <c r="P539" s="251"/>
    </row>
    <row r="540" spans="15:16" ht="15.75" customHeight="1" x14ac:dyDescent="0.25">
      <c r="O540" s="251"/>
      <c r="P540" s="251"/>
    </row>
    <row r="541" spans="15:16" ht="15.75" customHeight="1" x14ac:dyDescent="0.25">
      <c r="O541" s="251"/>
      <c r="P541" s="251"/>
    </row>
    <row r="542" spans="15:16" ht="15.75" customHeight="1" x14ac:dyDescent="0.25">
      <c r="O542" s="251"/>
      <c r="P542" s="251"/>
    </row>
    <row r="543" spans="15:16" ht="15.75" customHeight="1" x14ac:dyDescent="0.25">
      <c r="O543" s="251"/>
      <c r="P543" s="251"/>
    </row>
    <row r="544" spans="15:16" ht="15.75" customHeight="1" x14ac:dyDescent="0.25">
      <c r="O544" s="251"/>
      <c r="P544" s="251"/>
    </row>
    <row r="545" spans="15:16" ht="15.75" customHeight="1" x14ac:dyDescent="0.25">
      <c r="O545" s="251"/>
      <c r="P545" s="251"/>
    </row>
    <row r="546" spans="15:16" ht="15.75" customHeight="1" x14ac:dyDescent="0.25">
      <c r="O546" s="251"/>
      <c r="P546" s="251"/>
    </row>
    <row r="547" spans="15:16" ht="15.75" customHeight="1" x14ac:dyDescent="0.25">
      <c r="O547" s="251"/>
      <c r="P547" s="251"/>
    </row>
    <row r="548" spans="15:16" ht="15.75" customHeight="1" x14ac:dyDescent="0.25">
      <c r="O548" s="251"/>
      <c r="P548" s="251"/>
    </row>
    <row r="549" spans="15:16" ht="15.75" customHeight="1" x14ac:dyDescent="0.25">
      <c r="O549" s="251"/>
      <c r="P549" s="251"/>
    </row>
    <row r="550" spans="15:16" ht="15.75" customHeight="1" x14ac:dyDescent="0.25">
      <c r="O550" s="251"/>
      <c r="P550" s="251"/>
    </row>
    <row r="551" spans="15:16" ht="15.75" customHeight="1" x14ac:dyDescent="0.25">
      <c r="O551" s="251"/>
      <c r="P551" s="251"/>
    </row>
    <row r="552" spans="15:16" ht="15.75" customHeight="1" x14ac:dyDescent="0.25">
      <c r="O552" s="251"/>
      <c r="P552" s="251"/>
    </row>
    <row r="553" spans="15:16" ht="15.75" customHeight="1" x14ac:dyDescent="0.25">
      <c r="O553" s="251"/>
      <c r="P553" s="251"/>
    </row>
    <row r="554" spans="15:16" ht="15.75" customHeight="1" x14ac:dyDescent="0.25">
      <c r="O554" s="251"/>
      <c r="P554" s="251"/>
    </row>
    <row r="555" spans="15:16" ht="15.75" customHeight="1" x14ac:dyDescent="0.25">
      <c r="O555" s="251"/>
      <c r="P555" s="251"/>
    </row>
    <row r="556" spans="15:16" ht="15.75" customHeight="1" x14ac:dyDescent="0.25">
      <c r="O556" s="251"/>
      <c r="P556" s="251"/>
    </row>
    <row r="557" spans="15:16" ht="15.75" customHeight="1" x14ac:dyDescent="0.25">
      <c r="O557" s="251"/>
      <c r="P557" s="251"/>
    </row>
    <row r="558" spans="15:16" ht="15.75" customHeight="1" x14ac:dyDescent="0.25">
      <c r="O558" s="251"/>
      <c r="P558" s="251"/>
    </row>
    <row r="559" spans="15:16" ht="15.75" customHeight="1" x14ac:dyDescent="0.25">
      <c r="O559" s="251"/>
      <c r="P559" s="251"/>
    </row>
    <row r="560" spans="15:16" ht="15.75" customHeight="1" x14ac:dyDescent="0.25">
      <c r="O560" s="251"/>
      <c r="P560" s="251"/>
    </row>
    <row r="561" spans="15:16" ht="15.75" customHeight="1" x14ac:dyDescent="0.25">
      <c r="O561" s="251"/>
      <c r="P561" s="251"/>
    </row>
    <row r="562" spans="15:16" ht="15.75" customHeight="1" x14ac:dyDescent="0.25">
      <c r="O562" s="251"/>
      <c r="P562" s="251"/>
    </row>
    <row r="563" spans="15:16" ht="15.75" customHeight="1" x14ac:dyDescent="0.25">
      <c r="O563" s="251"/>
      <c r="P563" s="251"/>
    </row>
    <row r="564" spans="15:16" ht="15.75" customHeight="1" x14ac:dyDescent="0.25">
      <c r="O564" s="251"/>
      <c r="P564" s="251"/>
    </row>
    <row r="565" spans="15:16" ht="15.75" customHeight="1" x14ac:dyDescent="0.25">
      <c r="O565" s="251"/>
      <c r="P565" s="251"/>
    </row>
    <row r="566" spans="15:16" ht="15.75" customHeight="1" x14ac:dyDescent="0.25">
      <c r="O566" s="251"/>
      <c r="P566" s="251"/>
    </row>
    <row r="567" spans="15:16" ht="15.75" customHeight="1" x14ac:dyDescent="0.25">
      <c r="O567" s="251"/>
      <c r="P567" s="251"/>
    </row>
    <row r="568" spans="15:16" ht="15.75" customHeight="1" x14ac:dyDescent="0.25">
      <c r="O568" s="251"/>
      <c r="P568" s="251"/>
    </row>
    <row r="569" spans="15:16" ht="15.75" customHeight="1" x14ac:dyDescent="0.25">
      <c r="O569" s="251"/>
      <c r="P569" s="251"/>
    </row>
    <row r="570" spans="15:16" ht="15.75" customHeight="1" x14ac:dyDescent="0.25">
      <c r="O570" s="251"/>
      <c r="P570" s="251"/>
    </row>
    <row r="571" spans="15:16" ht="15.75" customHeight="1" x14ac:dyDescent="0.25">
      <c r="O571" s="251"/>
      <c r="P571" s="251"/>
    </row>
    <row r="572" spans="15:16" ht="15.75" customHeight="1" x14ac:dyDescent="0.25">
      <c r="O572" s="251"/>
      <c r="P572" s="251"/>
    </row>
    <row r="573" spans="15:16" ht="15.75" customHeight="1" x14ac:dyDescent="0.25">
      <c r="O573" s="251"/>
      <c r="P573" s="251"/>
    </row>
    <row r="574" spans="15:16" ht="15.75" customHeight="1" x14ac:dyDescent="0.25">
      <c r="O574" s="251"/>
      <c r="P574" s="251"/>
    </row>
    <row r="575" spans="15:16" ht="15.75" customHeight="1" x14ac:dyDescent="0.25">
      <c r="O575" s="251"/>
      <c r="P575" s="251"/>
    </row>
    <row r="576" spans="15:16" ht="15.75" customHeight="1" x14ac:dyDescent="0.25">
      <c r="O576" s="251"/>
      <c r="P576" s="251"/>
    </row>
    <row r="577" spans="15:16" ht="15.75" customHeight="1" x14ac:dyDescent="0.25">
      <c r="O577" s="251"/>
      <c r="P577" s="251"/>
    </row>
    <row r="578" spans="15:16" ht="15.75" customHeight="1" x14ac:dyDescent="0.25">
      <c r="O578" s="251"/>
      <c r="P578" s="251"/>
    </row>
    <row r="579" spans="15:16" ht="15.75" customHeight="1" x14ac:dyDescent="0.25">
      <c r="O579" s="251"/>
      <c r="P579" s="251"/>
    </row>
    <row r="580" spans="15:16" ht="15.75" customHeight="1" x14ac:dyDescent="0.25">
      <c r="O580" s="251"/>
      <c r="P580" s="251"/>
    </row>
    <row r="581" spans="15:16" ht="15.75" customHeight="1" x14ac:dyDescent="0.25">
      <c r="O581" s="251"/>
      <c r="P581" s="251"/>
    </row>
    <row r="582" spans="15:16" ht="15.75" customHeight="1" x14ac:dyDescent="0.25">
      <c r="O582" s="251"/>
      <c r="P582" s="251"/>
    </row>
    <row r="583" spans="15:16" ht="15.75" customHeight="1" x14ac:dyDescent="0.25">
      <c r="O583" s="251"/>
      <c r="P583" s="251"/>
    </row>
    <row r="584" spans="15:16" ht="15.75" customHeight="1" x14ac:dyDescent="0.25">
      <c r="O584" s="251"/>
      <c r="P584" s="251"/>
    </row>
    <row r="585" spans="15:16" ht="15.75" customHeight="1" x14ac:dyDescent="0.25">
      <c r="O585" s="251"/>
      <c r="P585" s="251"/>
    </row>
    <row r="586" spans="15:16" ht="15.75" customHeight="1" x14ac:dyDescent="0.25">
      <c r="O586" s="251"/>
      <c r="P586" s="251"/>
    </row>
    <row r="587" spans="15:16" ht="15.75" customHeight="1" x14ac:dyDescent="0.25">
      <c r="O587" s="251"/>
      <c r="P587" s="251"/>
    </row>
    <row r="588" spans="15:16" ht="15.75" customHeight="1" x14ac:dyDescent="0.25">
      <c r="O588" s="251"/>
      <c r="P588" s="251"/>
    </row>
    <row r="589" spans="15:16" ht="15.75" customHeight="1" x14ac:dyDescent="0.25">
      <c r="O589" s="251"/>
      <c r="P589" s="251"/>
    </row>
    <row r="590" spans="15:16" ht="15.75" customHeight="1" x14ac:dyDescent="0.25">
      <c r="O590" s="251"/>
      <c r="P590" s="251"/>
    </row>
    <row r="591" spans="15:16" ht="15.75" customHeight="1" x14ac:dyDescent="0.25">
      <c r="O591" s="251"/>
      <c r="P591" s="251"/>
    </row>
    <row r="592" spans="15:16" ht="15.75" customHeight="1" x14ac:dyDescent="0.25">
      <c r="O592" s="251"/>
      <c r="P592" s="251"/>
    </row>
    <row r="593" spans="15:16" ht="15.75" customHeight="1" x14ac:dyDescent="0.25">
      <c r="O593" s="251"/>
      <c r="P593" s="251"/>
    </row>
    <row r="594" spans="15:16" ht="15.75" customHeight="1" x14ac:dyDescent="0.25">
      <c r="O594" s="251"/>
      <c r="P594" s="251"/>
    </row>
    <row r="595" spans="15:16" ht="15.75" customHeight="1" x14ac:dyDescent="0.25">
      <c r="O595" s="251"/>
      <c r="P595" s="251"/>
    </row>
    <row r="596" spans="15:16" ht="15.75" customHeight="1" x14ac:dyDescent="0.25">
      <c r="O596" s="251"/>
      <c r="P596" s="251"/>
    </row>
    <row r="597" spans="15:16" ht="15.75" customHeight="1" x14ac:dyDescent="0.25">
      <c r="O597" s="251"/>
      <c r="P597" s="251"/>
    </row>
    <row r="598" spans="15:16" ht="15.75" customHeight="1" x14ac:dyDescent="0.25">
      <c r="O598" s="251"/>
      <c r="P598" s="251"/>
    </row>
    <row r="599" spans="15:16" ht="15.75" customHeight="1" x14ac:dyDescent="0.25">
      <c r="O599" s="251"/>
      <c r="P599" s="251"/>
    </row>
    <row r="600" spans="15:16" ht="15.75" customHeight="1" x14ac:dyDescent="0.25">
      <c r="O600" s="251"/>
      <c r="P600" s="251"/>
    </row>
    <row r="601" spans="15:16" ht="15.75" customHeight="1" x14ac:dyDescent="0.25">
      <c r="O601" s="251"/>
      <c r="P601" s="251"/>
    </row>
    <row r="602" spans="15:16" ht="15.75" customHeight="1" x14ac:dyDescent="0.25">
      <c r="O602" s="251"/>
      <c r="P602" s="251"/>
    </row>
    <row r="603" spans="15:16" ht="15.75" customHeight="1" x14ac:dyDescent="0.25">
      <c r="O603" s="251"/>
      <c r="P603" s="251"/>
    </row>
    <row r="604" spans="15:16" ht="15.75" customHeight="1" x14ac:dyDescent="0.25">
      <c r="O604" s="251"/>
      <c r="P604" s="251"/>
    </row>
    <row r="605" spans="15:16" ht="15.75" customHeight="1" x14ac:dyDescent="0.25">
      <c r="O605" s="251"/>
      <c r="P605" s="251"/>
    </row>
    <row r="606" spans="15:16" ht="15.75" customHeight="1" x14ac:dyDescent="0.25">
      <c r="O606" s="251"/>
      <c r="P606" s="251"/>
    </row>
    <row r="607" spans="15:16" ht="15.75" customHeight="1" x14ac:dyDescent="0.25">
      <c r="O607" s="251"/>
      <c r="P607" s="251"/>
    </row>
    <row r="608" spans="15:16" ht="15.75" customHeight="1" x14ac:dyDescent="0.25">
      <c r="O608" s="251"/>
      <c r="P608" s="251"/>
    </row>
    <row r="609" spans="15:16" ht="15.75" customHeight="1" x14ac:dyDescent="0.25">
      <c r="O609" s="251"/>
      <c r="P609" s="251"/>
    </row>
    <row r="610" spans="15:16" ht="15.75" customHeight="1" x14ac:dyDescent="0.25">
      <c r="O610" s="251"/>
      <c r="P610" s="251"/>
    </row>
    <row r="611" spans="15:16" ht="15.75" customHeight="1" x14ac:dyDescent="0.25">
      <c r="O611" s="251"/>
      <c r="P611" s="251"/>
    </row>
    <row r="612" spans="15:16" ht="15.75" customHeight="1" x14ac:dyDescent="0.25">
      <c r="O612" s="251"/>
      <c r="P612" s="251"/>
    </row>
    <row r="613" spans="15:16" ht="15.75" customHeight="1" x14ac:dyDescent="0.25">
      <c r="O613" s="251"/>
      <c r="P613" s="251"/>
    </row>
    <row r="614" spans="15:16" ht="15.75" customHeight="1" x14ac:dyDescent="0.25">
      <c r="O614" s="251"/>
      <c r="P614" s="251"/>
    </row>
    <row r="615" spans="15:16" ht="15.75" customHeight="1" x14ac:dyDescent="0.25">
      <c r="O615" s="251"/>
      <c r="P615" s="251"/>
    </row>
    <row r="616" spans="15:16" ht="15.75" customHeight="1" x14ac:dyDescent="0.25">
      <c r="O616" s="251"/>
      <c r="P616" s="251"/>
    </row>
    <row r="617" spans="15:16" ht="15.75" customHeight="1" x14ac:dyDescent="0.25">
      <c r="O617" s="251"/>
      <c r="P617" s="251"/>
    </row>
    <row r="618" spans="15:16" ht="15.75" customHeight="1" x14ac:dyDescent="0.25">
      <c r="O618" s="251"/>
      <c r="P618" s="251"/>
    </row>
    <row r="619" spans="15:16" ht="15.75" customHeight="1" x14ac:dyDescent="0.25">
      <c r="O619" s="251"/>
      <c r="P619" s="251"/>
    </row>
    <row r="620" spans="15:16" ht="15.75" customHeight="1" x14ac:dyDescent="0.25">
      <c r="O620" s="251"/>
      <c r="P620" s="251"/>
    </row>
    <row r="621" spans="15:16" ht="15.75" customHeight="1" x14ac:dyDescent="0.25">
      <c r="O621" s="251"/>
      <c r="P621" s="251"/>
    </row>
    <row r="622" spans="15:16" ht="15.75" customHeight="1" x14ac:dyDescent="0.25">
      <c r="O622" s="251"/>
      <c r="P622" s="251"/>
    </row>
    <row r="623" spans="15:16" ht="15.75" customHeight="1" x14ac:dyDescent="0.25">
      <c r="O623" s="251"/>
      <c r="P623" s="251"/>
    </row>
    <row r="624" spans="15:16" ht="15.75" customHeight="1" x14ac:dyDescent="0.25">
      <c r="O624" s="251"/>
      <c r="P624" s="251"/>
    </row>
    <row r="625" spans="15:16" ht="15.75" customHeight="1" x14ac:dyDescent="0.25">
      <c r="O625" s="251"/>
      <c r="P625" s="251"/>
    </row>
    <row r="626" spans="15:16" ht="15.75" customHeight="1" x14ac:dyDescent="0.25">
      <c r="O626" s="251"/>
      <c r="P626" s="251"/>
    </row>
    <row r="627" spans="15:16" ht="15.75" customHeight="1" x14ac:dyDescent="0.25">
      <c r="O627" s="251"/>
      <c r="P627" s="251"/>
    </row>
    <row r="628" spans="15:16" ht="15.75" customHeight="1" x14ac:dyDescent="0.25">
      <c r="O628" s="251"/>
      <c r="P628" s="251"/>
    </row>
    <row r="629" spans="15:16" ht="15.75" customHeight="1" x14ac:dyDescent="0.25">
      <c r="O629" s="251"/>
      <c r="P629" s="251"/>
    </row>
    <row r="630" spans="15:16" ht="15.75" customHeight="1" x14ac:dyDescent="0.25">
      <c r="O630" s="251"/>
      <c r="P630" s="251"/>
    </row>
    <row r="631" spans="15:16" ht="15.75" customHeight="1" x14ac:dyDescent="0.25">
      <c r="O631" s="251"/>
      <c r="P631" s="251"/>
    </row>
    <row r="632" spans="15:16" ht="15.75" customHeight="1" x14ac:dyDescent="0.25">
      <c r="O632" s="251"/>
      <c r="P632" s="251"/>
    </row>
    <row r="633" spans="15:16" ht="15.75" customHeight="1" x14ac:dyDescent="0.25">
      <c r="O633" s="251"/>
      <c r="P633" s="251"/>
    </row>
    <row r="634" spans="15:16" ht="15.75" customHeight="1" x14ac:dyDescent="0.25">
      <c r="O634" s="251"/>
      <c r="P634" s="251"/>
    </row>
    <row r="635" spans="15:16" ht="15.75" customHeight="1" x14ac:dyDescent="0.25">
      <c r="O635" s="251"/>
      <c r="P635" s="251"/>
    </row>
    <row r="636" spans="15:16" ht="15.75" customHeight="1" x14ac:dyDescent="0.25">
      <c r="O636" s="251"/>
      <c r="P636" s="251"/>
    </row>
    <row r="637" spans="15:16" ht="15.75" customHeight="1" x14ac:dyDescent="0.25">
      <c r="O637" s="251"/>
      <c r="P637" s="251"/>
    </row>
    <row r="638" spans="15:16" ht="15.75" customHeight="1" x14ac:dyDescent="0.25">
      <c r="O638" s="251"/>
      <c r="P638" s="251"/>
    </row>
    <row r="639" spans="15:16" ht="15.75" customHeight="1" x14ac:dyDescent="0.25">
      <c r="O639" s="251"/>
      <c r="P639" s="251"/>
    </row>
    <row r="640" spans="15:16" ht="15.75" customHeight="1" x14ac:dyDescent="0.25">
      <c r="O640" s="251"/>
      <c r="P640" s="251"/>
    </row>
    <row r="641" spans="15:16" ht="15.75" customHeight="1" x14ac:dyDescent="0.25">
      <c r="O641" s="251"/>
      <c r="P641" s="251"/>
    </row>
    <row r="642" spans="15:16" ht="15.75" customHeight="1" x14ac:dyDescent="0.25">
      <c r="O642" s="251"/>
      <c r="P642" s="251"/>
    </row>
    <row r="643" spans="15:16" ht="15.75" customHeight="1" x14ac:dyDescent="0.25">
      <c r="O643" s="251"/>
      <c r="P643" s="251"/>
    </row>
    <row r="644" spans="15:16" ht="15.75" customHeight="1" x14ac:dyDescent="0.25">
      <c r="O644" s="251"/>
      <c r="P644" s="251"/>
    </row>
    <row r="645" spans="15:16" ht="15.75" customHeight="1" x14ac:dyDescent="0.25">
      <c r="O645" s="251"/>
      <c r="P645" s="251"/>
    </row>
    <row r="646" spans="15:16" ht="15.75" customHeight="1" x14ac:dyDescent="0.25">
      <c r="O646" s="251"/>
      <c r="P646" s="251"/>
    </row>
    <row r="647" spans="15:16" ht="15.75" customHeight="1" x14ac:dyDescent="0.25">
      <c r="O647" s="251"/>
      <c r="P647" s="251"/>
    </row>
    <row r="648" spans="15:16" ht="15.75" customHeight="1" x14ac:dyDescent="0.25">
      <c r="O648" s="251"/>
      <c r="P648" s="251"/>
    </row>
    <row r="649" spans="15:16" ht="15.75" customHeight="1" x14ac:dyDescent="0.25">
      <c r="O649" s="251"/>
      <c r="P649" s="251"/>
    </row>
    <row r="650" spans="15:16" ht="15.75" customHeight="1" x14ac:dyDescent="0.25">
      <c r="O650" s="251"/>
      <c r="P650" s="251"/>
    </row>
    <row r="651" spans="15:16" ht="15.75" customHeight="1" x14ac:dyDescent="0.25">
      <c r="O651" s="251"/>
      <c r="P651" s="251"/>
    </row>
    <row r="652" spans="15:16" ht="15.75" customHeight="1" x14ac:dyDescent="0.25">
      <c r="O652" s="251"/>
      <c r="P652" s="251"/>
    </row>
    <row r="653" spans="15:16" ht="15.75" customHeight="1" x14ac:dyDescent="0.25">
      <c r="O653" s="251"/>
      <c r="P653" s="251"/>
    </row>
    <row r="654" spans="15:16" ht="15.75" customHeight="1" x14ac:dyDescent="0.25">
      <c r="O654" s="251"/>
      <c r="P654" s="251"/>
    </row>
    <row r="655" spans="15:16" ht="15.75" customHeight="1" x14ac:dyDescent="0.25">
      <c r="O655" s="251"/>
      <c r="P655" s="251"/>
    </row>
    <row r="656" spans="15:16" ht="15.75" customHeight="1" x14ac:dyDescent="0.25">
      <c r="O656" s="251"/>
      <c r="P656" s="251"/>
    </row>
    <row r="657" spans="15:16" ht="15.75" customHeight="1" x14ac:dyDescent="0.25">
      <c r="O657" s="251"/>
      <c r="P657" s="251"/>
    </row>
    <row r="658" spans="15:16" ht="15.75" customHeight="1" x14ac:dyDescent="0.25">
      <c r="O658" s="251"/>
      <c r="P658" s="251"/>
    </row>
    <row r="659" spans="15:16" ht="15.75" customHeight="1" x14ac:dyDescent="0.25">
      <c r="O659" s="251"/>
      <c r="P659" s="251"/>
    </row>
    <row r="660" spans="15:16" ht="15.75" customHeight="1" x14ac:dyDescent="0.25">
      <c r="O660" s="251"/>
      <c r="P660" s="251"/>
    </row>
    <row r="661" spans="15:16" ht="15.75" customHeight="1" x14ac:dyDescent="0.25">
      <c r="O661" s="251"/>
      <c r="P661" s="251"/>
    </row>
    <row r="662" spans="15:16" ht="15.75" customHeight="1" x14ac:dyDescent="0.25">
      <c r="O662" s="251"/>
      <c r="P662" s="251"/>
    </row>
    <row r="663" spans="15:16" ht="15.75" customHeight="1" x14ac:dyDescent="0.25">
      <c r="O663" s="251"/>
      <c r="P663" s="251"/>
    </row>
    <row r="664" spans="15:16" ht="15.75" customHeight="1" x14ac:dyDescent="0.25">
      <c r="O664" s="251"/>
      <c r="P664" s="251"/>
    </row>
    <row r="665" spans="15:16" ht="15.75" customHeight="1" x14ac:dyDescent="0.25">
      <c r="O665" s="251"/>
      <c r="P665" s="251"/>
    </row>
    <row r="666" spans="15:16" ht="15.75" customHeight="1" x14ac:dyDescent="0.25">
      <c r="O666" s="251"/>
      <c r="P666" s="251"/>
    </row>
    <row r="667" spans="15:16" ht="15.75" customHeight="1" x14ac:dyDescent="0.25">
      <c r="O667" s="251"/>
      <c r="P667" s="251"/>
    </row>
    <row r="668" spans="15:16" ht="15.75" customHeight="1" x14ac:dyDescent="0.25">
      <c r="O668" s="251"/>
      <c r="P668" s="251"/>
    </row>
    <row r="669" spans="15:16" ht="15.75" customHeight="1" x14ac:dyDescent="0.25">
      <c r="O669" s="251"/>
      <c r="P669" s="251"/>
    </row>
    <row r="670" spans="15:16" ht="15.75" customHeight="1" x14ac:dyDescent="0.25">
      <c r="O670" s="251"/>
      <c r="P670" s="251"/>
    </row>
    <row r="671" spans="15:16" ht="15.75" customHeight="1" x14ac:dyDescent="0.25">
      <c r="O671" s="251"/>
      <c r="P671" s="251"/>
    </row>
    <row r="672" spans="15:16" ht="15.75" customHeight="1" x14ac:dyDescent="0.25">
      <c r="O672" s="251"/>
      <c r="P672" s="251"/>
    </row>
    <row r="673" spans="15:16" ht="15.75" customHeight="1" x14ac:dyDescent="0.25">
      <c r="O673" s="251"/>
      <c r="P673" s="251"/>
    </row>
    <row r="674" spans="15:16" ht="15.75" customHeight="1" x14ac:dyDescent="0.25">
      <c r="O674" s="251"/>
      <c r="P674" s="251"/>
    </row>
    <row r="675" spans="15:16" ht="15.75" customHeight="1" x14ac:dyDescent="0.25">
      <c r="O675" s="251"/>
      <c r="P675" s="251"/>
    </row>
    <row r="676" spans="15:16" ht="15.75" customHeight="1" x14ac:dyDescent="0.25">
      <c r="O676" s="251"/>
      <c r="P676" s="251"/>
    </row>
    <row r="677" spans="15:16" ht="15.75" customHeight="1" x14ac:dyDescent="0.25">
      <c r="O677" s="251"/>
      <c r="P677" s="251"/>
    </row>
    <row r="678" spans="15:16" ht="15.75" customHeight="1" x14ac:dyDescent="0.25">
      <c r="O678" s="251"/>
      <c r="P678" s="251"/>
    </row>
    <row r="679" spans="15:16" ht="15.75" customHeight="1" x14ac:dyDescent="0.25">
      <c r="O679" s="251"/>
      <c r="P679" s="251"/>
    </row>
    <row r="680" spans="15:16" ht="15.75" customHeight="1" x14ac:dyDescent="0.25">
      <c r="O680" s="251"/>
      <c r="P680" s="251"/>
    </row>
    <row r="681" spans="15:16" ht="15.75" customHeight="1" x14ac:dyDescent="0.25">
      <c r="O681" s="251"/>
      <c r="P681" s="251"/>
    </row>
    <row r="682" spans="15:16" ht="15.75" customHeight="1" x14ac:dyDescent="0.25">
      <c r="O682" s="251"/>
      <c r="P682" s="251"/>
    </row>
    <row r="683" spans="15:16" ht="15.75" customHeight="1" x14ac:dyDescent="0.25">
      <c r="O683" s="251"/>
      <c r="P683" s="251"/>
    </row>
    <row r="684" spans="15:16" ht="15.75" customHeight="1" x14ac:dyDescent="0.25">
      <c r="O684" s="251"/>
      <c r="P684" s="251"/>
    </row>
    <row r="685" spans="15:16" ht="15.75" customHeight="1" x14ac:dyDescent="0.25">
      <c r="O685" s="251"/>
      <c r="P685" s="251"/>
    </row>
    <row r="686" spans="15:16" ht="15.75" customHeight="1" x14ac:dyDescent="0.25">
      <c r="O686" s="251"/>
      <c r="P686" s="251"/>
    </row>
    <row r="687" spans="15:16" ht="15.75" customHeight="1" x14ac:dyDescent="0.25">
      <c r="O687" s="251"/>
      <c r="P687" s="251"/>
    </row>
    <row r="688" spans="15:16" ht="15.75" customHeight="1" x14ac:dyDescent="0.25">
      <c r="O688" s="251"/>
      <c r="P688" s="251"/>
    </row>
    <row r="689" spans="15:16" ht="15.75" customHeight="1" x14ac:dyDescent="0.25">
      <c r="O689" s="251"/>
      <c r="P689" s="251"/>
    </row>
    <row r="690" spans="15:16" ht="15.75" customHeight="1" x14ac:dyDescent="0.25">
      <c r="O690" s="251"/>
      <c r="P690" s="251"/>
    </row>
    <row r="691" spans="15:16" ht="15.75" customHeight="1" x14ac:dyDescent="0.25">
      <c r="O691" s="251"/>
      <c r="P691" s="251"/>
    </row>
    <row r="692" spans="15:16" ht="15.75" customHeight="1" x14ac:dyDescent="0.25">
      <c r="O692" s="251"/>
      <c r="P692" s="251"/>
    </row>
    <row r="693" spans="15:16" ht="15.75" customHeight="1" x14ac:dyDescent="0.25">
      <c r="O693" s="251"/>
      <c r="P693" s="251"/>
    </row>
    <row r="694" spans="15:16" ht="15.75" customHeight="1" x14ac:dyDescent="0.25">
      <c r="O694" s="251"/>
      <c r="P694" s="251"/>
    </row>
    <row r="695" spans="15:16" ht="15.75" customHeight="1" x14ac:dyDescent="0.25">
      <c r="O695" s="251"/>
      <c r="P695" s="251"/>
    </row>
    <row r="696" spans="15:16" ht="15.75" customHeight="1" x14ac:dyDescent="0.25">
      <c r="O696" s="251"/>
      <c r="P696" s="251"/>
    </row>
    <row r="697" spans="15:16" ht="15.75" customHeight="1" x14ac:dyDescent="0.25">
      <c r="O697" s="251"/>
      <c r="P697" s="251"/>
    </row>
    <row r="698" spans="15:16" ht="15.75" customHeight="1" x14ac:dyDescent="0.25">
      <c r="O698" s="251"/>
      <c r="P698" s="251"/>
    </row>
    <row r="699" spans="15:16" ht="15.75" customHeight="1" x14ac:dyDescent="0.25">
      <c r="O699" s="251"/>
      <c r="P699" s="251"/>
    </row>
    <row r="700" spans="15:16" ht="15.75" customHeight="1" x14ac:dyDescent="0.25">
      <c r="O700" s="251"/>
      <c r="P700" s="251"/>
    </row>
    <row r="701" spans="15:16" ht="15.75" customHeight="1" x14ac:dyDescent="0.25">
      <c r="O701" s="251"/>
      <c r="P701" s="251"/>
    </row>
    <row r="702" spans="15:16" ht="15.75" customHeight="1" x14ac:dyDescent="0.25">
      <c r="O702" s="251"/>
      <c r="P702" s="251"/>
    </row>
    <row r="703" spans="15:16" ht="15.75" customHeight="1" x14ac:dyDescent="0.25">
      <c r="O703" s="251"/>
      <c r="P703" s="251"/>
    </row>
    <row r="704" spans="15:16" ht="15.75" customHeight="1" x14ac:dyDescent="0.25">
      <c r="O704" s="251"/>
      <c r="P704" s="251"/>
    </row>
    <row r="705" spans="15:16" ht="15.75" customHeight="1" x14ac:dyDescent="0.25">
      <c r="O705" s="251"/>
      <c r="P705" s="251"/>
    </row>
    <row r="706" spans="15:16" ht="15.75" customHeight="1" x14ac:dyDescent="0.25">
      <c r="O706" s="251"/>
      <c r="P706" s="251"/>
    </row>
    <row r="707" spans="15:16" ht="15.75" customHeight="1" x14ac:dyDescent="0.25">
      <c r="O707" s="251"/>
      <c r="P707" s="251"/>
    </row>
    <row r="708" spans="15:16" ht="15.75" customHeight="1" x14ac:dyDescent="0.25">
      <c r="O708" s="251"/>
      <c r="P708" s="251"/>
    </row>
    <row r="709" spans="15:16" ht="15.75" customHeight="1" x14ac:dyDescent="0.25">
      <c r="O709" s="251"/>
      <c r="P709" s="251"/>
    </row>
    <row r="710" spans="15:16" ht="15.75" customHeight="1" x14ac:dyDescent="0.25">
      <c r="O710" s="251"/>
      <c r="P710" s="251"/>
    </row>
    <row r="711" spans="15:16" ht="15.75" customHeight="1" x14ac:dyDescent="0.25">
      <c r="O711" s="251"/>
      <c r="P711" s="251"/>
    </row>
    <row r="712" spans="15:16" ht="15.75" customHeight="1" x14ac:dyDescent="0.25">
      <c r="O712" s="251"/>
      <c r="P712" s="251"/>
    </row>
    <row r="713" spans="15:16" ht="15.75" customHeight="1" x14ac:dyDescent="0.25">
      <c r="O713" s="251"/>
      <c r="P713" s="251"/>
    </row>
    <row r="714" spans="15:16" ht="15.75" customHeight="1" x14ac:dyDescent="0.25">
      <c r="O714" s="251"/>
      <c r="P714" s="251"/>
    </row>
    <row r="715" spans="15:16" ht="15.75" customHeight="1" x14ac:dyDescent="0.25">
      <c r="O715" s="251"/>
      <c r="P715" s="251"/>
    </row>
    <row r="716" spans="15:16" ht="15.75" customHeight="1" x14ac:dyDescent="0.25">
      <c r="O716" s="251"/>
      <c r="P716" s="251"/>
    </row>
    <row r="717" spans="15:16" ht="15.75" customHeight="1" x14ac:dyDescent="0.25">
      <c r="O717" s="251"/>
      <c r="P717" s="251"/>
    </row>
    <row r="718" spans="15:16" ht="15.75" customHeight="1" x14ac:dyDescent="0.25">
      <c r="O718" s="251"/>
      <c r="P718" s="251"/>
    </row>
    <row r="719" spans="15:16" ht="15.75" customHeight="1" x14ac:dyDescent="0.25">
      <c r="O719" s="251"/>
      <c r="P719" s="251"/>
    </row>
    <row r="720" spans="15:16" ht="15.75" customHeight="1" x14ac:dyDescent="0.25">
      <c r="O720" s="251"/>
      <c r="P720" s="251"/>
    </row>
    <row r="721" spans="15:16" ht="15.75" customHeight="1" x14ac:dyDescent="0.25">
      <c r="O721" s="251"/>
      <c r="P721" s="251"/>
    </row>
    <row r="722" spans="15:16" ht="15.75" customHeight="1" x14ac:dyDescent="0.25">
      <c r="O722" s="251"/>
      <c r="P722" s="251"/>
    </row>
    <row r="723" spans="15:16" ht="15.75" customHeight="1" x14ac:dyDescent="0.25">
      <c r="O723" s="251"/>
      <c r="P723" s="251"/>
    </row>
    <row r="724" spans="15:16" ht="15.75" customHeight="1" x14ac:dyDescent="0.25">
      <c r="O724" s="251"/>
      <c r="P724" s="251"/>
    </row>
    <row r="725" spans="15:16" ht="15.75" customHeight="1" x14ac:dyDescent="0.25">
      <c r="O725" s="251"/>
      <c r="P725" s="251"/>
    </row>
    <row r="726" spans="15:16" ht="15.75" customHeight="1" x14ac:dyDescent="0.25">
      <c r="O726" s="251"/>
      <c r="P726" s="251"/>
    </row>
    <row r="727" spans="15:16" ht="15.75" customHeight="1" x14ac:dyDescent="0.25">
      <c r="O727" s="251"/>
      <c r="P727" s="251"/>
    </row>
    <row r="728" spans="15:16" ht="15.75" customHeight="1" x14ac:dyDescent="0.25">
      <c r="O728" s="251"/>
      <c r="P728" s="251"/>
    </row>
    <row r="729" spans="15:16" ht="15.75" customHeight="1" x14ac:dyDescent="0.25">
      <c r="O729" s="251"/>
      <c r="P729" s="251"/>
    </row>
    <row r="730" spans="15:16" ht="15.75" customHeight="1" x14ac:dyDescent="0.25">
      <c r="O730" s="251"/>
      <c r="P730" s="251"/>
    </row>
    <row r="731" spans="15:16" ht="15.75" customHeight="1" x14ac:dyDescent="0.25">
      <c r="O731" s="251"/>
      <c r="P731" s="251"/>
    </row>
    <row r="732" spans="15:16" ht="15.75" customHeight="1" x14ac:dyDescent="0.25">
      <c r="O732" s="251"/>
      <c r="P732" s="251"/>
    </row>
    <row r="733" spans="15:16" ht="15.75" customHeight="1" x14ac:dyDescent="0.25">
      <c r="O733" s="251"/>
      <c r="P733" s="251"/>
    </row>
    <row r="734" spans="15:16" ht="15.75" customHeight="1" x14ac:dyDescent="0.25">
      <c r="O734" s="251"/>
      <c r="P734" s="251"/>
    </row>
    <row r="735" spans="15:16" ht="15.75" customHeight="1" x14ac:dyDescent="0.25">
      <c r="O735" s="251"/>
      <c r="P735" s="251"/>
    </row>
    <row r="736" spans="15:16" ht="15.75" customHeight="1" x14ac:dyDescent="0.25">
      <c r="O736" s="251"/>
      <c r="P736" s="251"/>
    </row>
    <row r="737" spans="15:16" ht="15.75" customHeight="1" x14ac:dyDescent="0.25">
      <c r="O737" s="251"/>
      <c r="P737" s="251"/>
    </row>
    <row r="738" spans="15:16" ht="15.75" customHeight="1" x14ac:dyDescent="0.25">
      <c r="O738" s="251"/>
      <c r="P738" s="251"/>
    </row>
    <row r="739" spans="15:16" ht="15.75" customHeight="1" x14ac:dyDescent="0.25">
      <c r="O739" s="251"/>
      <c r="P739" s="251"/>
    </row>
    <row r="740" spans="15:16" ht="15.75" customHeight="1" x14ac:dyDescent="0.25">
      <c r="O740" s="251"/>
      <c r="P740" s="251"/>
    </row>
    <row r="741" spans="15:16" ht="15.75" customHeight="1" x14ac:dyDescent="0.25">
      <c r="O741" s="251"/>
      <c r="P741" s="251"/>
    </row>
    <row r="742" spans="15:16" ht="15.75" customHeight="1" x14ac:dyDescent="0.25">
      <c r="O742" s="251"/>
      <c r="P742" s="251"/>
    </row>
    <row r="743" spans="15:16" ht="15.75" customHeight="1" x14ac:dyDescent="0.25">
      <c r="O743" s="251"/>
      <c r="P743" s="251"/>
    </row>
    <row r="744" spans="15:16" ht="15.75" customHeight="1" x14ac:dyDescent="0.25">
      <c r="O744" s="251"/>
      <c r="P744" s="251"/>
    </row>
    <row r="745" spans="15:16" ht="15.75" customHeight="1" x14ac:dyDescent="0.25">
      <c r="O745" s="251"/>
      <c r="P745" s="251"/>
    </row>
    <row r="746" spans="15:16" ht="15.75" customHeight="1" x14ac:dyDescent="0.25">
      <c r="O746" s="251"/>
      <c r="P746" s="251"/>
    </row>
    <row r="747" spans="15:16" ht="15.75" customHeight="1" x14ac:dyDescent="0.25">
      <c r="O747" s="251"/>
      <c r="P747" s="251"/>
    </row>
    <row r="748" spans="15:16" ht="15.75" customHeight="1" x14ac:dyDescent="0.25">
      <c r="O748" s="251"/>
      <c r="P748" s="251"/>
    </row>
    <row r="749" spans="15:16" ht="15.75" customHeight="1" x14ac:dyDescent="0.25">
      <c r="O749" s="251"/>
      <c r="P749" s="251"/>
    </row>
    <row r="750" spans="15:16" ht="15.75" customHeight="1" x14ac:dyDescent="0.25">
      <c r="O750" s="251"/>
      <c r="P750" s="251"/>
    </row>
    <row r="751" spans="15:16" ht="15.75" customHeight="1" x14ac:dyDescent="0.25">
      <c r="O751" s="251"/>
      <c r="P751" s="251"/>
    </row>
    <row r="752" spans="15:16" ht="15.75" customHeight="1" x14ac:dyDescent="0.25">
      <c r="O752" s="251"/>
      <c r="P752" s="251"/>
    </row>
    <row r="753" spans="15:16" ht="15.75" customHeight="1" x14ac:dyDescent="0.25">
      <c r="O753" s="251"/>
      <c r="P753" s="251"/>
    </row>
    <row r="754" spans="15:16" ht="15.75" customHeight="1" x14ac:dyDescent="0.25">
      <c r="O754" s="251"/>
      <c r="P754" s="251"/>
    </row>
    <row r="755" spans="15:16" ht="15.75" customHeight="1" x14ac:dyDescent="0.25">
      <c r="O755" s="251"/>
      <c r="P755" s="251"/>
    </row>
    <row r="756" spans="15:16" ht="15.75" customHeight="1" x14ac:dyDescent="0.25">
      <c r="O756" s="251"/>
      <c r="P756" s="251"/>
    </row>
    <row r="757" spans="15:16" ht="15.75" customHeight="1" x14ac:dyDescent="0.25">
      <c r="O757" s="251"/>
      <c r="P757" s="251"/>
    </row>
    <row r="758" spans="15:16" ht="15.75" customHeight="1" x14ac:dyDescent="0.25">
      <c r="O758" s="251"/>
      <c r="P758" s="251"/>
    </row>
    <row r="759" spans="15:16" ht="15.75" customHeight="1" x14ac:dyDescent="0.25">
      <c r="O759" s="251"/>
      <c r="P759" s="251"/>
    </row>
    <row r="760" spans="15:16" ht="15.75" customHeight="1" x14ac:dyDescent="0.25">
      <c r="O760" s="251"/>
      <c r="P760" s="251"/>
    </row>
    <row r="761" spans="15:16" ht="15.75" customHeight="1" x14ac:dyDescent="0.25">
      <c r="O761" s="251"/>
      <c r="P761" s="251"/>
    </row>
    <row r="762" spans="15:16" ht="15.75" customHeight="1" x14ac:dyDescent="0.25">
      <c r="O762" s="251"/>
      <c r="P762" s="251"/>
    </row>
    <row r="763" spans="15:16" ht="15.75" customHeight="1" x14ac:dyDescent="0.25">
      <c r="O763" s="251"/>
      <c r="P763" s="251"/>
    </row>
    <row r="764" spans="15:16" ht="15.75" customHeight="1" x14ac:dyDescent="0.25">
      <c r="O764" s="251"/>
      <c r="P764" s="251"/>
    </row>
    <row r="765" spans="15:16" ht="15.75" customHeight="1" x14ac:dyDescent="0.25">
      <c r="O765" s="251"/>
      <c r="P765" s="251"/>
    </row>
    <row r="766" spans="15:16" ht="15.75" customHeight="1" x14ac:dyDescent="0.25">
      <c r="O766" s="251"/>
      <c r="P766" s="251"/>
    </row>
    <row r="767" spans="15:16" ht="15.75" customHeight="1" x14ac:dyDescent="0.25">
      <c r="O767" s="251"/>
      <c r="P767" s="251"/>
    </row>
    <row r="768" spans="15:16" ht="15.75" customHeight="1" x14ac:dyDescent="0.25">
      <c r="O768" s="251"/>
      <c r="P768" s="251"/>
    </row>
    <row r="769" spans="15:16" ht="15.75" customHeight="1" x14ac:dyDescent="0.25">
      <c r="O769" s="251"/>
      <c r="P769" s="251"/>
    </row>
    <row r="770" spans="15:16" ht="15.75" customHeight="1" x14ac:dyDescent="0.25">
      <c r="O770" s="251"/>
      <c r="P770" s="251"/>
    </row>
    <row r="771" spans="15:16" ht="15.75" customHeight="1" x14ac:dyDescent="0.25">
      <c r="O771" s="251"/>
      <c r="P771" s="251"/>
    </row>
    <row r="772" spans="15:16" ht="15.75" customHeight="1" x14ac:dyDescent="0.25">
      <c r="O772" s="251"/>
      <c r="P772" s="251"/>
    </row>
    <row r="773" spans="15:16" ht="15.75" customHeight="1" x14ac:dyDescent="0.25">
      <c r="O773" s="251"/>
      <c r="P773" s="251"/>
    </row>
    <row r="774" spans="15:16" ht="15.75" customHeight="1" x14ac:dyDescent="0.25">
      <c r="O774" s="251"/>
      <c r="P774" s="251"/>
    </row>
    <row r="775" spans="15:16" ht="15.75" customHeight="1" x14ac:dyDescent="0.25">
      <c r="O775" s="251"/>
      <c r="P775" s="251"/>
    </row>
    <row r="776" spans="15:16" ht="15.75" customHeight="1" x14ac:dyDescent="0.25">
      <c r="O776" s="251"/>
      <c r="P776" s="251"/>
    </row>
    <row r="777" spans="15:16" ht="15.75" customHeight="1" x14ac:dyDescent="0.25">
      <c r="O777" s="251"/>
      <c r="P777" s="251"/>
    </row>
    <row r="778" spans="15:16" ht="15.75" customHeight="1" x14ac:dyDescent="0.25">
      <c r="O778" s="251"/>
      <c r="P778" s="251"/>
    </row>
    <row r="779" spans="15:16" ht="15.75" customHeight="1" x14ac:dyDescent="0.25">
      <c r="O779" s="251"/>
      <c r="P779" s="251"/>
    </row>
    <row r="780" spans="15:16" ht="15.75" customHeight="1" x14ac:dyDescent="0.25">
      <c r="O780" s="251"/>
      <c r="P780" s="251"/>
    </row>
    <row r="781" spans="15:16" ht="15.75" customHeight="1" x14ac:dyDescent="0.25">
      <c r="O781" s="251"/>
      <c r="P781" s="251"/>
    </row>
    <row r="782" spans="15:16" ht="15.75" customHeight="1" x14ac:dyDescent="0.25">
      <c r="O782" s="251"/>
      <c r="P782" s="251"/>
    </row>
    <row r="783" spans="15:16" ht="15.75" customHeight="1" x14ac:dyDescent="0.25">
      <c r="O783" s="251"/>
      <c r="P783" s="251"/>
    </row>
    <row r="784" spans="15:16" ht="15.75" customHeight="1" x14ac:dyDescent="0.25">
      <c r="O784" s="251"/>
      <c r="P784" s="251"/>
    </row>
    <row r="785" spans="15:16" ht="15.75" customHeight="1" x14ac:dyDescent="0.25">
      <c r="O785" s="251"/>
      <c r="P785" s="251"/>
    </row>
    <row r="786" spans="15:16" ht="15.75" customHeight="1" x14ac:dyDescent="0.25">
      <c r="O786" s="251"/>
      <c r="P786" s="251"/>
    </row>
    <row r="787" spans="15:16" ht="15.75" customHeight="1" x14ac:dyDescent="0.25">
      <c r="O787" s="251"/>
      <c r="P787" s="251"/>
    </row>
    <row r="788" spans="15:16" ht="15.75" customHeight="1" x14ac:dyDescent="0.25">
      <c r="O788" s="251"/>
      <c r="P788" s="251"/>
    </row>
    <row r="789" spans="15:16" ht="15.75" customHeight="1" x14ac:dyDescent="0.25">
      <c r="O789" s="251"/>
      <c r="P789" s="251"/>
    </row>
    <row r="790" spans="15:16" ht="15.75" customHeight="1" x14ac:dyDescent="0.25">
      <c r="O790" s="251"/>
      <c r="P790" s="251"/>
    </row>
    <row r="791" spans="15:16" ht="15.75" customHeight="1" x14ac:dyDescent="0.25">
      <c r="O791" s="251"/>
      <c r="P791" s="251"/>
    </row>
    <row r="792" spans="15:16" ht="15.75" customHeight="1" x14ac:dyDescent="0.25">
      <c r="O792" s="251"/>
      <c r="P792" s="251"/>
    </row>
    <row r="793" spans="15:16" ht="15.75" customHeight="1" x14ac:dyDescent="0.25">
      <c r="O793" s="251"/>
      <c r="P793" s="251"/>
    </row>
    <row r="794" spans="15:16" ht="15.75" customHeight="1" x14ac:dyDescent="0.25">
      <c r="O794" s="251"/>
      <c r="P794" s="251"/>
    </row>
    <row r="795" spans="15:16" ht="15.75" customHeight="1" x14ac:dyDescent="0.25">
      <c r="O795" s="251"/>
      <c r="P795" s="251"/>
    </row>
    <row r="796" spans="15:16" ht="15.75" customHeight="1" x14ac:dyDescent="0.25">
      <c r="O796" s="251"/>
      <c r="P796" s="251"/>
    </row>
    <row r="797" spans="15:16" ht="15.75" customHeight="1" x14ac:dyDescent="0.25">
      <c r="O797" s="251"/>
      <c r="P797" s="251"/>
    </row>
    <row r="798" spans="15:16" ht="15.75" customHeight="1" x14ac:dyDescent="0.25">
      <c r="O798" s="251"/>
      <c r="P798" s="251"/>
    </row>
    <row r="799" spans="15:16" ht="15.75" customHeight="1" x14ac:dyDescent="0.25">
      <c r="O799" s="251"/>
      <c r="P799" s="251"/>
    </row>
    <row r="800" spans="15:16" ht="15.75" customHeight="1" x14ac:dyDescent="0.25">
      <c r="O800" s="251"/>
      <c r="P800" s="251"/>
    </row>
    <row r="801" spans="15:16" ht="15.75" customHeight="1" x14ac:dyDescent="0.25">
      <c r="O801" s="251"/>
      <c r="P801" s="251"/>
    </row>
    <row r="802" spans="15:16" ht="15.75" customHeight="1" x14ac:dyDescent="0.25">
      <c r="O802" s="251"/>
      <c r="P802" s="251"/>
    </row>
    <row r="803" spans="15:16" ht="15.75" customHeight="1" x14ac:dyDescent="0.25">
      <c r="O803" s="251"/>
      <c r="P803" s="251"/>
    </row>
    <row r="804" spans="15:16" ht="15.75" customHeight="1" x14ac:dyDescent="0.25">
      <c r="O804" s="251"/>
      <c r="P804" s="251"/>
    </row>
    <row r="805" spans="15:16" ht="15.75" customHeight="1" x14ac:dyDescent="0.25">
      <c r="O805" s="251"/>
      <c r="P805" s="251"/>
    </row>
    <row r="806" spans="15:16" ht="15.75" customHeight="1" x14ac:dyDescent="0.25">
      <c r="O806" s="251"/>
      <c r="P806" s="251"/>
    </row>
    <row r="807" spans="15:16" ht="15.75" customHeight="1" x14ac:dyDescent="0.25">
      <c r="O807" s="251"/>
      <c r="P807" s="251"/>
    </row>
    <row r="808" spans="15:16" ht="15.75" customHeight="1" x14ac:dyDescent="0.25">
      <c r="O808" s="251"/>
      <c r="P808" s="251"/>
    </row>
    <row r="809" spans="15:16" ht="15.75" customHeight="1" x14ac:dyDescent="0.25">
      <c r="O809" s="251"/>
      <c r="P809" s="251"/>
    </row>
    <row r="810" spans="15:16" ht="15.75" customHeight="1" x14ac:dyDescent="0.25">
      <c r="O810" s="251"/>
      <c r="P810" s="251"/>
    </row>
    <row r="811" spans="15:16" ht="15.75" customHeight="1" x14ac:dyDescent="0.25">
      <c r="O811" s="251"/>
      <c r="P811" s="251"/>
    </row>
    <row r="812" spans="15:16" ht="15.75" customHeight="1" x14ac:dyDescent="0.25">
      <c r="O812" s="251"/>
      <c r="P812" s="251"/>
    </row>
    <row r="813" spans="15:16" ht="15.75" customHeight="1" x14ac:dyDescent="0.25">
      <c r="O813" s="251"/>
      <c r="P813" s="251"/>
    </row>
    <row r="814" spans="15:16" ht="15.75" customHeight="1" x14ac:dyDescent="0.25">
      <c r="O814" s="251"/>
      <c r="P814" s="251"/>
    </row>
    <row r="815" spans="15:16" ht="15.75" customHeight="1" x14ac:dyDescent="0.25">
      <c r="O815" s="251"/>
      <c r="P815" s="251"/>
    </row>
    <row r="816" spans="15:16" ht="15.75" customHeight="1" x14ac:dyDescent="0.25">
      <c r="O816" s="251"/>
      <c r="P816" s="251"/>
    </row>
    <row r="817" spans="15:16" ht="15.75" customHeight="1" x14ac:dyDescent="0.25">
      <c r="O817" s="251"/>
      <c r="P817" s="251"/>
    </row>
    <row r="818" spans="15:16" ht="15.75" customHeight="1" x14ac:dyDescent="0.25">
      <c r="O818" s="251"/>
      <c r="P818" s="251"/>
    </row>
    <row r="819" spans="15:16" ht="15.75" customHeight="1" x14ac:dyDescent="0.25">
      <c r="O819" s="251"/>
      <c r="P819" s="251"/>
    </row>
    <row r="820" spans="15:16" ht="15.75" customHeight="1" x14ac:dyDescent="0.25">
      <c r="O820" s="251"/>
      <c r="P820" s="251"/>
    </row>
    <row r="821" spans="15:16" ht="15.75" customHeight="1" x14ac:dyDescent="0.25">
      <c r="O821" s="251"/>
      <c r="P821" s="251"/>
    </row>
    <row r="822" spans="15:16" ht="15.75" customHeight="1" x14ac:dyDescent="0.25">
      <c r="O822" s="251"/>
      <c r="P822" s="251"/>
    </row>
    <row r="823" spans="15:16" ht="15.75" customHeight="1" x14ac:dyDescent="0.25">
      <c r="O823" s="251"/>
      <c r="P823" s="251"/>
    </row>
    <row r="824" spans="15:16" ht="15.75" customHeight="1" x14ac:dyDescent="0.25">
      <c r="O824" s="251"/>
      <c r="P824" s="251"/>
    </row>
    <row r="825" spans="15:16" ht="15.75" customHeight="1" x14ac:dyDescent="0.25">
      <c r="O825" s="251"/>
      <c r="P825" s="251"/>
    </row>
    <row r="826" spans="15:16" ht="15.75" customHeight="1" x14ac:dyDescent="0.25">
      <c r="O826" s="251"/>
      <c r="P826" s="251"/>
    </row>
    <row r="827" spans="15:16" ht="15.75" customHeight="1" x14ac:dyDescent="0.25">
      <c r="O827" s="251"/>
      <c r="P827" s="251"/>
    </row>
    <row r="828" spans="15:16" ht="15.75" customHeight="1" x14ac:dyDescent="0.25">
      <c r="O828" s="251"/>
      <c r="P828" s="251"/>
    </row>
    <row r="829" spans="15:16" ht="15.75" customHeight="1" x14ac:dyDescent="0.25">
      <c r="O829" s="251"/>
      <c r="P829" s="251"/>
    </row>
    <row r="830" spans="15:16" ht="15.75" customHeight="1" x14ac:dyDescent="0.25">
      <c r="O830" s="251"/>
      <c r="P830" s="251"/>
    </row>
    <row r="831" spans="15:16" ht="15.75" customHeight="1" x14ac:dyDescent="0.25">
      <c r="O831" s="251"/>
      <c r="P831" s="251"/>
    </row>
    <row r="832" spans="15:16" ht="15.75" customHeight="1" x14ac:dyDescent="0.25">
      <c r="O832" s="251"/>
      <c r="P832" s="251"/>
    </row>
    <row r="833" spans="15:16" ht="15.75" customHeight="1" x14ac:dyDescent="0.25">
      <c r="O833" s="251"/>
      <c r="P833" s="251"/>
    </row>
    <row r="834" spans="15:16" ht="15.75" customHeight="1" x14ac:dyDescent="0.25">
      <c r="O834" s="251"/>
      <c r="P834" s="251"/>
    </row>
    <row r="835" spans="15:16" ht="15.75" customHeight="1" x14ac:dyDescent="0.25">
      <c r="O835" s="251"/>
      <c r="P835" s="251"/>
    </row>
    <row r="836" spans="15:16" ht="15.75" customHeight="1" x14ac:dyDescent="0.25">
      <c r="O836" s="251"/>
      <c r="P836" s="251"/>
    </row>
    <row r="837" spans="15:16" ht="15.75" customHeight="1" x14ac:dyDescent="0.25">
      <c r="O837" s="251"/>
      <c r="P837" s="251"/>
    </row>
    <row r="838" spans="15:16" ht="15.75" customHeight="1" x14ac:dyDescent="0.25">
      <c r="O838" s="251"/>
      <c r="P838" s="251"/>
    </row>
    <row r="839" spans="15:16" ht="15.75" customHeight="1" x14ac:dyDescent="0.25">
      <c r="O839" s="251"/>
      <c r="P839" s="251"/>
    </row>
    <row r="840" spans="15:16" ht="15.75" customHeight="1" x14ac:dyDescent="0.25">
      <c r="O840" s="251"/>
      <c r="P840" s="251"/>
    </row>
    <row r="841" spans="15:16" ht="15.75" customHeight="1" x14ac:dyDescent="0.25">
      <c r="O841" s="251"/>
      <c r="P841" s="251"/>
    </row>
    <row r="842" spans="15:16" ht="15.75" customHeight="1" x14ac:dyDescent="0.25">
      <c r="O842" s="251"/>
      <c r="P842" s="251"/>
    </row>
    <row r="843" spans="15:16" ht="15.75" customHeight="1" x14ac:dyDescent="0.25">
      <c r="O843" s="251"/>
      <c r="P843" s="251"/>
    </row>
    <row r="844" spans="15:16" ht="15.75" customHeight="1" x14ac:dyDescent="0.25">
      <c r="O844" s="251"/>
      <c r="P844" s="251"/>
    </row>
    <row r="845" spans="15:16" ht="15.75" customHeight="1" x14ac:dyDescent="0.25">
      <c r="O845" s="251"/>
      <c r="P845" s="251"/>
    </row>
    <row r="846" spans="15:16" ht="15.75" customHeight="1" x14ac:dyDescent="0.25">
      <c r="O846" s="251"/>
      <c r="P846" s="251"/>
    </row>
    <row r="847" spans="15:16" ht="15.75" customHeight="1" x14ac:dyDescent="0.25">
      <c r="O847" s="251"/>
      <c r="P847" s="251"/>
    </row>
    <row r="848" spans="15:16" ht="15.75" customHeight="1" x14ac:dyDescent="0.25">
      <c r="O848" s="251"/>
      <c r="P848" s="251"/>
    </row>
    <row r="849" spans="15:16" ht="15.75" customHeight="1" x14ac:dyDescent="0.25">
      <c r="O849" s="251"/>
      <c r="P849" s="251"/>
    </row>
    <row r="850" spans="15:16" ht="15.75" customHeight="1" x14ac:dyDescent="0.25">
      <c r="O850" s="251"/>
      <c r="P850" s="251"/>
    </row>
    <row r="851" spans="15:16" ht="15.75" customHeight="1" x14ac:dyDescent="0.25">
      <c r="O851" s="251"/>
      <c r="P851" s="251"/>
    </row>
    <row r="852" spans="15:16" ht="15.75" customHeight="1" x14ac:dyDescent="0.25">
      <c r="O852" s="251"/>
      <c r="P852" s="251"/>
    </row>
    <row r="853" spans="15:16" ht="15.75" customHeight="1" x14ac:dyDescent="0.25">
      <c r="O853" s="251"/>
      <c r="P853" s="251"/>
    </row>
    <row r="854" spans="15:16" ht="15.75" customHeight="1" x14ac:dyDescent="0.25">
      <c r="O854" s="251"/>
      <c r="P854" s="251"/>
    </row>
    <row r="855" spans="15:16" ht="15.75" customHeight="1" x14ac:dyDescent="0.25">
      <c r="O855" s="251"/>
      <c r="P855" s="251"/>
    </row>
    <row r="856" spans="15:16" ht="15.75" customHeight="1" x14ac:dyDescent="0.25">
      <c r="O856" s="251"/>
      <c r="P856" s="251"/>
    </row>
    <row r="857" spans="15:16" ht="15.75" customHeight="1" x14ac:dyDescent="0.25">
      <c r="O857" s="251"/>
      <c r="P857" s="251"/>
    </row>
    <row r="858" spans="15:16" ht="15.75" customHeight="1" x14ac:dyDescent="0.25">
      <c r="O858" s="251"/>
      <c r="P858" s="251"/>
    </row>
    <row r="859" spans="15:16" ht="15.75" customHeight="1" x14ac:dyDescent="0.25">
      <c r="O859" s="251"/>
      <c r="P859" s="251"/>
    </row>
    <row r="860" spans="15:16" ht="15.75" customHeight="1" x14ac:dyDescent="0.25">
      <c r="O860" s="251"/>
      <c r="P860" s="251"/>
    </row>
    <row r="861" spans="15:16" ht="15.75" customHeight="1" x14ac:dyDescent="0.25">
      <c r="O861" s="251"/>
      <c r="P861" s="251"/>
    </row>
    <row r="862" spans="15:16" ht="15.75" customHeight="1" x14ac:dyDescent="0.25">
      <c r="O862" s="251"/>
      <c r="P862" s="251"/>
    </row>
    <row r="863" spans="15:16" ht="15.75" customHeight="1" x14ac:dyDescent="0.25">
      <c r="O863" s="251"/>
      <c r="P863" s="251"/>
    </row>
    <row r="864" spans="15:16" ht="15.75" customHeight="1" x14ac:dyDescent="0.25">
      <c r="O864" s="251"/>
      <c r="P864" s="251"/>
    </row>
    <row r="865" spans="15:16" ht="15.75" customHeight="1" x14ac:dyDescent="0.25">
      <c r="O865" s="251"/>
      <c r="P865" s="251"/>
    </row>
    <row r="866" spans="15:16" ht="15.75" customHeight="1" x14ac:dyDescent="0.25">
      <c r="O866" s="251"/>
      <c r="P866" s="251"/>
    </row>
    <row r="867" spans="15:16" ht="15.75" customHeight="1" x14ac:dyDescent="0.25">
      <c r="O867" s="251"/>
      <c r="P867" s="251"/>
    </row>
    <row r="868" spans="15:16" ht="15.75" customHeight="1" x14ac:dyDescent="0.25">
      <c r="O868" s="251"/>
      <c r="P868" s="251"/>
    </row>
    <row r="869" spans="15:16" ht="15.75" customHeight="1" x14ac:dyDescent="0.25">
      <c r="O869" s="251"/>
      <c r="P869" s="251"/>
    </row>
    <row r="870" spans="15:16" ht="15.75" customHeight="1" x14ac:dyDescent="0.25">
      <c r="O870" s="251"/>
      <c r="P870" s="251"/>
    </row>
    <row r="871" spans="15:16" ht="15.75" customHeight="1" x14ac:dyDescent="0.25">
      <c r="O871" s="251"/>
      <c r="P871" s="251"/>
    </row>
    <row r="872" spans="15:16" ht="15.75" customHeight="1" x14ac:dyDescent="0.25">
      <c r="O872" s="251"/>
      <c r="P872" s="251"/>
    </row>
    <row r="873" spans="15:16" ht="15.75" customHeight="1" x14ac:dyDescent="0.25">
      <c r="O873" s="251"/>
      <c r="P873" s="251"/>
    </row>
    <row r="874" spans="15:16" ht="15.75" customHeight="1" x14ac:dyDescent="0.25">
      <c r="O874" s="251"/>
      <c r="P874" s="251"/>
    </row>
    <row r="875" spans="15:16" ht="15.75" customHeight="1" x14ac:dyDescent="0.25">
      <c r="O875" s="251"/>
      <c r="P875" s="251"/>
    </row>
    <row r="876" spans="15:16" ht="15.75" customHeight="1" x14ac:dyDescent="0.25">
      <c r="O876" s="251"/>
      <c r="P876" s="251"/>
    </row>
    <row r="877" spans="15:16" ht="15.75" customHeight="1" x14ac:dyDescent="0.25">
      <c r="O877" s="251"/>
      <c r="P877" s="251"/>
    </row>
    <row r="878" spans="15:16" ht="15.75" customHeight="1" x14ac:dyDescent="0.25">
      <c r="O878" s="251"/>
      <c r="P878" s="251"/>
    </row>
    <row r="879" spans="15:16" ht="15.75" customHeight="1" x14ac:dyDescent="0.25">
      <c r="O879" s="251"/>
      <c r="P879" s="251"/>
    </row>
    <row r="880" spans="15:16" ht="15.75" customHeight="1" x14ac:dyDescent="0.25">
      <c r="O880" s="251"/>
      <c r="P880" s="251"/>
    </row>
    <row r="881" spans="15:16" ht="15.75" customHeight="1" x14ac:dyDescent="0.25">
      <c r="O881" s="251"/>
      <c r="P881" s="251"/>
    </row>
    <row r="882" spans="15:16" ht="15.75" customHeight="1" x14ac:dyDescent="0.25">
      <c r="O882" s="251"/>
      <c r="P882" s="251"/>
    </row>
    <row r="883" spans="15:16" ht="15.75" customHeight="1" x14ac:dyDescent="0.25">
      <c r="O883" s="251"/>
      <c r="P883" s="251"/>
    </row>
    <row r="884" spans="15:16" ht="15.75" customHeight="1" x14ac:dyDescent="0.25">
      <c r="O884" s="251"/>
      <c r="P884" s="251"/>
    </row>
    <row r="885" spans="15:16" ht="15.75" customHeight="1" x14ac:dyDescent="0.25">
      <c r="O885" s="251"/>
      <c r="P885" s="251"/>
    </row>
    <row r="886" spans="15:16" ht="15.75" customHeight="1" x14ac:dyDescent="0.25">
      <c r="O886" s="251"/>
      <c r="P886" s="251"/>
    </row>
    <row r="887" spans="15:16" ht="15.75" customHeight="1" x14ac:dyDescent="0.25">
      <c r="O887" s="251"/>
      <c r="P887" s="251"/>
    </row>
    <row r="888" spans="15:16" ht="15.75" customHeight="1" x14ac:dyDescent="0.25">
      <c r="O888" s="251"/>
      <c r="P888" s="251"/>
    </row>
    <row r="889" spans="15:16" ht="15.75" customHeight="1" x14ac:dyDescent="0.25">
      <c r="O889" s="251"/>
      <c r="P889" s="251"/>
    </row>
    <row r="890" spans="15:16" ht="15.75" customHeight="1" x14ac:dyDescent="0.25">
      <c r="O890" s="251"/>
      <c r="P890" s="251"/>
    </row>
    <row r="891" spans="15:16" ht="15.75" customHeight="1" x14ac:dyDescent="0.25">
      <c r="O891" s="251"/>
      <c r="P891" s="251"/>
    </row>
    <row r="892" spans="15:16" ht="15.75" customHeight="1" x14ac:dyDescent="0.25">
      <c r="O892" s="251"/>
      <c r="P892" s="251"/>
    </row>
    <row r="893" spans="15:16" ht="15.75" customHeight="1" x14ac:dyDescent="0.25">
      <c r="O893" s="251"/>
      <c r="P893" s="251"/>
    </row>
    <row r="894" spans="15:16" ht="15.75" customHeight="1" x14ac:dyDescent="0.25">
      <c r="O894" s="251"/>
      <c r="P894" s="251"/>
    </row>
    <row r="895" spans="15:16" ht="15.75" customHeight="1" x14ac:dyDescent="0.25">
      <c r="O895" s="251"/>
      <c r="P895" s="251"/>
    </row>
    <row r="896" spans="15:16" ht="15.75" customHeight="1" x14ac:dyDescent="0.25">
      <c r="O896" s="251"/>
      <c r="P896" s="251"/>
    </row>
    <row r="897" spans="15:16" ht="15.75" customHeight="1" x14ac:dyDescent="0.25">
      <c r="O897" s="251"/>
      <c r="P897" s="251"/>
    </row>
    <row r="898" spans="15:16" ht="15.75" customHeight="1" x14ac:dyDescent="0.25">
      <c r="O898" s="251"/>
      <c r="P898" s="251"/>
    </row>
    <row r="899" spans="15:16" ht="15.75" customHeight="1" x14ac:dyDescent="0.25">
      <c r="O899" s="251"/>
      <c r="P899" s="251"/>
    </row>
    <row r="900" spans="15:16" ht="15.75" customHeight="1" x14ac:dyDescent="0.25">
      <c r="O900" s="251"/>
      <c r="P900" s="251"/>
    </row>
    <row r="901" spans="15:16" ht="15.75" customHeight="1" x14ac:dyDescent="0.25">
      <c r="O901" s="251"/>
      <c r="P901" s="251"/>
    </row>
    <row r="902" spans="15:16" ht="15.75" customHeight="1" x14ac:dyDescent="0.25">
      <c r="O902" s="251"/>
      <c r="P902" s="251"/>
    </row>
    <row r="903" spans="15:16" ht="15.75" customHeight="1" x14ac:dyDescent="0.25">
      <c r="O903" s="251"/>
      <c r="P903" s="251"/>
    </row>
    <row r="904" spans="15:16" ht="15.75" customHeight="1" x14ac:dyDescent="0.25">
      <c r="O904" s="251"/>
      <c r="P904" s="251"/>
    </row>
    <row r="905" spans="15:16" ht="15.75" customHeight="1" x14ac:dyDescent="0.25">
      <c r="O905" s="251"/>
      <c r="P905" s="251"/>
    </row>
    <row r="906" spans="15:16" ht="15.75" customHeight="1" x14ac:dyDescent="0.25">
      <c r="O906" s="251"/>
      <c r="P906" s="251"/>
    </row>
    <row r="907" spans="15:16" ht="15.75" customHeight="1" x14ac:dyDescent="0.25">
      <c r="O907" s="251"/>
      <c r="P907" s="251"/>
    </row>
    <row r="908" spans="15:16" ht="15.75" customHeight="1" x14ac:dyDescent="0.25">
      <c r="O908" s="251"/>
      <c r="P908" s="251"/>
    </row>
    <row r="909" spans="15:16" ht="15.75" customHeight="1" x14ac:dyDescent="0.25">
      <c r="O909" s="251"/>
      <c r="P909" s="251"/>
    </row>
    <row r="910" spans="15:16" ht="15.75" customHeight="1" x14ac:dyDescent="0.25">
      <c r="O910" s="251"/>
      <c r="P910" s="251"/>
    </row>
    <row r="911" spans="15:16" ht="15.75" customHeight="1" x14ac:dyDescent="0.25">
      <c r="O911" s="251"/>
      <c r="P911" s="251"/>
    </row>
    <row r="912" spans="15:16" ht="15.75" customHeight="1" x14ac:dyDescent="0.25">
      <c r="O912" s="251"/>
      <c r="P912" s="251"/>
    </row>
    <row r="913" spans="15:16" ht="15.75" customHeight="1" x14ac:dyDescent="0.25">
      <c r="O913" s="251"/>
      <c r="P913" s="251"/>
    </row>
    <row r="914" spans="15:16" ht="15.75" customHeight="1" x14ac:dyDescent="0.25">
      <c r="O914" s="251"/>
      <c r="P914" s="251"/>
    </row>
    <row r="915" spans="15:16" ht="15.75" customHeight="1" x14ac:dyDescent="0.25">
      <c r="O915" s="251"/>
      <c r="P915" s="251"/>
    </row>
    <row r="916" spans="15:16" ht="15.75" customHeight="1" x14ac:dyDescent="0.25">
      <c r="O916" s="251"/>
      <c r="P916" s="251"/>
    </row>
    <row r="917" spans="15:16" ht="15.75" customHeight="1" x14ac:dyDescent="0.25">
      <c r="O917" s="251"/>
      <c r="P917" s="251"/>
    </row>
    <row r="918" spans="15:16" ht="15.75" customHeight="1" x14ac:dyDescent="0.25">
      <c r="O918" s="251"/>
      <c r="P918" s="251"/>
    </row>
    <row r="919" spans="15:16" ht="15.75" customHeight="1" x14ac:dyDescent="0.25">
      <c r="O919" s="251"/>
      <c r="P919" s="251"/>
    </row>
    <row r="920" spans="15:16" ht="15.75" customHeight="1" x14ac:dyDescent="0.25">
      <c r="O920" s="251"/>
      <c r="P920" s="251"/>
    </row>
    <row r="921" spans="15:16" ht="15.75" customHeight="1" x14ac:dyDescent="0.25">
      <c r="O921" s="251"/>
      <c r="P921" s="251"/>
    </row>
    <row r="922" spans="15:16" ht="15.75" customHeight="1" x14ac:dyDescent="0.25">
      <c r="O922" s="251"/>
      <c r="P922" s="251"/>
    </row>
    <row r="923" spans="15:16" ht="15.75" customHeight="1" x14ac:dyDescent="0.25">
      <c r="O923" s="251"/>
      <c r="P923" s="251"/>
    </row>
    <row r="924" spans="15:16" ht="15.75" customHeight="1" x14ac:dyDescent="0.25">
      <c r="O924" s="251"/>
      <c r="P924" s="251"/>
    </row>
    <row r="925" spans="15:16" ht="15.75" customHeight="1" x14ac:dyDescent="0.25">
      <c r="O925" s="251"/>
      <c r="P925" s="251"/>
    </row>
    <row r="926" spans="15:16" ht="15.75" customHeight="1" x14ac:dyDescent="0.25">
      <c r="O926" s="251"/>
      <c r="P926" s="251"/>
    </row>
    <row r="927" spans="15:16" ht="15.75" customHeight="1" x14ac:dyDescent="0.25">
      <c r="O927" s="251"/>
      <c r="P927" s="251"/>
    </row>
    <row r="928" spans="15:16" ht="15.75" customHeight="1" x14ac:dyDescent="0.25">
      <c r="O928" s="251"/>
      <c r="P928" s="251"/>
    </row>
    <row r="929" spans="15:16" ht="15.75" customHeight="1" x14ac:dyDescent="0.25">
      <c r="O929" s="251"/>
      <c r="P929" s="251"/>
    </row>
    <row r="930" spans="15:16" ht="15.75" customHeight="1" x14ac:dyDescent="0.25">
      <c r="O930" s="251"/>
      <c r="P930" s="251"/>
    </row>
    <row r="931" spans="15:16" ht="15.75" customHeight="1" x14ac:dyDescent="0.25">
      <c r="O931" s="251"/>
      <c r="P931" s="251"/>
    </row>
    <row r="932" spans="15:16" ht="15.75" customHeight="1" x14ac:dyDescent="0.25">
      <c r="O932" s="251"/>
      <c r="P932" s="251"/>
    </row>
    <row r="933" spans="15:16" ht="15.75" customHeight="1" x14ac:dyDescent="0.25">
      <c r="O933" s="251"/>
      <c r="P933" s="251"/>
    </row>
    <row r="934" spans="15:16" ht="15.75" customHeight="1" x14ac:dyDescent="0.25">
      <c r="O934" s="251"/>
      <c r="P934" s="251"/>
    </row>
    <row r="935" spans="15:16" ht="15.75" customHeight="1" x14ac:dyDescent="0.25">
      <c r="O935" s="251"/>
      <c r="P935" s="251"/>
    </row>
    <row r="936" spans="15:16" ht="15.75" customHeight="1" x14ac:dyDescent="0.25">
      <c r="O936" s="251"/>
      <c r="P936" s="251"/>
    </row>
    <row r="937" spans="15:16" ht="15.75" customHeight="1" x14ac:dyDescent="0.25">
      <c r="O937" s="251"/>
      <c r="P937" s="251"/>
    </row>
    <row r="938" spans="15:16" ht="15.75" customHeight="1" x14ac:dyDescent="0.25">
      <c r="O938" s="251"/>
      <c r="P938" s="251"/>
    </row>
    <row r="939" spans="15:16" ht="15.75" customHeight="1" x14ac:dyDescent="0.25">
      <c r="O939" s="251"/>
      <c r="P939" s="251"/>
    </row>
    <row r="940" spans="15:16" ht="15.75" customHeight="1" x14ac:dyDescent="0.25">
      <c r="O940" s="251"/>
      <c r="P940" s="251"/>
    </row>
    <row r="941" spans="15:16" ht="15.75" customHeight="1" x14ac:dyDescent="0.25">
      <c r="O941" s="251"/>
      <c r="P941" s="251"/>
    </row>
    <row r="942" spans="15:16" ht="15.75" customHeight="1" x14ac:dyDescent="0.25">
      <c r="O942" s="251"/>
      <c r="P942" s="251"/>
    </row>
    <row r="943" spans="15:16" ht="15.75" customHeight="1" x14ac:dyDescent="0.25">
      <c r="O943" s="251"/>
      <c r="P943" s="251"/>
    </row>
    <row r="944" spans="15:16" ht="15.75" customHeight="1" x14ac:dyDescent="0.25">
      <c r="O944" s="251"/>
      <c r="P944" s="251"/>
    </row>
    <row r="945" spans="15:16" ht="15.75" customHeight="1" x14ac:dyDescent="0.25">
      <c r="O945" s="251"/>
      <c r="P945" s="251"/>
    </row>
    <row r="946" spans="15:16" ht="15.75" customHeight="1" x14ac:dyDescent="0.25">
      <c r="O946" s="251"/>
      <c r="P946" s="251"/>
    </row>
    <row r="947" spans="15:16" ht="15.75" customHeight="1" x14ac:dyDescent="0.25">
      <c r="O947" s="251"/>
      <c r="P947" s="251"/>
    </row>
    <row r="948" spans="15:16" ht="15.75" customHeight="1" x14ac:dyDescent="0.25">
      <c r="O948" s="251"/>
      <c r="P948" s="251"/>
    </row>
    <row r="949" spans="15:16" ht="15.75" customHeight="1" x14ac:dyDescent="0.25">
      <c r="O949" s="251"/>
      <c r="P949" s="251"/>
    </row>
    <row r="950" spans="15:16" ht="15.75" customHeight="1" x14ac:dyDescent="0.25">
      <c r="O950" s="251"/>
      <c r="P950" s="251"/>
    </row>
    <row r="951" spans="15:16" ht="15.75" customHeight="1" x14ac:dyDescent="0.25">
      <c r="O951" s="251"/>
      <c r="P951" s="251"/>
    </row>
    <row r="952" spans="15:16" ht="15.75" customHeight="1" x14ac:dyDescent="0.25">
      <c r="O952" s="251"/>
      <c r="P952" s="251"/>
    </row>
    <row r="953" spans="15:16" ht="15.75" customHeight="1" x14ac:dyDescent="0.25">
      <c r="O953" s="251"/>
      <c r="P953" s="251"/>
    </row>
    <row r="954" spans="15:16" ht="15.75" customHeight="1" x14ac:dyDescent="0.25">
      <c r="O954" s="251"/>
      <c r="P954" s="251"/>
    </row>
    <row r="955" spans="15:16" ht="15.75" customHeight="1" x14ac:dyDescent="0.25">
      <c r="O955" s="251"/>
      <c r="P955" s="251"/>
    </row>
    <row r="956" spans="15:16" ht="15.75" customHeight="1" x14ac:dyDescent="0.25">
      <c r="O956" s="251"/>
      <c r="P956" s="251"/>
    </row>
    <row r="957" spans="15:16" ht="15.75" customHeight="1" x14ac:dyDescent="0.25">
      <c r="O957" s="251"/>
      <c r="P957" s="251"/>
    </row>
    <row r="958" spans="15:16" ht="15.75" customHeight="1" x14ac:dyDescent="0.25">
      <c r="O958" s="251"/>
      <c r="P958" s="251"/>
    </row>
    <row r="959" spans="15:16" ht="15.75" customHeight="1" x14ac:dyDescent="0.25">
      <c r="O959" s="251"/>
      <c r="P959" s="251"/>
    </row>
    <row r="960" spans="15:16" ht="15.75" customHeight="1" x14ac:dyDescent="0.25">
      <c r="O960" s="251"/>
      <c r="P960" s="251"/>
    </row>
    <row r="961" spans="15:16" ht="15.75" customHeight="1" x14ac:dyDescent="0.25">
      <c r="O961" s="251"/>
      <c r="P961" s="251"/>
    </row>
    <row r="962" spans="15:16" ht="15.75" customHeight="1" x14ac:dyDescent="0.25">
      <c r="O962" s="251"/>
      <c r="P962" s="251"/>
    </row>
    <row r="963" spans="15:16" ht="15.75" customHeight="1" x14ac:dyDescent="0.25">
      <c r="O963" s="251"/>
      <c r="P963" s="251"/>
    </row>
    <row r="964" spans="15:16" ht="15.75" customHeight="1" x14ac:dyDescent="0.25">
      <c r="O964" s="251"/>
      <c r="P964" s="251"/>
    </row>
    <row r="965" spans="15:16" ht="15.75" customHeight="1" x14ac:dyDescent="0.25">
      <c r="O965" s="251"/>
      <c r="P965" s="251"/>
    </row>
    <row r="966" spans="15:16" ht="15.75" customHeight="1" x14ac:dyDescent="0.25">
      <c r="O966" s="251"/>
      <c r="P966" s="251"/>
    </row>
    <row r="967" spans="15:16" ht="15.75" customHeight="1" x14ac:dyDescent="0.25">
      <c r="O967" s="251"/>
      <c r="P967" s="251"/>
    </row>
    <row r="968" spans="15:16" ht="15.75" customHeight="1" x14ac:dyDescent="0.25">
      <c r="O968" s="251"/>
      <c r="P968" s="251"/>
    </row>
    <row r="969" spans="15:16" ht="15.75" customHeight="1" x14ac:dyDescent="0.25">
      <c r="O969" s="251"/>
      <c r="P969" s="251"/>
    </row>
    <row r="970" spans="15:16" ht="15.75" customHeight="1" x14ac:dyDescent="0.25">
      <c r="O970" s="251"/>
      <c r="P970" s="251"/>
    </row>
    <row r="971" spans="15:16" ht="15.75" customHeight="1" x14ac:dyDescent="0.25">
      <c r="O971" s="251"/>
      <c r="P971" s="251"/>
    </row>
    <row r="972" spans="15:16" ht="15.75" customHeight="1" x14ac:dyDescent="0.25">
      <c r="O972" s="251"/>
      <c r="P972" s="251"/>
    </row>
    <row r="973" spans="15:16" ht="15.75" customHeight="1" x14ac:dyDescent="0.25">
      <c r="O973" s="251"/>
      <c r="P973" s="251"/>
    </row>
    <row r="974" spans="15:16" ht="15.75" customHeight="1" x14ac:dyDescent="0.25">
      <c r="O974" s="251"/>
      <c r="P974" s="251"/>
    </row>
    <row r="975" spans="15:16" ht="15.75" customHeight="1" x14ac:dyDescent="0.25">
      <c r="O975" s="251"/>
      <c r="P975" s="251"/>
    </row>
    <row r="976" spans="15:16" ht="15.75" customHeight="1" x14ac:dyDescent="0.25">
      <c r="O976" s="251"/>
      <c r="P976" s="251"/>
    </row>
    <row r="977" spans="15:16" ht="15.75" customHeight="1" x14ac:dyDescent="0.25">
      <c r="O977" s="251"/>
      <c r="P977" s="251"/>
    </row>
    <row r="978" spans="15:16" ht="15.75" customHeight="1" x14ac:dyDescent="0.25">
      <c r="O978" s="251"/>
      <c r="P978" s="251"/>
    </row>
    <row r="979" spans="15:16" ht="15.75" customHeight="1" x14ac:dyDescent="0.25">
      <c r="O979" s="251"/>
      <c r="P979" s="251"/>
    </row>
    <row r="980" spans="15:16" ht="15.75" customHeight="1" x14ac:dyDescent="0.25">
      <c r="O980" s="251"/>
      <c r="P980" s="251"/>
    </row>
    <row r="981" spans="15:16" ht="15.75" customHeight="1" x14ac:dyDescent="0.25">
      <c r="O981" s="251"/>
      <c r="P981" s="251"/>
    </row>
    <row r="982" spans="15:16" ht="15.75" customHeight="1" x14ac:dyDescent="0.25">
      <c r="O982" s="251"/>
      <c r="P982" s="251"/>
    </row>
    <row r="983" spans="15:16" ht="15.75" customHeight="1" x14ac:dyDescent="0.25">
      <c r="O983" s="251"/>
      <c r="P983" s="251"/>
    </row>
    <row r="984" spans="15:16" ht="15.75" customHeight="1" x14ac:dyDescent="0.25">
      <c r="O984" s="251"/>
      <c r="P984" s="251"/>
    </row>
    <row r="985" spans="15:16" ht="15.75" customHeight="1" x14ac:dyDescent="0.25">
      <c r="O985" s="251"/>
      <c r="P985" s="251"/>
    </row>
    <row r="986" spans="15:16" ht="15.75" customHeight="1" x14ac:dyDescent="0.25">
      <c r="O986" s="251"/>
      <c r="P986" s="251"/>
    </row>
    <row r="987" spans="15:16" ht="15.75" customHeight="1" x14ac:dyDescent="0.25">
      <c r="O987" s="251"/>
      <c r="P987" s="251"/>
    </row>
    <row r="988" spans="15:16" ht="15.75" customHeight="1" x14ac:dyDescent="0.25">
      <c r="O988" s="251"/>
      <c r="P988" s="251"/>
    </row>
    <row r="989" spans="15:16" ht="15.75" customHeight="1" x14ac:dyDescent="0.25">
      <c r="O989" s="251"/>
      <c r="P989" s="251"/>
    </row>
    <row r="990" spans="15:16" ht="15.75" customHeight="1" x14ac:dyDescent="0.25">
      <c r="O990" s="251"/>
      <c r="P990" s="251"/>
    </row>
    <row r="991" spans="15:16" ht="15.75" customHeight="1" x14ac:dyDescent="0.25">
      <c r="O991" s="251"/>
      <c r="P991" s="251"/>
    </row>
    <row r="992" spans="15:16" ht="15.75" customHeight="1" x14ac:dyDescent="0.25">
      <c r="O992" s="251"/>
      <c r="P992" s="251"/>
    </row>
    <row r="993" spans="15:16" ht="15.75" customHeight="1" x14ac:dyDescent="0.25">
      <c r="O993" s="251"/>
      <c r="P993" s="251"/>
    </row>
    <row r="994" spans="15:16" ht="15.75" customHeight="1" x14ac:dyDescent="0.25">
      <c r="O994" s="251"/>
      <c r="P994" s="251"/>
    </row>
    <row r="995" spans="15:16" ht="15.75" customHeight="1" x14ac:dyDescent="0.25">
      <c r="O995" s="251"/>
      <c r="P995" s="251"/>
    </row>
    <row r="996" spans="15:16" ht="15.75" customHeight="1" x14ac:dyDescent="0.25">
      <c r="O996" s="251"/>
      <c r="P996" s="251"/>
    </row>
    <row r="997" spans="15:16" ht="15.75" customHeight="1" x14ac:dyDescent="0.25">
      <c r="O997" s="251"/>
      <c r="P997" s="251"/>
    </row>
    <row r="998" spans="15:16" ht="15.75" customHeight="1" x14ac:dyDescent="0.25">
      <c r="O998" s="251"/>
      <c r="P998" s="251"/>
    </row>
    <row r="999" spans="15:16" ht="15.75" customHeight="1" x14ac:dyDescent="0.25">
      <c r="O999" s="251"/>
      <c r="P999" s="251"/>
    </row>
    <row r="1000" spans="15:16" ht="15.75" customHeight="1" x14ac:dyDescent="0.25">
      <c r="O1000" s="251"/>
      <c r="P1000" s="251"/>
    </row>
  </sheetData>
  <mergeCells count="6">
    <mergeCell ref="B34:E34"/>
    <mergeCell ref="N3:P3"/>
    <mergeCell ref="R3:T3"/>
    <mergeCell ref="A4:G4"/>
    <mergeCell ref="A6:G6"/>
    <mergeCell ref="B29:E29"/>
  </mergeCells>
  <pageMargins left="0.511811024" right="0.511811024" top="0.78740157499999996" bottom="0.78740157499999996" header="0" footer="0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E2D77-6B3C-456A-A8AF-6BC884E06931}">
  <dimension ref="A1:Z1000"/>
  <sheetViews>
    <sheetView showGridLines="0" workbookViewId="0">
      <pane ySplit="6" topLeftCell="A7" activePane="bottomLeft" state="frozen"/>
      <selection activeCell="B9" sqref="B9:F9"/>
      <selection pane="bottomLeft" activeCell="B9" sqref="B9:F9"/>
    </sheetView>
  </sheetViews>
  <sheetFormatPr defaultColWidth="14.42578125" defaultRowHeight="15" customHeight="1" x14ac:dyDescent="0.25"/>
  <cols>
    <col min="1" max="1" width="19.42578125" customWidth="1"/>
    <col min="2" max="2" width="17.42578125" customWidth="1"/>
    <col min="3" max="3" width="18.42578125" customWidth="1"/>
    <col min="4" max="4" width="9.140625" customWidth="1"/>
    <col min="5" max="5" width="15.28515625" customWidth="1"/>
    <col min="6" max="6" width="16.85546875" customWidth="1"/>
    <col min="7" max="7" width="22.28515625" customWidth="1"/>
    <col min="8" max="8" width="19.5703125" customWidth="1"/>
    <col min="9" max="9" width="17.140625" customWidth="1"/>
    <col min="10" max="10" width="15.7109375" customWidth="1"/>
    <col min="11" max="14" width="17" customWidth="1"/>
    <col min="15" max="16" width="9.140625" customWidth="1"/>
  </cols>
  <sheetData>
    <row r="1" spans="1:26" ht="18.75" x14ac:dyDescent="0.25">
      <c r="A1" s="301" t="s">
        <v>341</v>
      </c>
      <c r="B1" s="302"/>
      <c r="C1" s="302"/>
      <c r="D1" s="302"/>
      <c r="E1" s="302"/>
      <c r="F1" s="303"/>
      <c r="G1" s="302"/>
      <c r="H1" s="303"/>
      <c r="I1" s="304"/>
      <c r="J1" s="304"/>
      <c r="K1" s="303"/>
      <c r="L1" s="303"/>
      <c r="M1" s="303"/>
      <c r="N1" s="303"/>
      <c r="O1" s="303"/>
      <c r="P1" s="303"/>
      <c r="Q1" s="305"/>
      <c r="R1" s="305"/>
      <c r="S1" s="305"/>
      <c r="T1" s="305"/>
      <c r="U1" s="305"/>
      <c r="V1" s="305"/>
      <c r="W1" s="305"/>
      <c r="X1" s="305"/>
      <c r="Y1" s="305"/>
      <c r="Z1" s="305"/>
    </row>
    <row r="2" spans="1:26" ht="15.75" x14ac:dyDescent="0.25">
      <c r="A2" s="302"/>
      <c r="B2" s="302"/>
      <c r="C2" s="302"/>
      <c r="D2" s="302"/>
      <c r="E2" s="302"/>
      <c r="F2" s="303"/>
      <c r="G2" s="305"/>
      <c r="H2" s="305"/>
      <c r="I2" s="305"/>
      <c r="J2" s="305"/>
      <c r="K2" s="303"/>
      <c r="L2" s="303"/>
      <c r="M2" s="303"/>
      <c r="N2" s="303"/>
      <c r="O2" s="303"/>
      <c r="P2" s="303"/>
      <c r="Q2" s="305"/>
      <c r="R2" s="305"/>
      <c r="S2" s="305"/>
      <c r="T2" s="305"/>
      <c r="U2" s="305"/>
      <c r="V2" s="305"/>
      <c r="W2" s="305"/>
      <c r="X2" s="305"/>
      <c r="Y2" s="305"/>
      <c r="Z2" s="305"/>
    </row>
    <row r="3" spans="1:26" ht="15.75" x14ac:dyDescent="0.25">
      <c r="A3" s="302"/>
      <c r="B3" s="306" t="s">
        <v>342</v>
      </c>
      <c r="C3" s="306" t="s">
        <v>343</v>
      </c>
      <c r="D3" s="1097" t="s">
        <v>344</v>
      </c>
      <c r="E3" s="1098"/>
      <c r="F3" s="303"/>
      <c r="G3" s="307" t="s">
        <v>345</v>
      </c>
      <c r="H3" s="308" t="s">
        <v>342</v>
      </c>
      <c r="I3" s="308" t="s">
        <v>343</v>
      </c>
      <c r="J3" s="308" t="s">
        <v>344</v>
      </c>
      <c r="K3" s="303"/>
      <c r="L3" s="303"/>
      <c r="M3" s="303"/>
      <c r="N3" s="303"/>
      <c r="O3" s="303"/>
      <c r="P3" s="303"/>
      <c r="Q3" s="305"/>
      <c r="R3" s="305"/>
      <c r="S3" s="305"/>
      <c r="T3" s="305"/>
      <c r="U3" s="305"/>
      <c r="V3" s="305"/>
      <c r="W3" s="305"/>
      <c r="X3" s="305"/>
      <c r="Y3" s="305"/>
      <c r="Z3" s="305"/>
    </row>
    <row r="4" spans="1:26" ht="15" customHeight="1" x14ac:dyDescent="0.25">
      <c r="A4" s="309" t="e">
        <f>#REF!</f>
        <v>#REF!</v>
      </c>
      <c r="B4" s="310" t="e">
        <f>#REF!</f>
        <v>#REF!</v>
      </c>
      <c r="C4" s="310" t="e">
        <f>#REF!</f>
        <v>#REF!</v>
      </c>
      <c r="D4" s="1099" t="e">
        <f>#REF!</f>
        <v>#REF!</v>
      </c>
      <c r="E4" s="1098"/>
      <c r="F4" s="303"/>
      <c r="G4" s="311" t="s">
        <v>346</v>
      </c>
      <c r="H4" s="312">
        <v>0</v>
      </c>
      <c r="I4" s="312">
        <v>13434.29</v>
      </c>
      <c r="J4" s="312"/>
      <c r="K4" s="303" t="e">
        <f>C4/I4</f>
        <v>#REF!</v>
      </c>
      <c r="L4" s="303"/>
      <c r="M4" s="303"/>
      <c r="N4" s="303"/>
      <c r="O4" s="303"/>
      <c r="P4" s="303"/>
      <c r="Q4" s="305"/>
      <c r="R4" s="305"/>
      <c r="S4" s="305"/>
      <c r="T4" s="305"/>
      <c r="U4" s="305"/>
      <c r="V4" s="305"/>
      <c r="W4" s="305"/>
      <c r="X4" s="305"/>
      <c r="Y4" s="305"/>
      <c r="Z4" s="305"/>
    </row>
    <row r="5" spans="1:26" ht="15" customHeight="1" x14ac:dyDescent="0.25">
      <c r="A5" s="302"/>
      <c r="B5" s="302"/>
      <c r="C5" s="302"/>
      <c r="D5" s="302"/>
      <c r="E5" s="305"/>
      <c r="F5" s="303"/>
      <c r="G5" s="311" t="s">
        <v>347</v>
      </c>
      <c r="H5" s="312">
        <v>0</v>
      </c>
      <c r="I5" s="312">
        <v>4498.66</v>
      </c>
      <c r="J5" s="312">
        <v>0</v>
      </c>
      <c r="K5" s="303"/>
      <c r="L5" s="303"/>
      <c r="M5" s="303"/>
      <c r="N5" s="303"/>
      <c r="O5" s="303"/>
      <c r="P5" s="303"/>
      <c r="Q5" s="305"/>
      <c r="R5" s="305"/>
      <c r="S5" s="305"/>
      <c r="T5" s="305"/>
      <c r="U5" s="305"/>
      <c r="V5" s="305"/>
      <c r="W5" s="305"/>
      <c r="X5" s="305"/>
      <c r="Y5" s="305"/>
      <c r="Z5" s="305"/>
    </row>
    <row r="6" spans="1:26" ht="15" customHeight="1" x14ac:dyDescent="0.25">
      <c r="A6" s="302"/>
      <c r="B6" s="302"/>
      <c r="C6" s="302"/>
      <c r="D6" s="302"/>
      <c r="E6" s="305"/>
      <c r="F6" s="303"/>
      <c r="G6" s="311" t="s">
        <v>348</v>
      </c>
      <c r="H6" s="312">
        <v>0</v>
      </c>
      <c r="I6" s="312">
        <v>8366.5</v>
      </c>
      <c r="J6" s="312">
        <v>0</v>
      </c>
      <c r="K6" s="303"/>
      <c r="L6" s="303"/>
      <c r="M6" s="303"/>
      <c r="N6" s="303"/>
      <c r="O6" s="303"/>
      <c r="P6" s="303"/>
      <c r="Q6" s="305"/>
      <c r="R6" s="305"/>
      <c r="S6" s="305"/>
      <c r="T6" s="305"/>
      <c r="U6" s="305"/>
      <c r="V6" s="305"/>
      <c r="W6" s="305"/>
      <c r="X6" s="305"/>
      <c r="Y6" s="305"/>
      <c r="Z6" s="305"/>
    </row>
    <row r="7" spans="1:26" ht="15.75" x14ac:dyDescent="0.25">
      <c r="A7" s="302" t="s">
        <v>349</v>
      </c>
      <c r="B7" s="302"/>
      <c r="C7" s="302"/>
      <c r="D7" s="302"/>
      <c r="E7" s="302"/>
      <c r="F7" s="303"/>
      <c r="G7" s="302"/>
      <c r="H7" s="303"/>
      <c r="I7" s="304"/>
      <c r="J7" s="304"/>
      <c r="K7" s="303"/>
      <c r="L7" s="303"/>
      <c r="M7" s="303"/>
      <c r="N7" s="303"/>
      <c r="O7" s="303"/>
      <c r="P7" s="303"/>
      <c r="Q7" s="305"/>
      <c r="R7" s="305"/>
      <c r="S7" s="305"/>
      <c r="T7" s="305"/>
      <c r="U7" s="305"/>
      <c r="V7" s="305"/>
      <c r="W7" s="305"/>
      <c r="X7" s="305"/>
      <c r="Y7" s="305"/>
      <c r="Z7" s="305"/>
    </row>
    <row r="8" spans="1:26" ht="15.75" x14ac:dyDescent="0.25">
      <c r="A8" s="302"/>
      <c r="B8" s="302"/>
      <c r="C8" s="302"/>
      <c r="D8" s="302"/>
      <c r="E8" s="302"/>
      <c r="F8" s="303"/>
      <c r="G8" s="302"/>
      <c r="H8" s="303"/>
      <c r="I8" s="313" t="str">
        <f>G4</f>
        <v>OBRA 1</v>
      </c>
      <c r="J8" s="313" t="str">
        <f>G4</f>
        <v>OBRA 1</v>
      </c>
      <c r="K8" s="313" t="str">
        <f>$G$5</f>
        <v>OBRA 2</v>
      </c>
      <c r="L8" s="313" t="str">
        <f>$G$5</f>
        <v>OBRA 2</v>
      </c>
      <c r="M8" s="313" t="str">
        <f>G6</f>
        <v>OBRA 3</v>
      </c>
      <c r="N8" s="313" t="str">
        <f>G6</f>
        <v>OBRA 3</v>
      </c>
      <c r="O8" s="303"/>
      <c r="P8" s="303"/>
      <c r="Q8" s="305"/>
      <c r="R8" s="305"/>
      <c r="S8" s="305"/>
      <c r="T8" s="305"/>
      <c r="U8" s="305"/>
      <c r="V8" s="305"/>
      <c r="W8" s="305"/>
      <c r="X8" s="305"/>
      <c r="Y8" s="305"/>
      <c r="Z8" s="305"/>
    </row>
    <row r="9" spans="1:26" ht="15.75" x14ac:dyDescent="0.25">
      <c r="A9" s="1100" t="s">
        <v>14</v>
      </c>
      <c r="B9" s="1089"/>
      <c r="C9" s="1089"/>
      <c r="D9" s="1089"/>
      <c r="E9" s="1098"/>
      <c r="F9" s="314" t="s">
        <v>123</v>
      </c>
      <c r="G9" s="314" t="s">
        <v>18</v>
      </c>
      <c r="H9" s="314" t="s">
        <v>350</v>
      </c>
      <c r="I9" s="314" t="s">
        <v>351</v>
      </c>
      <c r="J9" s="314" t="s">
        <v>352</v>
      </c>
      <c r="K9" s="314" t="s">
        <v>351</v>
      </c>
      <c r="L9" s="314" t="s">
        <v>352</v>
      </c>
      <c r="M9" s="314" t="s">
        <v>351</v>
      </c>
      <c r="N9" s="314" t="s">
        <v>352</v>
      </c>
      <c r="O9" s="303"/>
      <c r="P9" s="303"/>
      <c r="Q9" s="305"/>
      <c r="R9" s="305"/>
      <c r="S9" s="305"/>
      <c r="T9" s="305"/>
      <c r="U9" s="305"/>
      <c r="V9" s="305"/>
      <c r="W9" s="305"/>
      <c r="X9" s="305"/>
      <c r="Y9" s="305"/>
      <c r="Z9" s="305"/>
    </row>
    <row r="10" spans="1:26" ht="15.75" x14ac:dyDescent="0.25">
      <c r="A10" s="315" t="s">
        <v>353</v>
      </c>
      <c r="B10" s="316"/>
      <c r="C10" s="316"/>
      <c r="D10" s="316"/>
      <c r="E10" s="316"/>
      <c r="F10" s="316"/>
      <c r="G10" s="316"/>
      <c r="H10" s="316" t="e">
        <f>$C$4*J10</f>
        <v>#REF!</v>
      </c>
      <c r="I10" s="317" t="e">
        <f>#REF!</f>
        <v>#REF!</v>
      </c>
      <c r="J10" s="317" t="e">
        <f>I10/$I$4</f>
        <v>#REF!</v>
      </c>
      <c r="K10" s="317" t="e">
        <f>#REF!</f>
        <v>#REF!</v>
      </c>
      <c r="L10" s="317" t="e">
        <f>K10/$I$5</f>
        <v>#REF!</v>
      </c>
      <c r="M10" s="317" t="e">
        <f>#REF!</f>
        <v>#REF!</v>
      </c>
      <c r="N10" s="317" t="e">
        <f>M10/$I$6</f>
        <v>#REF!</v>
      </c>
      <c r="O10" s="303"/>
      <c r="P10" s="303"/>
      <c r="Q10" s="305"/>
      <c r="R10" s="305"/>
      <c r="S10" s="305"/>
      <c r="T10" s="305"/>
      <c r="U10" s="305"/>
      <c r="V10" s="305"/>
      <c r="W10" s="305"/>
      <c r="X10" s="305"/>
      <c r="Y10" s="305"/>
      <c r="Z10" s="305"/>
    </row>
    <row r="11" spans="1:26" ht="15.75" x14ac:dyDescent="0.25">
      <c r="A11" s="315" t="s">
        <v>354</v>
      </c>
      <c r="B11" s="316"/>
      <c r="C11" s="316"/>
      <c r="D11" s="316"/>
      <c r="E11" s="316"/>
      <c r="F11" s="316"/>
      <c r="G11" s="316"/>
      <c r="H11" s="316" t="e">
        <f>$C$4*J11</f>
        <v>#REF!</v>
      </c>
      <c r="I11" s="317" t="e">
        <f>#REF!</f>
        <v>#REF!</v>
      </c>
      <c r="J11" s="317" t="e">
        <f>I11/$I$4</f>
        <v>#REF!</v>
      </c>
      <c r="K11" s="317" t="e">
        <f>#REF!</f>
        <v>#REF!</v>
      </c>
      <c r="L11" s="317" t="e">
        <f>K11/$I$5</f>
        <v>#REF!</v>
      </c>
      <c r="M11" s="317" t="e">
        <f>#REF!</f>
        <v>#REF!</v>
      </c>
      <c r="N11" s="317" t="e">
        <f>M11/$I$6</f>
        <v>#REF!</v>
      </c>
      <c r="O11" s="303"/>
      <c r="P11" s="303"/>
      <c r="Q11" s="305"/>
      <c r="R11" s="305"/>
      <c r="S11" s="305"/>
      <c r="T11" s="305"/>
      <c r="U11" s="305"/>
      <c r="V11" s="305"/>
      <c r="W11" s="305"/>
      <c r="X11" s="305"/>
      <c r="Y11" s="305"/>
      <c r="Z11" s="305"/>
    </row>
    <row r="12" spans="1:26" ht="15" customHeight="1" x14ac:dyDescent="0.25">
      <c r="A12" s="315" t="s">
        <v>355</v>
      </c>
      <c r="B12" s="316"/>
      <c r="C12" s="316"/>
      <c r="D12" s="316"/>
      <c r="E12" s="316"/>
      <c r="F12" s="316"/>
      <c r="G12" s="316"/>
      <c r="H12" s="316" t="e">
        <f>$C$4*J12</f>
        <v>#REF!</v>
      </c>
      <c r="I12" s="317" t="e">
        <f>#REF!</f>
        <v>#REF!</v>
      </c>
      <c r="J12" s="317" t="e">
        <f>I12/$I$4</f>
        <v>#REF!</v>
      </c>
      <c r="K12" s="317" t="e">
        <f>#REF!</f>
        <v>#REF!</v>
      </c>
      <c r="L12" s="317" t="e">
        <f>K12/$I$5</f>
        <v>#REF!</v>
      </c>
      <c r="M12" s="317" t="e">
        <f>#REF!</f>
        <v>#REF!</v>
      </c>
      <c r="N12" s="317" t="e">
        <f>M12/$I$6</f>
        <v>#REF!</v>
      </c>
      <c r="O12" s="303"/>
      <c r="P12" s="303"/>
      <c r="Q12" s="305"/>
      <c r="R12" s="305"/>
      <c r="S12" s="305"/>
      <c r="T12" s="305"/>
      <c r="U12" s="305"/>
      <c r="V12" s="305"/>
      <c r="W12" s="305"/>
      <c r="X12" s="305"/>
      <c r="Y12" s="305"/>
      <c r="Z12" s="305"/>
    </row>
    <row r="13" spans="1:26" ht="15.75" x14ac:dyDescent="0.25">
      <c r="A13" s="315" t="s">
        <v>356</v>
      </c>
      <c r="B13" s="316"/>
      <c r="C13" s="316"/>
      <c r="D13" s="316"/>
      <c r="E13" s="316"/>
      <c r="F13" s="316"/>
      <c r="G13" s="316"/>
      <c r="H13" s="316" t="e">
        <f>$C$4*J13</f>
        <v>#REF!</v>
      </c>
      <c r="I13" s="317" t="e">
        <f>#REF!</f>
        <v>#REF!</v>
      </c>
      <c r="J13" s="317" t="e">
        <f>I13/$I$4</f>
        <v>#REF!</v>
      </c>
      <c r="K13" s="317" t="e">
        <f>#REF!</f>
        <v>#REF!</v>
      </c>
      <c r="L13" s="317" t="e">
        <f>K13/$I$5</f>
        <v>#REF!</v>
      </c>
      <c r="M13" s="317" t="e">
        <f>#REF!</f>
        <v>#REF!</v>
      </c>
      <c r="N13" s="317" t="e">
        <f>M13/$I$6</f>
        <v>#REF!</v>
      </c>
      <c r="O13" s="303"/>
      <c r="P13" s="303"/>
      <c r="Q13" s="305"/>
      <c r="R13" s="305"/>
      <c r="S13" s="305"/>
      <c r="T13" s="305"/>
      <c r="U13" s="305"/>
      <c r="V13" s="305"/>
      <c r="W13" s="305"/>
      <c r="X13" s="305"/>
      <c r="Y13" s="305"/>
      <c r="Z13" s="305"/>
    </row>
    <row r="14" spans="1:26" ht="15.75" x14ac:dyDescent="0.25">
      <c r="A14" s="315" t="s">
        <v>357</v>
      </c>
      <c r="B14" s="316"/>
      <c r="C14" s="316"/>
      <c r="D14" s="316"/>
      <c r="E14" s="316"/>
      <c r="F14" s="316"/>
      <c r="G14" s="316"/>
      <c r="H14" s="316"/>
      <c r="I14" s="316"/>
      <c r="J14" s="316"/>
      <c r="K14" s="316"/>
      <c r="L14" s="316"/>
      <c r="M14" s="316"/>
      <c r="N14" s="316"/>
      <c r="O14" s="303"/>
      <c r="P14" s="303"/>
      <c r="Q14" s="305"/>
      <c r="R14" s="305"/>
      <c r="S14" s="305"/>
      <c r="T14" s="305"/>
      <c r="U14" s="305"/>
      <c r="V14" s="305"/>
      <c r="W14" s="305"/>
      <c r="X14" s="305"/>
      <c r="Y14" s="305"/>
      <c r="Z14" s="305"/>
    </row>
    <row r="15" spans="1:26" ht="15.75" x14ac:dyDescent="0.25">
      <c r="A15" s="1092" t="s">
        <v>358</v>
      </c>
      <c r="B15" s="1093"/>
      <c r="C15" s="1093"/>
      <c r="D15" s="1093"/>
      <c r="E15" s="1094"/>
      <c r="F15" s="319" t="s">
        <v>27</v>
      </c>
      <c r="G15" s="320"/>
      <c r="H15" s="320" t="e">
        <f>J15*$C$4</f>
        <v>#REF!</v>
      </c>
      <c r="I15" s="320" t="e">
        <f>#REF!</f>
        <v>#REF!</v>
      </c>
      <c r="J15" s="320" t="e">
        <f>I15/$I$4</f>
        <v>#REF!</v>
      </c>
      <c r="K15" s="320" t="e">
        <f>#REF!</f>
        <v>#REF!</v>
      </c>
      <c r="L15" s="320" t="e">
        <f>K15/$I$5</f>
        <v>#REF!</v>
      </c>
      <c r="M15" s="320" t="e">
        <f>#REF!</f>
        <v>#REF!</v>
      </c>
      <c r="N15" s="320" t="e">
        <f>M15/$I$6</f>
        <v>#REF!</v>
      </c>
      <c r="O15" s="303"/>
      <c r="P15" s="303"/>
      <c r="Q15" s="305"/>
      <c r="R15" s="305"/>
      <c r="S15" s="305"/>
      <c r="T15" s="305"/>
      <c r="U15" s="305"/>
      <c r="V15" s="305"/>
      <c r="W15" s="305"/>
      <c r="X15" s="305"/>
      <c r="Y15" s="305"/>
      <c r="Z15" s="305"/>
    </row>
    <row r="16" spans="1:26" ht="15.75" x14ac:dyDescent="0.25">
      <c r="A16" s="318" t="s">
        <v>359</v>
      </c>
      <c r="B16" s="321"/>
      <c r="C16" s="321"/>
      <c r="D16" s="321"/>
      <c r="E16" s="322" t="s">
        <v>360</v>
      </c>
      <c r="F16" s="319" t="s">
        <v>27</v>
      </c>
      <c r="G16" s="320"/>
      <c r="H16" s="320" t="e">
        <f>J16*$C$4</f>
        <v>#REF!</v>
      </c>
      <c r="I16" s="320" t="e">
        <f>#REF!-#REF!</f>
        <v>#REF!</v>
      </c>
      <c r="J16" s="320" t="e">
        <f>I16/$I$4</f>
        <v>#REF!</v>
      </c>
      <c r="K16" s="320" t="e">
        <f>#REF!-#REF!</f>
        <v>#REF!</v>
      </c>
      <c r="L16" s="320" t="e">
        <f>K16/$I$5</f>
        <v>#REF!</v>
      </c>
      <c r="M16" s="320" t="e">
        <f>#REF!-#REF!</f>
        <v>#REF!</v>
      </c>
      <c r="N16" s="320" t="e">
        <f>M16/$I$6</f>
        <v>#REF!</v>
      </c>
      <c r="O16" s="303"/>
      <c r="P16" s="303"/>
      <c r="Q16" s="305"/>
      <c r="R16" s="305"/>
      <c r="S16" s="305"/>
      <c r="T16" s="305"/>
      <c r="U16" s="305"/>
      <c r="V16" s="305"/>
      <c r="W16" s="305"/>
      <c r="X16" s="305"/>
      <c r="Y16" s="305"/>
      <c r="Z16" s="305"/>
    </row>
    <row r="17" spans="1:26" ht="15.75" x14ac:dyDescent="0.25">
      <c r="A17" s="315" t="s">
        <v>361</v>
      </c>
      <c r="B17" s="316"/>
      <c r="C17" s="316"/>
      <c r="D17" s="316"/>
      <c r="E17" s="316"/>
      <c r="F17" s="316"/>
      <c r="G17" s="316"/>
      <c r="H17" s="316" t="e">
        <f>J17*C4</f>
        <v>#REF!</v>
      </c>
      <c r="I17" s="316" t="e">
        <f>#REF!</f>
        <v>#REF!</v>
      </c>
      <c r="J17" s="317" t="e">
        <f>I17/$I$4</f>
        <v>#REF!</v>
      </c>
      <c r="K17" s="317" t="e">
        <f>#REF!</f>
        <v>#REF!</v>
      </c>
      <c r="L17" s="317" t="e">
        <f>K17/$I$5</f>
        <v>#REF!</v>
      </c>
      <c r="M17" s="317" t="e">
        <f>#REF!</f>
        <v>#REF!</v>
      </c>
      <c r="N17" s="317" t="e">
        <f>M17/$I$6</f>
        <v>#REF!</v>
      </c>
      <c r="O17" s="303"/>
      <c r="P17" s="303"/>
      <c r="Q17" s="305"/>
      <c r="R17" s="305"/>
      <c r="S17" s="305"/>
      <c r="T17" s="305"/>
      <c r="U17" s="305"/>
      <c r="V17" s="305"/>
      <c r="W17" s="305"/>
      <c r="X17" s="305"/>
      <c r="Y17" s="305"/>
      <c r="Z17" s="305"/>
    </row>
    <row r="18" spans="1:26" ht="15.75" x14ac:dyDescent="0.25">
      <c r="A18" s="1095" t="s">
        <v>362</v>
      </c>
      <c r="B18" s="1089"/>
      <c r="C18" s="1089"/>
      <c r="D18" s="1089"/>
      <c r="E18" s="1089"/>
      <c r="F18" s="1089"/>
      <c r="G18" s="1089"/>
      <c r="H18" s="1089"/>
      <c r="I18" s="1089"/>
      <c r="J18" s="1089"/>
      <c r="K18" s="317"/>
      <c r="L18" s="317"/>
      <c r="M18" s="317"/>
      <c r="N18" s="317"/>
      <c r="O18" s="303"/>
      <c r="P18" s="303"/>
      <c r="Q18" s="305"/>
      <c r="R18" s="305"/>
      <c r="S18" s="305"/>
      <c r="T18" s="305"/>
      <c r="U18" s="305"/>
      <c r="V18" s="305"/>
      <c r="W18" s="305"/>
      <c r="X18" s="305"/>
      <c r="Y18" s="305"/>
      <c r="Z18" s="305"/>
    </row>
    <row r="19" spans="1:26" ht="15.75" x14ac:dyDescent="0.25">
      <c r="A19" s="1092" t="s">
        <v>363</v>
      </c>
      <c r="B19" s="1093"/>
      <c r="C19" s="1093"/>
      <c r="D19" s="1093"/>
      <c r="E19" s="1094"/>
      <c r="F19" s="319" t="s">
        <v>364</v>
      </c>
      <c r="G19" s="320"/>
      <c r="H19" s="320">
        <v>2000</v>
      </c>
      <c r="I19" s="320">
        <v>1500</v>
      </c>
      <c r="J19" s="320">
        <f>I19/$I$4</f>
        <v>0.11165457943813926</v>
      </c>
      <c r="K19" s="320" t="e">
        <f>#REF!+#REF!</f>
        <v>#REF!</v>
      </c>
      <c r="L19" s="320" t="e">
        <f>K19/$I$5</f>
        <v>#REF!</v>
      </c>
      <c r="M19" s="320" t="e">
        <f>#REF!+#REF!</f>
        <v>#REF!</v>
      </c>
      <c r="N19" s="320" t="e">
        <f>M19/$I$6</f>
        <v>#REF!</v>
      </c>
      <c r="O19" s="303"/>
      <c r="P19" s="303"/>
      <c r="Q19" s="305"/>
      <c r="R19" s="305"/>
      <c r="S19" s="305"/>
      <c r="T19" s="305"/>
      <c r="U19" s="305"/>
      <c r="V19" s="305"/>
      <c r="W19" s="305"/>
      <c r="X19" s="305"/>
      <c r="Y19" s="305"/>
      <c r="Z19" s="305"/>
    </row>
    <row r="20" spans="1:26" ht="15.75" x14ac:dyDescent="0.25">
      <c r="A20" s="1092" t="s">
        <v>365</v>
      </c>
      <c r="B20" s="1093"/>
      <c r="C20" s="1093"/>
      <c r="D20" s="1093"/>
      <c r="E20" s="1094"/>
      <c r="F20" s="319" t="s">
        <v>27</v>
      </c>
      <c r="G20" s="320"/>
      <c r="H20" s="320" t="e">
        <f>J20*$C$4</f>
        <v>#REF!</v>
      </c>
      <c r="I20" s="320" t="e">
        <f>#REF!</f>
        <v>#REF!</v>
      </c>
      <c r="J20" s="320" t="e">
        <f>I20/$I$4</f>
        <v>#REF!</v>
      </c>
      <c r="K20" s="320" t="e">
        <f>#REF!</f>
        <v>#REF!</v>
      </c>
      <c r="L20" s="320" t="e">
        <f>K20/$I$5</f>
        <v>#REF!</v>
      </c>
      <c r="M20" s="320" t="e">
        <f>#REF!</f>
        <v>#REF!</v>
      </c>
      <c r="N20" s="320" t="e">
        <f>M20/$I$6</f>
        <v>#REF!</v>
      </c>
      <c r="O20" s="303"/>
      <c r="P20" s="303"/>
      <c r="Q20" s="305"/>
      <c r="R20" s="305"/>
      <c r="S20" s="305"/>
      <c r="T20" s="305"/>
      <c r="U20" s="305"/>
      <c r="V20" s="305"/>
      <c r="W20" s="305"/>
      <c r="X20" s="305"/>
      <c r="Y20" s="305"/>
      <c r="Z20" s="305"/>
    </row>
    <row r="21" spans="1:26" ht="15.75" customHeight="1" x14ac:dyDescent="0.25">
      <c r="A21" s="315" t="s">
        <v>366</v>
      </c>
      <c r="B21" s="316"/>
      <c r="C21" s="316"/>
      <c r="D21" s="316"/>
      <c r="E21" s="316"/>
      <c r="F21" s="316"/>
      <c r="G21" s="316"/>
      <c r="H21" s="316" t="e">
        <f>J21*C4</f>
        <v>#REF!</v>
      </c>
      <c r="I21" s="316" t="e">
        <f>#REF!+#REF!</f>
        <v>#REF!</v>
      </c>
      <c r="J21" s="317" t="e">
        <f>I21/$I$4</f>
        <v>#REF!</v>
      </c>
      <c r="K21" s="317" t="e">
        <f>#REF!+#REF!</f>
        <v>#REF!</v>
      </c>
      <c r="L21" s="317" t="e">
        <f>K21/$I$5</f>
        <v>#REF!</v>
      </c>
      <c r="M21" s="317" t="e">
        <f>#REF!+#REF!</f>
        <v>#REF!</v>
      </c>
      <c r="N21" s="317" t="e">
        <f>M21/$I$6</f>
        <v>#REF!</v>
      </c>
      <c r="O21" s="303"/>
      <c r="P21" s="303"/>
      <c r="Q21" s="305"/>
      <c r="R21" s="305"/>
      <c r="S21" s="305"/>
      <c r="T21" s="305"/>
      <c r="U21" s="305"/>
      <c r="V21" s="305"/>
      <c r="W21" s="305"/>
      <c r="X21" s="305"/>
      <c r="Y21" s="305"/>
      <c r="Z21" s="305"/>
    </row>
    <row r="22" spans="1:26" ht="15.75" customHeight="1" x14ac:dyDescent="0.25">
      <c r="A22" s="1095" t="s">
        <v>367</v>
      </c>
      <c r="B22" s="1089"/>
      <c r="C22" s="1089"/>
      <c r="D22" s="1089"/>
      <c r="E22" s="1089"/>
      <c r="F22" s="1089"/>
      <c r="G22" s="1089"/>
      <c r="H22" s="1089"/>
      <c r="I22" s="1089"/>
      <c r="J22" s="1089"/>
      <c r="K22" s="317"/>
      <c r="L22" s="317"/>
      <c r="M22" s="317"/>
      <c r="N22" s="317"/>
      <c r="O22" s="303"/>
      <c r="P22" s="303"/>
      <c r="Q22" s="305"/>
      <c r="R22" s="305"/>
      <c r="S22" s="305"/>
      <c r="T22" s="305"/>
      <c r="U22" s="305"/>
      <c r="V22" s="305"/>
      <c r="W22" s="305"/>
      <c r="X22" s="305"/>
      <c r="Y22" s="305"/>
      <c r="Z22" s="305"/>
    </row>
    <row r="23" spans="1:26" ht="15.75" customHeight="1" x14ac:dyDescent="0.25">
      <c r="A23" s="323" t="s">
        <v>368</v>
      </c>
      <c r="B23" s="324"/>
      <c r="C23" s="324"/>
      <c r="D23" s="324"/>
      <c r="E23" s="325"/>
      <c r="F23" s="319" t="s">
        <v>364</v>
      </c>
      <c r="G23" s="320"/>
      <c r="H23" s="320">
        <v>7200</v>
      </c>
      <c r="I23" s="320" t="e">
        <f t="shared" ref="I23:I31" si="0">#REF!</f>
        <v>#REF!</v>
      </c>
      <c r="J23" s="320"/>
      <c r="K23" s="320" t="e">
        <f t="shared" ref="K23:K31" si="1">#REF!</f>
        <v>#REF!</v>
      </c>
      <c r="L23" s="320"/>
      <c r="M23" s="320" t="e">
        <f t="shared" ref="M23:M31" si="2">#REF!</f>
        <v>#REF!</v>
      </c>
      <c r="N23" s="320"/>
      <c r="O23" s="303"/>
      <c r="P23" s="303"/>
      <c r="Q23" s="305"/>
      <c r="R23" s="305"/>
      <c r="S23" s="305"/>
      <c r="T23" s="305"/>
      <c r="U23" s="305"/>
      <c r="V23" s="305"/>
      <c r="W23" s="305"/>
      <c r="X23" s="305"/>
      <c r="Y23" s="305"/>
      <c r="Z23" s="305"/>
    </row>
    <row r="24" spans="1:26" ht="15.75" customHeight="1" x14ac:dyDescent="0.25">
      <c r="A24" s="326" t="s">
        <v>369</v>
      </c>
      <c r="B24" s="327"/>
      <c r="C24" s="327"/>
      <c r="D24" s="327"/>
      <c r="E24" s="328"/>
      <c r="F24" s="319" t="s">
        <v>364</v>
      </c>
      <c r="G24" s="320"/>
      <c r="H24" s="320">
        <v>5000</v>
      </c>
      <c r="I24" s="320" t="e">
        <f t="shared" si="0"/>
        <v>#REF!</v>
      </c>
      <c r="J24" s="320"/>
      <c r="K24" s="320" t="e">
        <f t="shared" si="1"/>
        <v>#REF!</v>
      </c>
      <c r="L24" s="320"/>
      <c r="M24" s="320" t="e">
        <f t="shared" si="2"/>
        <v>#REF!</v>
      </c>
      <c r="N24" s="320"/>
      <c r="O24" s="303"/>
      <c r="P24" s="303"/>
      <c r="Q24" s="305"/>
      <c r="R24" s="305"/>
      <c r="S24" s="305"/>
      <c r="T24" s="305"/>
      <c r="U24" s="305"/>
      <c r="V24" s="305"/>
      <c r="W24" s="305"/>
      <c r="X24" s="305"/>
      <c r="Y24" s="305"/>
      <c r="Z24" s="305"/>
    </row>
    <row r="25" spans="1:26" ht="15.75" customHeight="1" x14ac:dyDescent="0.25">
      <c r="A25" s="326" t="s">
        <v>370</v>
      </c>
      <c r="B25" s="327"/>
      <c r="C25" s="327"/>
      <c r="D25" s="327"/>
      <c r="E25" s="328"/>
      <c r="F25" s="319" t="s">
        <v>364</v>
      </c>
      <c r="G25" s="320"/>
      <c r="H25" s="320">
        <v>2500</v>
      </c>
      <c r="I25" s="320" t="e">
        <f t="shared" si="0"/>
        <v>#REF!</v>
      </c>
      <c r="J25" s="320"/>
      <c r="K25" s="320" t="e">
        <f t="shared" si="1"/>
        <v>#REF!</v>
      </c>
      <c r="L25" s="320"/>
      <c r="M25" s="320" t="e">
        <f t="shared" si="2"/>
        <v>#REF!</v>
      </c>
      <c r="N25" s="320"/>
      <c r="O25" s="303"/>
      <c r="P25" s="303"/>
      <c r="Q25" s="305"/>
      <c r="R25" s="305"/>
      <c r="S25" s="305"/>
      <c r="T25" s="305"/>
      <c r="U25" s="305"/>
      <c r="V25" s="305"/>
      <c r="W25" s="305"/>
      <c r="X25" s="305"/>
      <c r="Y25" s="305"/>
      <c r="Z25" s="305"/>
    </row>
    <row r="26" spans="1:26" ht="15.75" customHeight="1" x14ac:dyDescent="0.25">
      <c r="A26" s="326" t="s">
        <v>371</v>
      </c>
      <c r="B26" s="327"/>
      <c r="C26" s="327"/>
      <c r="D26" s="327"/>
      <c r="E26" s="328"/>
      <c r="F26" s="319" t="s">
        <v>364</v>
      </c>
      <c r="G26" s="320"/>
      <c r="H26" s="320">
        <v>9000</v>
      </c>
      <c r="I26" s="320" t="e">
        <f t="shared" si="0"/>
        <v>#REF!</v>
      </c>
      <c r="J26" s="320"/>
      <c r="K26" s="320" t="e">
        <f t="shared" si="1"/>
        <v>#REF!</v>
      </c>
      <c r="L26" s="320"/>
      <c r="M26" s="320" t="e">
        <f t="shared" si="2"/>
        <v>#REF!</v>
      </c>
      <c r="N26" s="320"/>
      <c r="O26" s="303"/>
      <c r="P26" s="303"/>
      <c r="Q26" s="305"/>
      <c r="R26" s="305"/>
      <c r="S26" s="305"/>
      <c r="T26" s="305"/>
      <c r="U26" s="305"/>
      <c r="V26" s="305"/>
      <c r="W26" s="305"/>
      <c r="X26" s="305"/>
      <c r="Y26" s="305"/>
      <c r="Z26" s="305"/>
    </row>
    <row r="27" spans="1:26" ht="15.75" customHeight="1" x14ac:dyDescent="0.25">
      <c r="A27" s="318" t="s">
        <v>372</v>
      </c>
      <c r="B27" s="329"/>
      <c r="C27" s="329"/>
      <c r="D27" s="329"/>
      <c r="E27" s="330"/>
      <c r="F27" s="319" t="s">
        <v>364</v>
      </c>
      <c r="G27" s="320"/>
      <c r="H27" s="320">
        <v>1300</v>
      </c>
      <c r="I27" s="320" t="e">
        <f t="shared" si="0"/>
        <v>#REF!</v>
      </c>
      <c r="J27" s="320"/>
      <c r="K27" s="320" t="e">
        <f t="shared" si="1"/>
        <v>#REF!</v>
      </c>
      <c r="L27" s="320"/>
      <c r="M27" s="320" t="e">
        <f t="shared" si="2"/>
        <v>#REF!</v>
      </c>
      <c r="N27" s="320"/>
      <c r="O27" s="303"/>
      <c r="P27" s="303"/>
      <c r="Q27" s="305"/>
      <c r="R27" s="305"/>
      <c r="S27" s="305"/>
      <c r="T27" s="305"/>
      <c r="U27" s="305"/>
      <c r="V27" s="305"/>
      <c r="W27" s="305"/>
      <c r="X27" s="305"/>
      <c r="Y27" s="305"/>
      <c r="Z27" s="305"/>
    </row>
    <row r="28" spans="1:26" ht="15.75" customHeight="1" x14ac:dyDescent="0.25">
      <c r="A28" s="318" t="s">
        <v>373</v>
      </c>
      <c r="B28" s="329"/>
      <c r="C28" s="329"/>
      <c r="D28" s="329"/>
      <c r="E28" s="330"/>
      <c r="F28" s="319" t="s">
        <v>364</v>
      </c>
      <c r="G28" s="320"/>
      <c r="H28" s="320">
        <v>4500</v>
      </c>
      <c r="I28" s="320" t="e">
        <f t="shared" si="0"/>
        <v>#REF!</v>
      </c>
      <c r="J28" s="320"/>
      <c r="K28" s="320" t="e">
        <f t="shared" si="1"/>
        <v>#REF!</v>
      </c>
      <c r="L28" s="320"/>
      <c r="M28" s="320" t="e">
        <f t="shared" si="2"/>
        <v>#REF!</v>
      </c>
      <c r="N28" s="320"/>
      <c r="O28" s="303"/>
      <c r="P28" s="303"/>
      <c r="Q28" s="305"/>
      <c r="R28" s="305"/>
      <c r="S28" s="305"/>
      <c r="T28" s="305"/>
      <c r="U28" s="305"/>
      <c r="V28" s="305"/>
      <c r="W28" s="305"/>
      <c r="X28" s="305"/>
      <c r="Y28" s="305"/>
      <c r="Z28" s="305"/>
    </row>
    <row r="29" spans="1:26" ht="15.75" customHeight="1" x14ac:dyDescent="0.25">
      <c r="A29" s="318" t="s">
        <v>374</v>
      </c>
      <c r="B29" s="329"/>
      <c r="C29" s="329"/>
      <c r="D29" s="329"/>
      <c r="E29" s="330"/>
      <c r="F29" s="319" t="s">
        <v>364</v>
      </c>
      <c r="G29" s="320"/>
      <c r="H29" s="320">
        <v>4200</v>
      </c>
      <c r="I29" s="320" t="e">
        <f t="shared" si="0"/>
        <v>#REF!</v>
      </c>
      <c r="J29" s="320"/>
      <c r="K29" s="320" t="e">
        <f t="shared" si="1"/>
        <v>#REF!</v>
      </c>
      <c r="L29" s="320"/>
      <c r="M29" s="320" t="e">
        <f t="shared" si="2"/>
        <v>#REF!</v>
      </c>
      <c r="N29" s="320"/>
      <c r="O29" s="303"/>
      <c r="P29" s="303"/>
      <c r="Q29" s="305"/>
      <c r="R29" s="305"/>
      <c r="S29" s="305"/>
      <c r="T29" s="305"/>
      <c r="U29" s="305"/>
      <c r="V29" s="305"/>
      <c r="W29" s="305"/>
      <c r="X29" s="305"/>
      <c r="Y29" s="305"/>
      <c r="Z29" s="305"/>
    </row>
    <row r="30" spans="1:26" ht="15.75" customHeight="1" x14ac:dyDescent="0.25">
      <c r="A30" s="318" t="s">
        <v>375</v>
      </c>
      <c r="B30" s="329"/>
      <c r="C30" s="329"/>
      <c r="D30" s="329"/>
      <c r="E30" s="330"/>
      <c r="F30" s="319" t="s">
        <v>364</v>
      </c>
      <c r="G30" s="320"/>
      <c r="H30" s="320">
        <v>3000</v>
      </c>
      <c r="I30" s="320" t="e">
        <f t="shared" si="0"/>
        <v>#REF!</v>
      </c>
      <c r="J30" s="320"/>
      <c r="K30" s="320" t="e">
        <f t="shared" si="1"/>
        <v>#REF!</v>
      </c>
      <c r="L30" s="320"/>
      <c r="M30" s="320" t="e">
        <f t="shared" si="2"/>
        <v>#REF!</v>
      </c>
      <c r="N30" s="320"/>
      <c r="O30" s="303"/>
      <c r="P30" s="303"/>
      <c r="Q30" s="305"/>
      <c r="R30" s="305"/>
      <c r="S30" s="305"/>
      <c r="T30" s="305"/>
      <c r="U30" s="305"/>
      <c r="V30" s="305"/>
      <c r="W30" s="305"/>
      <c r="X30" s="305"/>
      <c r="Y30" s="305"/>
      <c r="Z30" s="305"/>
    </row>
    <row r="31" spans="1:26" ht="15.75" customHeight="1" x14ac:dyDescent="0.25">
      <c r="A31" s="318" t="s">
        <v>376</v>
      </c>
      <c r="B31" s="329"/>
      <c r="C31" s="329"/>
      <c r="D31" s="329"/>
      <c r="E31" s="330"/>
      <c r="F31" s="319" t="s">
        <v>27</v>
      </c>
      <c r="G31" s="320"/>
      <c r="H31" s="320" t="e">
        <f>J31*$C$4</f>
        <v>#REF!</v>
      </c>
      <c r="I31" s="320" t="e">
        <f t="shared" si="0"/>
        <v>#REF!</v>
      </c>
      <c r="J31" s="320" t="e">
        <f>I31/$I$4</f>
        <v>#REF!</v>
      </c>
      <c r="K31" s="320" t="e">
        <f t="shared" si="1"/>
        <v>#REF!</v>
      </c>
      <c r="L31" s="320" t="e">
        <f>K31/$I$5</f>
        <v>#REF!</v>
      </c>
      <c r="M31" s="320" t="e">
        <f t="shared" si="2"/>
        <v>#REF!</v>
      </c>
      <c r="N31" s="320" t="e">
        <f>M31/$I$6</f>
        <v>#REF!</v>
      </c>
      <c r="O31" s="303"/>
      <c r="P31" s="303"/>
      <c r="Q31" s="305"/>
      <c r="R31" s="305"/>
      <c r="S31" s="305"/>
      <c r="T31" s="305"/>
      <c r="U31" s="305"/>
      <c r="V31" s="305"/>
      <c r="W31" s="305"/>
      <c r="X31" s="305"/>
      <c r="Y31" s="305"/>
      <c r="Z31" s="305"/>
    </row>
    <row r="32" spans="1:26" ht="15.75" customHeight="1" x14ac:dyDescent="0.25">
      <c r="A32" s="1095" t="s">
        <v>377</v>
      </c>
      <c r="B32" s="1089"/>
      <c r="C32" s="1089"/>
      <c r="D32" s="1089"/>
      <c r="E32" s="1089"/>
      <c r="F32" s="1089"/>
      <c r="G32" s="1089"/>
      <c r="H32" s="1089"/>
      <c r="I32" s="1089"/>
      <c r="J32" s="1089"/>
      <c r="K32" s="317"/>
      <c r="L32" s="317"/>
      <c r="M32" s="317"/>
      <c r="N32" s="317"/>
      <c r="O32" s="303"/>
      <c r="P32" s="303"/>
      <c r="Q32" s="305"/>
      <c r="R32" s="305"/>
      <c r="S32" s="305"/>
      <c r="T32" s="305"/>
      <c r="U32" s="305"/>
      <c r="V32" s="305"/>
      <c r="W32" s="305"/>
      <c r="X32" s="305"/>
      <c r="Y32" s="305"/>
      <c r="Z32" s="305"/>
    </row>
    <row r="33" spans="1:26" ht="15.75" customHeight="1" x14ac:dyDescent="0.25">
      <c r="A33" s="331" t="s">
        <v>378</v>
      </c>
      <c r="B33" s="332"/>
      <c r="C33" s="332"/>
      <c r="D33" s="332"/>
      <c r="E33" s="333"/>
      <c r="F33" s="319" t="s">
        <v>196</v>
      </c>
      <c r="G33" s="334"/>
      <c r="H33" s="320" t="e">
        <f>2.5*B4</f>
        <v>#REF!</v>
      </c>
      <c r="I33" s="334" t="e">
        <f>#REF!</f>
        <v>#REF!</v>
      </c>
      <c r="J33" s="320" t="e">
        <f t="shared" ref="J33:J40" si="3">I33/$I$4</f>
        <v>#REF!</v>
      </c>
      <c r="K33" s="334" t="e">
        <f>#REF!</f>
        <v>#REF!</v>
      </c>
      <c r="L33" s="320" t="e">
        <f t="shared" ref="L33:L40" si="4">K33/$I$5</f>
        <v>#REF!</v>
      </c>
      <c r="M33" s="334" t="e">
        <f>#REF!</f>
        <v>#REF!</v>
      </c>
      <c r="N33" s="320" t="e">
        <f t="shared" ref="N33:N40" si="5">M33/$I$6</f>
        <v>#REF!</v>
      </c>
      <c r="O33" s="303"/>
      <c r="P33" s="303"/>
      <c r="Q33" s="305"/>
      <c r="R33" s="305"/>
      <c r="S33" s="305"/>
      <c r="T33" s="305"/>
      <c r="U33" s="305"/>
      <c r="V33" s="305"/>
      <c r="W33" s="305"/>
      <c r="X33" s="305"/>
      <c r="Y33" s="305"/>
      <c r="Z33" s="305"/>
    </row>
    <row r="34" spans="1:26" ht="15.75" customHeight="1" x14ac:dyDescent="0.25">
      <c r="A34" s="331" t="s">
        <v>379</v>
      </c>
      <c r="B34" s="332"/>
      <c r="C34" s="332"/>
      <c r="D34" s="332"/>
      <c r="E34" s="333"/>
      <c r="F34" s="319"/>
      <c r="G34" s="334"/>
      <c r="H34" s="320" t="e">
        <f>N34*C4</f>
        <v>#REF!</v>
      </c>
      <c r="I34" s="334" t="e">
        <f>#REF!</f>
        <v>#REF!</v>
      </c>
      <c r="J34" s="320" t="e">
        <f t="shared" si="3"/>
        <v>#REF!</v>
      </c>
      <c r="K34" s="334"/>
      <c r="L34" s="320">
        <f t="shared" si="4"/>
        <v>0</v>
      </c>
      <c r="M34" s="334" t="e">
        <f>#REF!</f>
        <v>#REF!</v>
      </c>
      <c r="N34" s="320" t="e">
        <f t="shared" si="5"/>
        <v>#REF!</v>
      </c>
      <c r="O34" s="303"/>
      <c r="P34" s="303"/>
      <c r="Q34" s="305"/>
      <c r="R34" s="305"/>
      <c r="S34" s="305"/>
      <c r="T34" s="305"/>
      <c r="U34" s="305"/>
      <c r="V34" s="305"/>
      <c r="W34" s="305"/>
      <c r="X34" s="305"/>
      <c r="Y34" s="305"/>
      <c r="Z34" s="305"/>
    </row>
    <row r="35" spans="1:26" ht="15.75" customHeight="1" x14ac:dyDescent="0.25">
      <c r="A35" s="331" t="s">
        <v>380</v>
      </c>
      <c r="B35" s="332"/>
      <c r="C35" s="332"/>
      <c r="D35" s="332"/>
      <c r="E35" s="333"/>
      <c r="F35" s="319" t="s">
        <v>4</v>
      </c>
      <c r="G35" s="334"/>
      <c r="H35" s="335"/>
      <c r="I35" s="334"/>
      <c r="J35" s="320">
        <f t="shared" si="3"/>
        <v>0</v>
      </c>
      <c r="K35" s="334"/>
      <c r="L35" s="320">
        <f t="shared" si="4"/>
        <v>0</v>
      </c>
      <c r="M35" s="334"/>
      <c r="N35" s="320">
        <f t="shared" si="5"/>
        <v>0</v>
      </c>
      <c r="O35" s="303"/>
      <c r="P35" s="303"/>
      <c r="Q35" s="305"/>
      <c r="R35" s="305"/>
      <c r="S35" s="305"/>
      <c r="T35" s="305"/>
      <c r="U35" s="305"/>
      <c r="V35" s="305"/>
      <c r="W35" s="305"/>
      <c r="X35" s="305"/>
      <c r="Y35" s="305"/>
      <c r="Z35" s="305"/>
    </row>
    <row r="36" spans="1:26" ht="15.75" customHeight="1" x14ac:dyDescent="0.25">
      <c r="A36" s="331" t="s">
        <v>381</v>
      </c>
      <c r="B36" s="332"/>
      <c r="C36" s="332"/>
      <c r="D36" s="332"/>
      <c r="E36" s="333"/>
      <c r="F36" s="319" t="s">
        <v>27</v>
      </c>
      <c r="G36" s="320"/>
      <c r="H36" s="320" t="e">
        <f>J36*$C$4</f>
        <v>#REF!</v>
      </c>
      <c r="I36" s="320" t="e">
        <f>#REF!</f>
        <v>#REF!</v>
      </c>
      <c r="J36" s="320" t="e">
        <f t="shared" si="3"/>
        <v>#REF!</v>
      </c>
      <c r="K36" s="320" t="e">
        <f>#REF!</f>
        <v>#REF!</v>
      </c>
      <c r="L36" s="320" t="e">
        <f t="shared" si="4"/>
        <v>#REF!</v>
      </c>
      <c r="M36" s="320" t="e">
        <f>#REF!</f>
        <v>#REF!</v>
      </c>
      <c r="N36" s="320" t="e">
        <f t="shared" si="5"/>
        <v>#REF!</v>
      </c>
      <c r="O36" s="303"/>
      <c r="P36" s="303"/>
      <c r="Q36" s="305"/>
      <c r="R36" s="305"/>
      <c r="S36" s="305"/>
      <c r="T36" s="305"/>
      <c r="U36" s="305"/>
      <c r="V36" s="305"/>
      <c r="W36" s="305"/>
      <c r="X36" s="305"/>
      <c r="Y36" s="305"/>
      <c r="Z36" s="305"/>
    </row>
    <row r="37" spans="1:26" ht="15.75" customHeight="1" x14ac:dyDescent="0.25">
      <c r="A37" s="331" t="s">
        <v>382</v>
      </c>
      <c r="B37" s="332"/>
      <c r="C37" s="332"/>
      <c r="D37" s="332"/>
      <c r="E37" s="333"/>
      <c r="F37" s="336" t="s">
        <v>27</v>
      </c>
      <c r="G37" s="334"/>
      <c r="H37" s="320" t="e">
        <f>J37*$C$4</f>
        <v>#REF!</v>
      </c>
      <c r="I37" s="334" t="e">
        <f>#REF!</f>
        <v>#REF!</v>
      </c>
      <c r="J37" s="320" t="e">
        <f t="shared" si="3"/>
        <v>#REF!</v>
      </c>
      <c r="K37" s="334" t="e">
        <f>#REF!</f>
        <v>#REF!</v>
      </c>
      <c r="L37" s="320" t="e">
        <f t="shared" si="4"/>
        <v>#REF!</v>
      </c>
      <c r="M37" s="334" t="e">
        <f>#REF!</f>
        <v>#REF!</v>
      </c>
      <c r="N37" s="320" t="e">
        <f t="shared" si="5"/>
        <v>#REF!</v>
      </c>
      <c r="O37" s="303"/>
      <c r="P37" s="303"/>
      <c r="Q37" s="305"/>
      <c r="R37" s="305"/>
      <c r="S37" s="305"/>
      <c r="T37" s="305"/>
      <c r="U37" s="305"/>
      <c r="V37" s="305"/>
      <c r="W37" s="305"/>
      <c r="X37" s="305"/>
      <c r="Y37" s="305"/>
      <c r="Z37" s="305"/>
    </row>
    <row r="38" spans="1:26" ht="15.75" customHeight="1" x14ac:dyDescent="0.25">
      <c r="A38" s="331" t="s">
        <v>383</v>
      </c>
      <c r="B38" s="332"/>
      <c r="C38" s="332"/>
      <c r="D38" s="332"/>
      <c r="E38" s="333"/>
      <c r="F38" s="336" t="s">
        <v>364</v>
      </c>
      <c r="G38" s="334"/>
      <c r="H38" s="320" t="e">
        <f>J38*$C$4</f>
        <v>#REF!</v>
      </c>
      <c r="I38" s="334" t="e">
        <f>#REF!</f>
        <v>#REF!</v>
      </c>
      <c r="J38" s="320" t="e">
        <f t="shared" si="3"/>
        <v>#REF!</v>
      </c>
      <c r="K38" s="334" t="e">
        <f>#REF!</f>
        <v>#REF!</v>
      </c>
      <c r="L38" s="320" t="e">
        <f t="shared" si="4"/>
        <v>#REF!</v>
      </c>
      <c r="M38" s="334" t="e">
        <f>#REF!</f>
        <v>#REF!</v>
      </c>
      <c r="N38" s="320" t="e">
        <f t="shared" si="5"/>
        <v>#REF!</v>
      </c>
      <c r="O38" s="303"/>
      <c r="P38" s="303"/>
      <c r="Q38" s="305"/>
      <c r="R38" s="305"/>
      <c r="S38" s="305"/>
      <c r="T38" s="305"/>
      <c r="U38" s="305"/>
      <c r="V38" s="305"/>
      <c r="W38" s="305"/>
      <c r="X38" s="305"/>
      <c r="Y38" s="305"/>
      <c r="Z38" s="305"/>
    </row>
    <row r="39" spans="1:26" ht="15.75" customHeight="1" x14ac:dyDescent="0.25">
      <c r="A39" s="331" t="s">
        <v>384</v>
      </c>
      <c r="B39" s="332"/>
      <c r="C39" s="332"/>
      <c r="D39" s="332"/>
      <c r="E39" s="333"/>
      <c r="F39" s="319" t="s">
        <v>27</v>
      </c>
      <c r="G39" s="320"/>
      <c r="H39" s="320" t="e">
        <f>L39*$C$4</f>
        <v>#REF!</v>
      </c>
      <c r="I39" s="334" t="e">
        <f>#REF!+#REF!</f>
        <v>#REF!</v>
      </c>
      <c r="J39" s="320" t="e">
        <f t="shared" si="3"/>
        <v>#REF!</v>
      </c>
      <c r="K39" s="334" t="e">
        <f>#REF!+#REF!</f>
        <v>#REF!</v>
      </c>
      <c r="L39" s="320" t="e">
        <f t="shared" si="4"/>
        <v>#REF!</v>
      </c>
      <c r="M39" s="334" t="e">
        <f>#REF!+#REF!+#REF!</f>
        <v>#REF!</v>
      </c>
      <c r="N39" s="320" t="e">
        <f t="shared" si="5"/>
        <v>#REF!</v>
      </c>
      <c r="O39" s="303"/>
      <c r="P39" s="303"/>
      <c r="Q39" s="305"/>
      <c r="R39" s="305"/>
      <c r="S39" s="305"/>
      <c r="T39" s="305"/>
      <c r="U39" s="305"/>
      <c r="V39" s="305"/>
      <c r="W39" s="305"/>
      <c r="X39" s="305"/>
      <c r="Y39" s="305"/>
      <c r="Z39" s="305"/>
    </row>
    <row r="40" spans="1:26" ht="15.75" customHeight="1" x14ac:dyDescent="0.25">
      <c r="A40" s="1096" t="s">
        <v>385</v>
      </c>
      <c r="B40" s="1093"/>
      <c r="C40" s="1093"/>
      <c r="D40" s="1093"/>
      <c r="E40" s="1094"/>
      <c r="F40" s="319" t="s">
        <v>27</v>
      </c>
      <c r="G40" s="320"/>
      <c r="H40" s="320" t="e">
        <f>J40*$C$4</f>
        <v>#REF!</v>
      </c>
      <c r="I40" s="334" t="e">
        <f>#REF!</f>
        <v>#REF!</v>
      </c>
      <c r="J40" s="320" t="e">
        <f t="shared" si="3"/>
        <v>#REF!</v>
      </c>
      <c r="K40" s="334" t="e">
        <f>#REF!</f>
        <v>#REF!</v>
      </c>
      <c r="L40" s="320" t="e">
        <f t="shared" si="4"/>
        <v>#REF!</v>
      </c>
      <c r="M40" s="334" t="e">
        <f>#REF!</f>
        <v>#REF!</v>
      </c>
      <c r="N40" s="320" t="e">
        <f t="shared" si="5"/>
        <v>#REF!</v>
      </c>
      <c r="O40" s="303"/>
      <c r="P40" s="303"/>
      <c r="Q40" s="305"/>
      <c r="R40" s="305"/>
      <c r="S40" s="305"/>
      <c r="T40" s="305"/>
      <c r="U40" s="305"/>
      <c r="V40" s="305"/>
      <c r="W40" s="305"/>
      <c r="X40" s="305"/>
      <c r="Y40" s="305"/>
      <c r="Z40" s="305"/>
    </row>
    <row r="41" spans="1:26" ht="15.75" customHeight="1" x14ac:dyDescent="0.25">
      <c r="A41" s="302"/>
      <c r="B41" s="302"/>
      <c r="C41" s="302"/>
      <c r="D41" s="302"/>
      <c r="E41" s="302"/>
      <c r="F41" s="303"/>
      <c r="G41" s="302"/>
      <c r="H41" s="303"/>
      <c r="I41" s="304"/>
      <c r="J41" s="304"/>
      <c r="K41" s="303"/>
      <c r="L41" s="303"/>
      <c r="M41" s="303"/>
      <c r="N41" s="303"/>
      <c r="O41" s="303"/>
      <c r="P41" s="303"/>
      <c r="Q41" s="305"/>
      <c r="R41" s="305"/>
      <c r="S41" s="305"/>
      <c r="T41" s="305"/>
      <c r="U41" s="305"/>
      <c r="V41" s="305"/>
      <c r="W41" s="305"/>
      <c r="X41" s="305"/>
      <c r="Y41" s="305"/>
      <c r="Z41" s="305"/>
    </row>
    <row r="42" spans="1:26" ht="15.75" customHeight="1" x14ac:dyDescent="0.25">
      <c r="A42" s="302"/>
      <c r="B42" s="302"/>
      <c r="C42" s="302"/>
      <c r="D42" s="302"/>
      <c r="E42" s="302"/>
      <c r="F42" s="303"/>
      <c r="G42" s="302"/>
      <c r="H42" s="303"/>
      <c r="I42" s="304"/>
      <c r="J42" s="304"/>
      <c r="K42" s="303"/>
      <c r="L42" s="303"/>
      <c r="M42" s="303"/>
      <c r="N42" s="303"/>
      <c r="O42" s="303"/>
      <c r="P42" s="303"/>
      <c r="Q42" s="305"/>
      <c r="R42" s="305"/>
      <c r="S42" s="305"/>
      <c r="T42" s="305"/>
      <c r="U42" s="305"/>
      <c r="V42" s="305"/>
      <c r="W42" s="305"/>
      <c r="X42" s="305"/>
      <c r="Y42" s="305"/>
      <c r="Z42" s="305"/>
    </row>
    <row r="43" spans="1:26" ht="15.75" customHeight="1" x14ac:dyDescent="0.25">
      <c r="A43" s="302"/>
      <c r="B43" s="302"/>
      <c r="C43" s="302"/>
      <c r="D43" s="302"/>
      <c r="E43" s="302"/>
      <c r="F43" s="303"/>
      <c r="G43" s="302"/>
      <c r="H43" s="303"/>
      <c r="I43" s="304"/>
      <c r="J43" s="304"/>
      <c r="K43" s="303"/>
      <c r="L43" s="303"/>
      <c r="M43" s="303"/>
      <c r="N43" s="303"/>
      <c r="O43" s="303"/>
      <c r="P43" s="303"/>
      <c r="Q43" s="305"/>
      <c r="R43" s="305"/>
      <c r="S43" s="305"/>
      <c r="T43" s="305"/>
      <c r="U43" s="305"/>
      <c r="V43" s="305"/>
      <c r="W43" s="305"/>
      <c r="X43" s="305"/>
      <c r="Y43" s="305"/>
      <c r="Z43" s="305"/>
    </row>
    <row r="44" spans="1:26" ht="15.75" customHeight="1" x14ac:dyDescent="0.25">
      <c r="A44" s="302"/>
      <c r="B44" s="302"/>
      <c r="C44" s="302"/>
      <c r="D44" s="302"/>
      <c r="E44" s="302"/>
      <c r="F44" s="303"/>
      <c r="G44" s="302"/>
      <c r="H44" s="303"/>
      <c r="I44" s="304"/>
      <c r="J44" s="304"/>
      <c r="K44" s="303"/>
      <c r="L44" s="303"/>
      <c r="M44" s="303"/>
      <c r="N44" s="303"/>
      <c r="O44" s="303"/>
      <c r="P44" s="303"/>
      <c r="Q44" s="305"/>
      <c r="R44" s="305"/>
      <c r="S44" s="305"/>
      <c r="T44" s="305"/>
      <c r="U44" s="305"/>
      <c r="V44" s="305"/>
      <c r="W44" s="305"/>
      <c r="X44" s="305"/>
      <c r="Y44" s="305"/>
      <c r="Z44" s="305"/>
    </row>
    <row r="45" spans="1:26" ht="15.75" customHeight="1" x14ac:dyDescent="0.25">
      <c r="A45" s="302"/>
      <c r="B45" s="302"/>
      <c r="C45" s="302"/>
      <c r="D45" s="302"/>
      <c r="E45" s="302"/>
      <c r="F45" s="303"/>
      <c r="G45" s="302"/>
      <c r="H45" s="303"/>
      <c r="I45" s="304"/>
      <c r="J45" s="304"/>
      <c r="K45" s="303"/>
      <c r="L45" s="303"/>
      <c r="M45" s="303"/>
      <c r="N45" s="303"/>
      <c r="O45" s="303"/>
      <c r="P45" s="303"/>
      <c r="Q45" s="305"/>
      <c r="R45" s="305"/>
      <c r="S45" s="305"/>
      <c r="T45" s="305"/>
      <c r="U45" s="305"/>
      <c r="V45" s="305"/>
      <c r="W45" s="305"/>
      <c r="X45" s="305"/>
      <c r="Y45" s="305"/>
      <c r="Z45" s="305"/>
    </row>
    <row r="46" spans="1:26" ht="15.75" customHeight="1" x14ac:dyDescent="0.25">
      <c r="A46" s="302"/>
      <c r="B46" s="302"/>
      <c r="C46" s="302"/>
      <c r="D46" s="302"/>
      <c r="E46" s="302"/>
      <c r="F46" s="303"/>
      <c r="G46" s="302"/>
      <c r="H46" s="303"/>
      <c r="I46" s="304"/>
      <c r="J46" s="304"/>
      <c r="K46" s="303"/>
      <c r="L46" s="303"/>
      <c r="M46" s="303"/>
      <c r="N46" s="303"/>
      <c r="O46" s="303"/>
      <c r="P46" s="303"/>
      <c r="Q46" s="305"/>
      <c r="R46" s="305"/>
      <c r="S46" s="305"/>
      <c r="T46" s="305"/>
      <c r="U46" s="305"/>
      <c r="V46" s="305"/>
      <c r="W46" s="305"/>
      <c r="X46" s="305"/>
      <c r="Y46" s="305"/>
      <c r="Z46" s="305"/>
    </row>
    <row r="47" spans="1:26" ht="15.75" customHeight="1" x14ac:dyDescent="0.25">
      <c r="A47" s="302"/>
      <c r="B47" s="302"/>
      <c r="C47" s="302"/>
      <c r="D47" s="302"/>
      <c r="E47" s="302"/>
      <c r="F47" s="303"/>
      <c r="G47" s="302"/>
      <c r="H47" s="303"/>
      <c r="I47" s="304"/>
      <c r="J47" s="304"/>
      <c r="K47" s="303"/>
      <c r="L47" s="303"/>
      <c r="M47" s="303"/>
      <c r="N47" s="303"/>
      <c r="O47" s="303"/>
      <c r="P47" s="303"/>
      <c r="Q47" s="305"/>
      <c r="R47" s="305"/>
      <c r="S47" s="305"/>
      <c r="T47" s="305"/>
      <c r="U47" s="305"/>
      <c r="V47" s="305"/>
      <c r="W47" s="305"/>
      <c r="X47" s="305"/>
      <c r="Y47" s="305"/>
      <c r="Z47" s="305"/>
    </row>
    <row r="48" spans="1:26" ht="15.75" customHeight="1" x14ac:dyDescent="0.25">
      <c r="A48" s="302"/>
      <c r="B48" s="302"/>
      <c r="C48" s="302"/>
      <c r="D48" s="302"/>
      <c r="E48" s="302"/>
      <c r="F48" s="303"/>
      <c r="G48" s="302"/>
      <c r="H48" s="303"/>
      <c r="I48" s="304"/>
      <c r="J48" s="304"/>
      <c r="K48" s="303"/>
      <c r="L48" s="303"/>
      <c r="M48" s="303"/>
      <c r="N48" s="303"/>
      <c r="O48" s="303"/>
      <c r="P48" s="303"/>
      <c r="Q48" s="305"/>
      <c r="R48" s="305"/>
      <c r="S48" s="305"/>
      <c r="T48" s="305"/>
      <c r="U48" s="305"/>
      <c r="V48" s="305"/>
      <c r="W48" s="305"/>
      <c r="X48" s="305"/>
      <c r="Y48" s="305"/>
      <c r="Z48" s="305"/>
    </row>
    <row r="49" spans="1:26" ht="15.75" customHeight="1" x14ac:dyDescent="0.25">
      <c r="A49" s="302"/>
      <c r="B49" s="302"/>
      <c r="C49" s="302"/>
      <c r="D49" s="302"/>
      <c r="E49" s="302"/>
      <c r="F49" s="303"/>
      <c r="G49" s="302"/>
      <c r="H49" s="303"/>
      <c r="I49" s="304"/>
      <c r="J49" s="304"/>
      <c r="K49" s="303"/>
      <c r="L49" s="303"/>
      <c r="M49" s="303"/>
      <c r="N49" s="303"/>
      <c r="O49" s="303"/>
      <c r="P49" s="303"/>
      <c r="Q49" s="305"/>
      <c r="R49" s="305"/>
      <c r="S49" s="305"/>
      <c r="T49" s="305"/>
      <c r="U49" s="305"/>
      <c r="V49" s="305"/>
      <c r="W49" s="305"/>
      <c r="X49" s="305"/>
      <c r="Y49" s="305"/>
      <c r="Z49" s="305"/>
    </row>
    <row r="50" spans="1:26" ht="15.75" customHeight="1" x14ac:dyDescent="0.25">
      <c r="A50" s="302"/>
      <c r="B50" s="302"/>
      <c r="C50" s="302"/>
      <c r="D50" s="302"/>
      <c r="E50" s="302"/>
      <c r="F50" s="303"/>
      <c r="G50" s="302"/>
      <c r="H50" s="303"/>
      <c r="I50" s="304"/>
      <c r="J50" s="304"/>
      <c r="K50" s="303"/>
      <c r="L50" s="303"/>
      <c r="M50" s="303"/>
      <c r="N50" s="303"/>
      <c r="O50" s="303"/>
      <c r="P50" s="303"/>
      <c r="Q50" s="305"/>
      <c r="R50" s="305"/>
      <c r="S50" s="305"/>
      <c r="T50" s="305"/>
      <c r="U50" s="305"/>
      <c r="V50" s="305"/>
      <c r="W50" s="305"/>
      <c r="X50" s="305"/>
      <c r="Y50" s="305"/>
      <c r="Z50" s="305"/>
    </row>
    <row r="51" spans="1:26" ht="15.75" customHeight="1" x14ac:dyDescent="0.25">
      <c r="A51" s="302"/>
      <c r="B51" s="302"/>
      <c r="C51" s="302"/>
      <c r="D51" s="302"/>
      <c r="E51" s="302"/>
      <c r="F51" s="303"/>
      <c r="G51" s="302"/>
      <c r="H51" s="303"/>
      <c r="I51" s="304"/>
      <c r="J51" s="304"/>
      <c r="K51" s="303"/>
      <c r="L51" s="303"/>
      <c r="M51" s="303"/>
      <c r="N51" s="303"/>
      <c r="O51" s="303"/>
      <c r="P51" s="303"/>
      <c r="Q51" s="305"/>
      <c r="R51" s="305"/>
      <c r="S51" s="305"/>
      <c r="T51" s="305"/>
      <c r="U51" s="305"/>
      <c r="V51" s="305"/>
      <c r="W51" s="305"/>
      <c r="X51" s="305"/>
      <c r="Y51" s="305"/>
      <c r="Z51" s="305"/>
    </row>
    <row r="52" spans="1:26" ht="15.75" customHeight="1" x14ac:dyDescent="0.25">
      <c r="A52" s="302"/>
      <c r="B52" s="302"/>
      <c r="C52" s="302"/>
      <c r="D52" s="302"/>
      <c r="E52" s="302"/>
      <c r="F52" s="303"/>
      <c r="G52" s="302"/>
      <c r="H52" s="303"/>
      <c r="I52" s="304"/>
      <c r="J52" s="304"/>
      <c r="K52" s="303"/>
      <c r="L52" s="303"/>
      <c r="M52" s="303"/>
      <c r="N52" s="303"/>
      <c r="O52" s="303"/>
      <c r="P52" s="303"/>
      <c r="Q52" s="305"/>
      <c r="R52" s="305"/>
      <c r="S52" s="305"/>
      <c r="T52" s="305"/>
      <c r="U52" s="305"/>
      <c r="V52" s="305"/>
      <c r="W52" s="305"/>
      <c r="X52" s="305"/>
      <c r="Y52" s="305"/>
      <c r="Z52" s="305"/>
    </row>
    <row r="53" spans="1:26" ht="15.75" customHeight="1" x14ac:dyDescent="0.25">
      <c r="A53" s="302"/>
      <c r="B53" s="302"/>
      <c r="C53" s="302"/>
      <c r="D53" s="302"/>
      <c r="E53" s="302"/>
      <c r="F53" s="303"/>
      <c r="G53" s="302"/>
      <c r="H53" s="303"/>
      <c r="I53" s="304"/>
      <c r="J53" s="304"/>
      <c r="K53" s="303"/>
      <c r="L53" s="303"/>
      <c r="M53" s="303"/>
      <c r="N53" s="303"/>
      <c r="O53" s="303"/>
      <c r="P53" s="303"/>
      <c r="Q53" s="305"/>
      <c r="R53" s="305"/>
      <c r="S53" s="305"/>
      <c r="T53" s="305"/>
      <c r="U53" s="305"/>
      <c r="V53" s="305"/>
      <c r="W53" s="305"/>
      <c r="X53" s="305"/>
      <c r="Y53" s="305"/>
      <c r="Z53" s="305"/>
    </row>
    <row r="54" spans="1:26" ht="15.75" customHeight="1" x14ac:dyDescent="0.25">
      <c r="A54" s="302"/>
      <c r="B54" s="302"/>
      <c r="C54" s="302"/>
      <c r="D54" s="302"/>
      <c r="E54" s="302"/>
      <c r="F54" s="303"/>
      <c r="G54" s="302"/>
      <c r="H54" s="303"/>
      <c r="I54" s="304"/>
      <c r="J54" s="304"/>
      <c r="K54" s="303"/>
      <c r="L54" s="303"/>
      <c r="M54" s="303"/>
      <c r="N54" s="303"/>
      <c r="O54" s="303"/>
      <c r="P54" s="303"/>
      <c r="Q54" s="305"/>
      <c r="R54" s="305"/>
      <c r="S54" s="305"/>
      <c r="T54" s="305"/>
      <c r="U54" s="305"/>
      <c r="V54" s="305"/>
      <c r="W54" s="305"/>
      <c r="X54" s="305"/>
      <c r="Y54" s="305"/>
      <c r="Z54" s="305"/>
    </row>
    <row r="55" spans="1:26" ht="15.75" customHeight="1" x14ac:dyDescent="0.25">
      <c r="A55" s="302"/>
      <c r="B55" s="302"/>
      <c r="C55" s="302"/>
      <c r="D55" s="302"/>
      <c r="E55" s="302"/>
      <c r="F55" s="303"/>
      <c r="G55" s="302"/>
      <c r="H55" s="303"/>
      <c r="I55" s="304"/>
      <c r="J55" s="304"/>
      <c r="K55" s="303"/>
      <c r="L55" s="303"/>
      <c r="M55" s="303"/>
      <c r="N55" s="303"/>
      <c r="O55" s="303"/>
      <c r="P55" s="303"/>
      <c r="Q55" s="305"/>
      <c r="R55" s="305"/>
      <c r="S55" s="305"/>
      <c r="T55" s="305"/>
      <c r="U55" s="305"/>
      <c r="V55" s="305"/>
      <c r="W55" s="305"/>
      <c r="X55" s="305"/>
      <c r="Y55" s="305"/>
      <c r="Z55" s="305"/>
    </row>
    <row r="56" spans="1:26" ht="15.75" customHeight="1" x14ac:dyDescent="0.25">
      <c r="A56" s="302"/>
      <c r="B56" s="302"/>
      <c r="C56" s="302"/>
      <c r="D56" s="302"/>
      <c r="E56" s="302"/>
      <c r="F56" s="303"/>
      <c r="G56" s="302"/>
      <c r="H56" s="303"/>
      <c r="I56" s="304"/>
      <c r="J56" s="304"/>
      <c r="K56" s="303"/>
      <c r="L56" s="303"/>
      <c r="M56" s="303"/>
      <c r="N56" s="303"/>
      <c r="O56" s="303"/>
      <c r="P56" s="303"/>
      <c r="Q56" s="305"/>
      <c r="R56" s="305"/>
      <c r="S56" s="305"/>
      <c r="T56" s="305"/>
      <c r="U56" s="305"/>
      <c r="V56" s="305"/>
      <c r="W56" s="305"/>
      <c r="X56" s="305"/>
      <c r="Y56" s="305"/>
      <c r="Z56" s="305"/>
    </row>
    <row r="57" spans="1:26" ht="15.75" customHeight="1" x14ac:dyDescent="0.25">
      <c r="A57" s="302"/>
      <c r="B57" s="302"/>
      <c r="C57" s="302"/>
      <c r="D57" s="302"/>
      <c r="E57" s="302"/>
      <c r="F57" s="303"/>
      <c r="G57" s="302"/>
      <c r="H57" s="303"/>
      <c r="I57" s="304"/>
      <c r="J57" s="304"/>
      <c r="K57" s="303"/>
      <c r="L57" s="303"/>
      <c r="M57" s="303"/>
      <c r="N57" s="303"/>
      <c r="O57" s="303"/>
      <c r="P57" s="303"/>
      <c r="Q57" s="305"/>
      <c r="R57" s="305"/>
      <c r="S57" s="305"/>
      <c r="T57" s="305"/>
      <c r="U57" s="305"/>
      <c r="V57" s="305"/>
      <c r="W57" s="305"/>
      <c r="X57" s="305"/>
      <c r="Y57" s="305"/>
      <c r="Z57" s="305"/>
    </row>
    <row r="58" spans="1:26" ht="15.75" customHeight="1" x14ac:dyDescent="0.25">
      <c r="A58" s="302"/>
      <c r="B58" s="302"/>
      <c r="C58" s="302"/>
      <c r="D58" s="302"/>
      <c r="E58" s="302"/>
      <c r="F58" s="303"/>
      <c r="G58" s="302"/>
      <c r="H58" s="303"/>
      <c r="I58" s="304"/>
      <c r="J58" s="304"/>
      <c r="K58" s="303"/>
      <c r="L58" s="303"/>
      <c r="M58" s="303"/>
      <c r="N58" s="303"/>
      <c r="O58" s="303"/>
      <c r="P58" s="303"/>
      <c r="Q58" s="305"/>
      <c r="R58" s="305"/>
      <c r="S58" s="305"/>
      <c r="T58" s="305"/>
      <c r="U58" s="305"/>
      <c r="V58" s="305"/>
      <c r="W58" s="305"/>
      <c r="X58" s="305"/>
      <c r="Y58" s="305"/>
      <c r="Z58" s="305"/>
    </row>
    <row r="59" spans="1:26" ht="15.75" customHeight="1" x14ac:dyDescent="0.25">
      <c r="A59" s="302"/>
      <c r="B59" s="302"/>
      <c r="C59" s="302"/>
      <c r="D59" s="302"/>
      <c r="E59" s="302"/>
      <c r="F59" s="303"/>
      <c r="G59" s="302"/>
      <c r="H59" s="303"/>
      <c r="I59" s="304"/>
      <c r="J59" s="304"/>
      <c r="K59" s="303"/>
      <c r="L59" s="303"/>
      <c r="M59" s="303"/>
      <c r="N59" s="303"/>
      <c r="O59" s="303"/>
      <c r="P59" s="303"/>
      <c r="Q59" s="305"/>
      <c r="R59" s="305"/>
      <c r="S59" s="305"/>
      <c r="T59" s="305"/>
      <c r="U59" s="305"/>
      <c r="V59" s="305"/>
      <c r="W59" s="305"/>
      <c r="X59" s="305"/>
      <c r="Y59" s="305"/>
      <c r="Z59" s="305"/>
    </row>
    <row r="60" spans="1:26" ht="15.75" customHeight="1" x14ac:dyDescent="0.25">
      <c r="A60" s="302"/>
      <c r="B60" s="302"/>
      <c r="C60" s="302"/>
      <c r="D60" s="302"/>
      <c r="E60" s="302"/>
      <c r="F60" s="303"/>
      <c r="G60" s="302"/>
      <c r="H60" s="303"/>
      <c r="I60" s="304"/>
      <c r="J60" s="304"/>
      <c r="K60" s="303"/>
      <c r="L60" s="303"/>
      <c r="M60" s="303"/>
      <c r="N60" s="303"/>
      <c r="O60" s="303"/>
      <c r="P60" s="303"/>
      <c r="Q60" s="305"/>
      <c r="R60" s="305"/>
      <c r="S60" s="305"/>
      <c r="T60" s="305"/>
      <c r="U60" s="305"/>
      <c r="V60" s="305"/>
      <c r="W60" s="305"/>
      <c r="X60" s="305"/>
      <c r="Y60" s="305"/>
      <c r="Z60" s="305"/>
    </row>
    <row r="61" spans="1:26" ht="15.75" customHeight="1" x14ac:dyDescent="0.25">
      <c r="A61" s="302"/>
      <c r="B61" s="302"/>
      <c r="C61" s="302"/>
      <c r="D61" s="302"/>
      <c r="E61" s="302"/>
      <c r="F61" s="303"/>
      <c r="G61" s="302"/>
      <c r="H61" s="303"/>
      <c r="I61" s="304"/>
      <c r="J61" s="304"/>
      <c r="K61" s="303"/>
      <c r="L61" s="303"/>
      <c r="M61" s="303"/>
      <c r="N61" s="303"/>
      <c r="O61" s="303"/>
      <c r="P61" s="303"/>
      <c r="Q61" s="305"/>
      <c r="R61" s="305"/>
      <c r="S61" s="305"/>
      <c r="T61" s="305"/>
      <c r="U61" s="305"/>
      <c r="V61" s="305"/>
      <c r="W61" s="305"/>
      <c r="X61" s="305"/>
      <c r="Y61" s="305"/>
      <c r="Z61" s="305"/>
    </row>
    <row r="62" spans="1:26" ht="15.75" customHeight="1" x14ac:dyDescent="0.25">
      <c r="A62" s="302"/>
      <c r="B62" s="302"/>
      <c r="C62" s="302"/>
      <c r="D62" s="302"/>
      <c r="E62" s="302"/>
      <c r="F62" s="303"/>
      <c r="G62" s="302"/>
      <c r="H62" s="303"/>
      <c r="I62" s="304"/>
      <c r="J62" s="304"/>
      <c r="K62" s="303"/>
      <c r="L62" s="303"/>
      <c r="M62" s="303"/>
      <c r="N62" s="303"/>
      <c r="O62" s="303"/>
      <c r="P62" s="303"/>
      <c r="Q62" s="305"/>
      <c r="R62" s="305"/>
      <c r="S62" s="305"/>
      <c r="T62" s="305"/>
      <c r="U62" s="305"/>
      <c r="V62" s="305"/>
      <c r="W62" s="305"/>
      <c r="X62" s="305"/>
      <c r="Y62" s="305"/>
      <c r="Z62" s="305"/>
    </row>
    <row r="63" spans="1:26" ht="15.75" customHeight="1" x14ac:dyDescent="0.25">
      <c r="A63" s="302"/>
      <c r="B63" s="302"/>
      <c r="C63" s="302"/>
      <c r="D63" s="302"/>
      <c r="E63" s="302"/>
      <c r="F63" s="303"/>
      <c r="G63" s="302"/>
      <c r="H63" s="303"/>
      <c r="I63" s="304"/>
      <c r="J63" s="304"/>
      <c r="K63" s="303"/>
      <c r="L63" s="303"/>
      <c r="M63" s="303"/>
      <c r="N63" s="303"/>
      <c r="O63" s="303"/>
      <c r="P63" s="303"/>
      <c r="Q63" s="305"/>
      <c r="R63" s="305"/>
      <c r="S63" s="305"/>
      <c r="T63" s="305"/>
      <c r="U63" s="305"/>
      <c r="V63" s="305"/>
      <c r="W63" s="305"/>
      <c r="X63" s="305"/>
      <c r="Y63" s="305"/>
      <c r="Z63" s="305"/>
    </row>
    <row r="64" spans="1:26" ht="15.75" customHeight="1" x14ac:dyDescent="0.25">
      <c r="A64" s="302"/>
      <c r="B64" s="302"/>
      <c r="C64" s="302"/>
      <c r="D64" s="302"/>
      <c r="E64" s="302"/>
      <c r="F64" s="303"/>
      <c r="G64" s="302"/>
      <c r="H64" s="303"/>
      <c r="I64" s="304"/>
      <c r="J64" s="304"/>
      <c r="K64" s="303"/>
      <c r="L64" s="303"/>
      <c r="M64" s="303"/>
      <c r="N64" s="303"/>
      <c r="O64" s="303"/>
      <c r="P64" s="303"/>
      <c r="Q64" s="305"/>
      <c r="R64" s="305"/>
      <c r="S64" s="305"/>
      <c r="T64" s="305"/>
      <c r="U64" s="305"/>
      <c r="V64" s="305"/>
      <c r="W64" s="305"/>
      <c r="X64" s="305"/>
      <c r="Y64" s="305"/>
      <c r="Z64" s="305"/>
    </row>
    <row r="65" spans="1:26" ht="15.75" customHeight="1" x14ac:dyDescent="0.25">
      <c r="A65" s="302"/>
      <c r="B65" s="302"/>
      <c r="C65" s="302"/>
      <c r="D65" s="302"/>
      <c r="E65" s="302"/>
      <c r="F65" s="303"/>
      <c r="G65" s="302"/>
      <c r="H65" s="303"/>
      <c r="I65" s="304"/>
      <c r="J65" s="304"/>
      <c r="K65" s="303"/>
      <c r="L65" s="303"/>
      <c r="M65" s="303"/>
      <c r="N65" s="303"/>
      <c r="O65" s="303"/>
      <c r="P65" s="303"/>
      <c r="Q65" s="305"/>
      <c r="R65" s="305"/>
      <c r="S65" s="305"/>
      <c r="T65" s="305"/>
      <c r="U65" s="305"/>
      <c r="V65" s="305"/>
      <c r="W65" s="305"/>
      <c r="X65" s="305"/>
      <c r="Y65" s="305"/>
      <c r="Z65" s="305"/>
    </row>
    <row r="66" spans="1:26" ht="15.75" customHeight="1" x14ac:dyDescent="0.25">
      <c r="A66" s="302"/>
      <c r="B66" s="302"/>
      <c r="C66" s="302"/>
      <c r="D66" s="302"/>
      <c r="E66" s="302"/>
      <c r="F66" s="303"/>
      <c r="G66" s="302"/>
      <c r="H66" s="303"/>
      <c r="I66" s="304"/>
      <c r="J66" s="304"/>
      <c r="K66" s="303"/>
      <c r="L66" s="303"/>
      <c r="M66" s="303"/>
      <c r="N66" s="303"/>
      <c r="O66" s="303"/>
      <c r="P66" s="303"/>
      <c r="Q66" s="305"/>
      <c r="R66" s="305"/>
      <c r="S66" s="305"/>
      <c r="T66" s="305"/>
      <c r="U66" s="305"/>
      <c r="V66" s="305"/>
      <c r="W66" s="305"/>
      <c r="X66" s="305"/>
      <c r="Y66" s="305"/>
      <c r="Z66" s="305"/>
    </row>
    <row r="67" spans="1:26" ht="15.75" customHeight="1" x14ac:dyDescent="0.25">
      <c r="A67" s="302"/>
      <c r="B67" s="302"/>
      <c r="C67" s="302"/>
      <c r="D67" s="302"/>
      <c r="E67" s="302"/>
      <c r="F67" s="303"/>
      <c r="G67" s="302"/>
      <c r="H67" s="303"/>
      <c r="I67" s="304"/>
      <c r="J67" s="304"/>
      <c r="K67" s="303"/>
      <c r="L67" s="303"/>
      <c r="M67" s="303"/>
      <c r="N67" s="303"/>
      <c r="O67" s="303"/>
      <c r="P67" s="303"/>
      <c r="Q67" s="305"/>
      <c r="R67" s="305"/>
      <c r="S67" s="305"/>
      <c r="T67" s="305"/>
      <c r="U67" s="305"/>
      <c r="V67" s="305"/>
      <c r="W67" s="305"/>
      <c r="X67" s="305"/>
      <c r="Y67" s="305"/>
      <c r="Z67" s="305"/>
    </row>
    <row r="68" spans="1:26" ht="15.75" customHeight="1" x14ac:dyDescent="0.25">
      <c r="A68" s="302"/>
      <c r="B68" s="302"/>
      <c r="C68" s="302"/>
      <c r="D68" s="302"/>
      <c r="E68" s="302"/>
      <c r="F68" s="303"/>
      <c r="G68" s="302"/>
      <c r="H68" s="303"/>
      <c r="I68" s="304"/>
      <c r="J68" s="304"/>
      <c r="K68" s="303"/>
      <c r="L68" s="303"/>
      <c r="M68" s="303"/>
      <c r="N68" s="303"/>
      <c r="O68" s="303"/>
      <c r="P68" s="303"/>
      <c r="Q68" s="305"/>
      <c r="R68" s="305"/>
      <c r="S68" s="305"/>
      <c r="T68" s="305"/>
      <c r="U68" s="305"/>
      <c r="V68" s="305"/>
      <c r="W68" s="305"/>
      <c r="X68" s="305"/>
      <c r="Y68" s="305"/>
      <c r="Z68" s="305"/>
    </row>
    <row r="69" spans="1:26" ht="15.75" customHeight="1" x14ac:dyDescent="0.25">
      <c r="A69" s="302"/>
      <c r="B69" s="302"/>
      <c r="C69" s="302"/>
      <c r="D69" s="302"/>
      <c r="E69" s="302"/>
      <c r="F69" s="303"/>
      <c r="G69" s="302"/>
      <c r="H69" s="303"/>
      <c r="I69" s="304"/>
      <c r="J69" s="304"/>
      <c r="K69" s="303"/>
      <c r="L69" s="303"/>
      <c r="M69" s="303"/>
      <c r="N69" s="303"/>
      <c r="O69" s="303"/>
      <c r="P69" s="303"/>
      <c r="Q69" s="305"/>
      <c r="R69" s="305"/>
      <c r="S69" s="305"/>
      <c r="T69" s="305"/>
      <c r="U69" s="305"/>
      <c r="V69" s="305"/>
      <c r="W69" s="305"/>
      <c r="X69" s="305"/>
      <c r="Y69" s="305"/>
      <c r="Z69" s="305"/>
    </row>
    <row r="70" spans="1:26" ht="15.75" customHeight="1" x14ac:dyDescent="0.25">
      <c r="A70" s="302"/>
      <c r="B70" s="302"/>
      <c r="C70" s="302"/>
      <c r="D70" s="302"/>
      <c r="E70" s="302"/>
      <c r="F70" s="303"/>
      <c r="G70" s="302"/>
      <c r="H70" s="303"/>
      <c r="I70" s="304"/>
      <c r="J70" s="304"/>
      <c r="K70" s="303"/>
      <c r="L70" s="303"/>
      <c r="M70" s="303"/>
      <c r="N70" s="303"/>
      <c r="O70" s="303"/>
      <c r="P70" s="303"/>
      <c r="Q70" s="305"/>
      <c r="R70" s="305"/>
      <c r="S70" s="305"/>
      <c r="T70" s="305"/>
      <c r="U70" s="305"/>
      <c r="V70" s="305"/>
      <c r="W70" s="305"/>
      <c r="X70" s="305"/>
      <c r="Y70" s="305"/>
      <c r="Z70" s="305"/>
    </row>
    <row r="71" spans="1:26" ht="15.75" customHeight="1" x14ac:dyDescent="0.25">
      <c r="A71" s="302"/>
      <c r="B71" s="302"/>
      <c r="C71" s="302"/>
      <c r="D71" s="302"/>
      <c r="E71" s="302"/>
      <c r="F71" s="303"/>
      <c r="G71" s="302"/>
      <c r="H71" s="303"/>
      <c r="I71" s="304"/>
      <c r="J71" s="304"/>
      <c r="K71" s="303"/>
      <c r="L71" s="303"/>
      <c r="M71" s="303"/>
      <c r="N71" s="303"/>
      <c r="O71" s="303"/>
      <c r="P71" s="303"/>
      <c r="Q71" s="305"/>
      <c r="R71" s="305"/>
      <c r="S71" s="305"/>
      <c r="T71" s="305"/>
      <c r="U71" s="305"/>
      <c r="V71" s="305"/>
      <c r="W71" s="305"/>
      <c r="X71" s="305"/>
      <c r="Y71" s="305"/>
      <c r="Z71" s="305"/>
    </row>
    <row r="72" spans="1:26" ht="15.75" customHeight="1" x14ac:dyDescent="0.25">
      <c r="A72" s="302"/>
      <c r="B72" s="302"/>
      <c r="C72" s="302"/>
      <c r="D72" s="302"/>
      <c r="E72" s="302"/>
      <c r="F72" s="303"/>
      <c r="G72" s="302"/>
      <c r="H72" s="303"/>
      <c r="I72" s="304"/>
      <c r="J72" s="304"/>
      <c r="K72" s="303"/>
      <c r="L72" s="303"/>
      <c r="M72" s="303"/>
      <c r="N72" s="303"/>
      <c r="O72" s="303"/>
      <c r="P72" s="303"/>
      <c r="Q72" s="305"/>
      <c r="R72" s="305"/>
      <c r="S72" s="305"/>
      <c r="T72" s="305"/>
      <c r="U72" s="305"/>
      <c r="V72" s="305"/>
      <c r="W72" s="305"/>
      <c r="X72" s="305"/>
      <c r="Y72" s="305"/>
      <c r="Z72" s="305"/>
    </row>
    <row r="73" spans="1:26" ht="15.75" customHeight="1" x14ac:dyDescent="0.25">
      <c r="A73" s="302"/>
      <c r="B73" s="302"/>
      <c r="C73" s="302"/>
      <c r="D73" s="302"/>
      <c r="E73" s="302"/>
      <c r="F73" s="303"/>
      <c r="G73" s="302"/>
      <c r="H73" s="303"/>
      <c r="I73" s="304"/>
      <c r="J73" s="304"/>
      <c r="K73" s="303"/>
      <c r="L73" s="303"/>
      <c r="M73" s="303"/>
      <c r="N73" s="303"/>
      <c r="O73" s="303"/>
      <c r="P73" s="303"/>
      <c r="Q73" s="305"/>
      <c r="R73" s="305"/>
      <c r="S73" s="305"/>
      <c r="T73" s="305"/>
      <c r="U73" s="305"/>
      <c r="V73" s="305"/>
      <c r="W73" s="305"/>
      <c r="X73" s="305"/>
      <c r="Y73" s="305"/>
      <c r="Z73" s="305"/>
    </row>
    <row r="74" spans="1:26" ht="15.75" customHeight="1" x14ac:dyDescent="0.25">
      <c r="A74" s="302"/>
      <c r="B74" s="302"/>
      <c r="C74" s="302"/>
      <c r="D74" s="302"/>
      <c r="E74" s="302"/>
      <c r="F74" s="303"/>
      <c r="G74" s="302"/>
      <c r="H74" s="303"/>
      <c r="I74" s="304"/>
      <c r="J74" s="304"/>
      <c r="K74" s="303"/>
      <c r="L74" s="303"/>
      <c r="M74" s="303"/>
      <c r="N74" s="303"/>
      <c r="O74" s="303"/>
      <c r="P74" s="303"/>
      <c r="Q74" s="305"/>
      <c r="R74" s="305"/>
      <c r="S74" s="305"/>
      <c r="T74" s="305"/>
      <c r="U74" s="305"/>
      <c r="V74" s="305"/>
      <c r="W74" s="305"/>
      <c r="X74" s="305"/>
      <c r="Y74" s="305"/>
      <c r="Z74" s="305"/>
    </row>
    <row r="75" spans="1:26" ht="15.75" customHeight="1" x14ac:dyDescent="0.25">
      <c r="A75" s="302"/>
      <c r="B75" s="302"/>
      <c r="C75" s="302"/>
      <c r="D75" s="302"/>
      <c r="E75" s="302"/>
      <c r="F75" s="303"/>
      <c r="G75" s="302"/>
      <c r="H75" s="303"/>
      <c r="I75" s="304"/>
      <c r="J75" s="304"/>
      <c r="K75" s="303"/>
      <c r="L75" s="303"/>
      <c r="M75" s="303"/>
      <c r="N75" s="303"/>
      <c r="O75" s="303"/>
      <c r="P75" s="303"/>
      <c r="Q75" s="305"/>
      <c r="R75" s="305"/>
      <c r="S75" s="305"/>
      <c r="T75" s="305"/>
      <c r="U75" s="305"/>
      <c r="V75" s="305"/>
      <c r="W75" s="305"/>
      <c r="X75" s="305"/>
      <c r="Y75" s="305"/>
      <c r="Z75" s="305"/>
    </row>
    <row r="76" spans="1:26" ht="15.75" customHeight="1" x14ac:dyDescent="0.25">
      <c r="A76" s="302"/>
      <c r="B76" s="302"/>
      <c r="C76" s="302"/>
      <c r="D76" s="302"/>
      <c r="E76" s="302"/>
      <c r="F76" s="303"/>
      <c r="G76" s="302"/>
      <c r="H76" s="303"/>
      <c r="I76" s="304"/>
      <c r="J76" s="304"/>
      <c r="K76" s="303"/>
      <c r="L76" s="303"/>
      <c r="M76" s="303"/>
      <c r="N76" s="303"/>
      <c r="O76" s="303"/>
      <c r="P76" s="303"/>
      <c r="Q76" s="305"/>
      <c r="R76" s="305"/>
      <c r="S76" s="305"/>
      <c r="T76" s="305"/>
      <c r="U76" s="305"/>
      <c r="V76" s="305"/>
      <c r="W76" s="305"/>
      <c r="X76" s="305"/>
      <c r="Y76" s="305"/>
      <c r="Z76" s="305"/>
    </row>
    <row r="77" spans="1:26" ht="15.75" customHeight="1" x14ac:dyDescent="0.25">
      <c r="A77" s="302"/>
      <c r="B77" s="302"/>
      <c r="C77" s="302"/>
      <c r="D77" s="302"/>
      <c r="E77" s="302"/>
      <c r="F77" s="303"/>
      <c r="G77" s="302"/>
      <c r="H77" s="303"/>
      <c r="I77" s="304"/>
      <c r="J77" s="304"/>
      <c r="K77" s="303"/>
      <c r="L77" s="303"/>
      <c r="M77" s="303"/>
      <c r="N77" s="303"/>
      <c r="O77" s="303"/>
      <c r="P77" s="303"/>
      <c r="Q77" s="305"/>
      <c r="R77" s="305"/>
      <c r="S77" s="305"/>
      <c r="T77" s="305"/>
      <c r="U77" s="305"/>
      <c r="V77" s="305"/>
      <c r="W77" s="305"/>
      <c r="X77" s="305"/>
      <c r="Y77" s="305"/>
      <c r="Z77" s="305"/>
    </row>
    <row r="78" spans="1:26" ht="15.75" customHeight="1" x14ac:dyDescent="0.25">
      <c r="A78" s="302"/>
      <c r="B78" s="302"/>
      <c r="C78" s="302"/>
      <c r="D78" s="302"/>
      <c r="E78" s="302"/>
      <c r="F78" s="303"/>
      <c r="G78" s="302"/>
      <c r="H78" s="303"/>
      <c r="I78" s="304"/>
      <c r="J78" s="304"/>
      <c r="K78" s="303"/>
      <c r="L78" s="303"/>
      <c r="M78" s="303"/>
      <c r="N78" s="303"/>
      <c r="O78" s="303"/>
      <c r="P78" s="303"/>
      <c r="Q78" s="305"/>
      <c r="R78" s="305"/>
      <c r="S78" s="305"/>
      <c r="T78" s="305"/>
      <c r="U78" s="305"/>
      <c r="V78" s="305"/>
      <c r="W78" s="305"/>
      <c r="X78" s="305"/>
      <c r="Y78" s="305"/>
      <c r="Z78" s="305"/>
    </row>
    <row r="79" spans="1:26" ht="15.75" customHeight="1" x14ac:dyDescent="0.25">
      <c r="A79" s="302"/>
      <c r="B79" s="302"/>
      <c r="C79" s="302"/>
      <c r="D79" s="302"/>
      <c r="E79" s="302"/>
      <c r="F79" s="303"/>
      <c r="G79" s="302"/>
      <c r="H79" s="303"/>
      <c r="I79" s="304"/>
      <c r="J79" s="304"/>
      <c r="K79" s="303"/>
      <c r="L79" s="303"/>
      <c r="M79" s="303"/>
      <c r="N79" s="303"/>
      <c r="O79" s="303"/>
      <c r="P79" s="303"/>
      <c r="Q79" s="305"/>
      <c r="R79" s="305"/>
      <c r="S79" s="305"/>
      <c r="T79" s="305"/>
      <c r="U79" s="305"/>
      <c r="V79" s="305"/>
      <c r="W79" s="305"/>
      <c r="X79" s="305"/>
      <c r="Y79" s="305"/>
      <c r="Z79" s="305"/>
    </row>
    <row r="80" spans="1:26" ht="15.75" customHeight="1" x14ac:dyDescent="0.25">
      <c r="A80" s="302"/>
      <c r="B80" s="302"/>
      <c r="C80" s="302"/>
      <c r="D80" s="302"/>
      <c r="E80" s="302"/>
      <c r="F80" s="303"/>
      <c r="G80" s="302"/>
      <c r="H80" s="303"/>
      <c r="I80" s="304"/>
      <c r="J80" s="304"/>
      <c r="K80" s="303"/>
      <c r="L80" s="303"/>
      <c r="M80" s="303"/>
      <c r="N80" s="303"/>
      <c r="O80" s="303"/>
      <c r="P80" s="303"/>
      <c r="Q80" s="305"/>
      <c r="R80" s="305"/>
      <c r="S80" s="305"/>
      <c r="T80" s="305"/>
      <c r="U80" s="305"/>
      <c r="V80" s="305"/>
      <c r="W80" s="305"/>
      <c r="X80" s="305"/>
      <c r="Y80" s="305"/>
      <c r="Z80" s="305"/>
    </row>
    <row r="81" spans="1:26" ht="15.75" customHeight="1" x14ac:dyDescent="0.25">
      <c r="A81" s="302"/>
      <c r="B81" s="302"/>
      <c r="C81" s="302"/>
      <c r="D81" s="302"/>
      <c r="E81" s="302"/>
      <c r="F81" s="303"/>
      <c r="G81" s="302"/>
      <c r="H81" s="303"/>
      <c r="I81" s="304"/>
      <c r="J81" s="304"/>
      <c r="K81" s="303"/>
      <c r="L81" s="303"/>
      <c r="M81" s="303"/>
      <c r="N81" s="303"/>
      <c r="O81" s="303"/>
      <c r="P81" s="303"/>
      <c r="Q81" s="305"/>
      <c r="R81" s="305"/>
      <c r="S81" s="305"/>
      <c r="T81" s="305"/>
      <c r="U81" s="305"/>
      <c r="V81" s="305"/>
      <c r="W81" s="305"/>
      <c r="X81" s="305"/>
      <c r="Y81" s="305"/>
      <c r="Z81" s="305"/>
    </row>
    <row r="82" spans="1:26" ht="15.75" customHeight="1" x14ac:dyDescent="0.25">
      <c r="A82" s="302"/>
      <c r="B82" s="302"/>
      <c r="C82" s="302"/>
      <c r="D82" s="302"/>
      <c r="E82" s="302"/>
      <c r="F82" s="303"/>
      <c r="G82" s="302"/>
      <c r="H82" s="303"/>
      <c r="I82" s="304"/>
      <c r="J82" s="304"/>
      <c r="K82" s="303"/>
      <c r="L82" s="303"/>
      <c r="M82" s="303"/>
      <c r="N82" s="303"/>
      <c r="O82" s="303"/>
      <c r="P82" s="303"/>
      <c r="Q82" s="305"/>
      <c r="R82" s="305"/>
      <c r="S82" s="305"/>
      <c r="T82" s="305"/>
      <c r="U82" s="305"/>
      <c r="V82" s="305"/>
      <c r="W82" s="305"/>
      <c r="X82" s="305"/>
      <c r="Y82" s="305"/>
      <c r="Z82" s="305"/>
    </row>
    <row r="83" spans="1:26" ht="15.75" customHeight="1" x14ac:dyDescent="0.25">
      <c r="A83" s="302"/>
      <c r="B83" s="302"/>
      <c r="C83" s="302"/>
      <c r="D83" s="302"/>
      <c r="E83" s="302"/>
      <c r="F83" s="303"/>
      <c r="G83" s="302"/>
      <c r="H83" s="303"/>
      <c r="I83" s="304"/>
      <c r="J83" s="304"/>
      <c r="K83" s="303"/>
      <c r="L83" s="303"/>
      <c r="M83" s="303"/>
      <c r="N83" s="303"/>
      <c r="O83" s="303"/>
      <c r="P83" s="303"/>
      <c r="Q83" s="305"/>
      <c r="R83" s="305"/>
      <c r="S83" s="305"/>
      <c r="T83" s="305"/>
      <c r="U83" s="305"/>
      <c r="V83" s="305"/>
      <c r="W83" s="305"/>
      <c r="X83" s="305"/>
      <c r="Y83" s="305"/>
      <c r="Z83" s="305"/>
    </row>
    <row r="84" spans="1:26" ht="15.75" customHeight="1" x14ac:dyDescent="0.25">
      <c r="A84" s="302"/>
      <c r="B84" s="302"/>
      <c r="C84" s="302"/>
      <c r="D84" s="302"/>
      <c r="E84" s="302"/>
      <c r="F84" s="303"/>
      <c r="G84" s="302"/>
      <c r="H84" s="303"/>
      <c r="I84" s="304"/>
      <c r="J84" s="304"/>
      <c r="K84" s="303"/>
      <c r="L84" s="303"/>
      <c r="M84" s="303"/>
      <c r="N84" s="303"/>
      <c r="O84" s="303"/>
      <c r="P84" s="303"/>
      <c r="Q84" s="305"/>
      <c r="R84" s="305"/>
      <c r="S84" s="305"/>
      <c r="T84" s="305"/>
      <c r="U84" s="305"/>
      <c r="V84" s="305"/>
      <c r="W84" s="305"/>
      <c r="X84" s="305"/>
      <c r="Y84" s="305"/>
      <c r="Z84" s="305"/>
    </row>
    <row r="85" spans="1:26" ht="15.75" customHeight="1" x14ac:dyDescent="0.25">
      <c r="A85" s="302"/>
      <c r="B85" s="302"/>
      <c r="C85" s="302"/>
      <c r="D85" s="302"/>
      <c r="E85" s="302"/>
      <c r="F85" s="303"/>
      <c r="G85" s="302"/>
      <c r="H85" s="303"/>
      <c r="I85" s="304"/>
      <c r="J85" s="304"/>
      <c r="K85" s="303"/>
      <c r="L85" s="303"/>
      <c r="M85" s="303"/>
      <c r="N85" s="303"/>
      <c r="O85" s="303"/>
      <c r="P85" s="303"/>
      <c r="Q85" s="305"/>
      <c r="R85" s="305"/>
      <c r="S85" s="305"/>
      <c r="T85" s="305"/>
      <c r="U85" s="305"/>
      <c r="V85" s="305"/>
      <c r="W85" s="305"/>
      <c r="X85" s="305"/>
      <c r="Y85" s="305"/>
      <c r="Z85" s="305"/>
    </row>
    <row r="86" spans="1:26" ht="15.75" customHeight="1" x14ac:dyDescent="0.25">
      <c r="A86" s="302"/>
      <c r="B86" s="302"/>
      <c r="C86" s="302"/>
      <c r="D86" s="302"/>
      <c r="E86" s="302"/>
      <c r="F86" s="303"/>
      <c r="G86" s="302"/>
      <c r="H86" s="303"/>
      <c r="I86" s="304"/>
      <c r="J86" s="304"/>
      <c r="K86" s="303"/>
      <c r="L86" s="303"/>
      <c r="M86" s="303"/>
      <c r="N86" s="303"/>
      <c r="O86" s="303"/>
      <c r="P86" s="303"/>
      <c r="Q86" s="305"/>
      <c r="R86" s="305"/>
      <c r="S86" s="305"/>
      <c r="T86" s="305"/>
      <c r="U86" s="305"/>
      <c r="V86" s="305"/>
      <c r="W86" s="305"/>
      <c r="X86" s="305"/>
      <c r="Y86" s="305"/>
      <c r="Z86" s="305"/>
    </row>
    <row r="87" spans="1:26" ht="15.75" customHeight="1" x14ac:dyDescent="0.25">
      <c r="A87" s="302"/>
      <c r="B87" s="302"/>
      <c r="C87" s="302"/>
      <c r="D87" s="302"/>
      <c r="E87" s="302"/>
      <c r="F87" s="303"/>
      <c r="G87" s="302"/>
      <c r="H87" s="303"/>
      <c r="I87" s="304"/>
      <c r="J87" s="304"/>
      <c r="K87" s="303"/>
      <c r="L87" s="303"/>
      <c r="M87" s="303"/>
      <c r="N87" s="303"/>
      <c r="O87" s="303"/>
      <c r="P87" s="303"/>
      <c r="Q87" s="305"/>
      <c r="R87" s="305"/>
      <c r="S87" s="305"/>
      <c r="T87" s="305"/>
      <c r="U87" s="305"/>
      <c r="V87" s="305"/>
      <c r="W87" s="305"/>
      <c r="X87" s="305"/>
      <c r="Y87" s="305"/>
      <c r="Z87" s="305"/>
    </row>
    <row r="88" spans="1:26" ht="15.75" customHeight="1" x14ac:dyDescent="0.25">
      <c r="A88" s="302"/>
      <c r="B88" s="302"/>
      <c r="C88" s="302"/>
      <c r="D88" s="302"/>
      <c r="E88" s="302"/>
      <c r="F88" s="303"/>
      <c r="G88" s="302"/>
      <c r="H88" s="303"/>
      <c r="I88" s="304"/>
      <c r="J88" s="304"/>
      <c r="K88" s="303"/>
      <c r="L88" s="303"/>
      <c r="M88" s="303"/>
      <c r="N88" s="303"/>
      <c r="O88" s="303"/>
      <c r="P88" s="303"/>
      <c r="Q88" s="305"/>
      <c r="R88" s="305"/>
      <c r="S88" s="305"/>
      <c r="T88" s="305"/>
      <c r="U88" s="305"/>
      <c r="V88" s="305"/>
      <c r="W88" s="305"/>
      <c r="X88" s="305"/>
      <c r="Y88" s="305"/>
      <c r="Z88" s="305"/>
    </row>
    <row r="89" spans="1:26" ht="15.75" customHeight="1" x14ac:dyDescent="0.25">
      <c r="A89" s="302"/>
      <c r="B89" s="302"/>
      <c r="C89" s="302"/>
      <c r="D89" s="302"/>
      <c r="E89" s="302"/>
      <c r="F89" s="303"/>
      <c r="G89" s="302"/>
      <c r="H89" s="303"/>
      <c r="I89" s="304"/>
      <c r="J89" s="304"/>
      <c r="K89" s="303"/>
      <c r="L89" s="303"/>
      <c r="M89" s="303"/>
      <c r="N89" s="303"/>
      <c r="O89" s="303"/>
      <c r="P89" s="303"/>
      <c r="Q89" s="305"/>
      <c r="R89" s="305"/>
      <c r="S89" s="305"/>
      <c r="T89" s="305"/>
      <c r="U89" s="305"/>
      <c r="V89" s="305"/>
      <c r="W89" s="305"/>
      <c r="X89" s="305"/>
      <c r="Y89" s="305"/>
      <c r="Z89" s="305"/>
    </row>
    <row r="90" spans="1:26" ht="15.75" customHeight="1" x14ac:dyDescent="0.25">
      <c r="A90" s="302"/>
      <c r="B90" s="302"/>
      <c r="C90" s="302"/>
      <c r="D90" s="302"/>
      <c r="E90" s="302"/>
      <c r="F90" s="303"/>
      <c r="G90" s="302"/>
      <c r="H90" s="303"/>
      <c r="I90" s="304"/>
      <c r="J90" s="304"/>
      <c r="K90" s="303"/>
      <c r="L90" s="303"/>
      <c r="M90" s="303"/>
      <c r="N90" s="303"/>
      <c r="O90" s="303"/>
      <c r="P90" s="303"/>
      <c r="Q90" s="305"/>
      <c r="R90" s="305"/>
      <c r="S90" s="305"/>
      <c r="T90" s="305"/>
      <c r="U90" s="305"/>
      <c r="V90" s="305"/>
      <c r="W90" s="305"/>
      <c r="X90" s="305"/>
      <c r="Y90" s="305"/>
      <c r="Z90" s="305"/>
    </row>
    <row r="91" spans="1:26" ht="15.75" customHeight="1" x14ac:dyDescent="0.25">
      <c r="A91" s="302"/>
      <c r="B91" s="302"/>
      <c r="C91" s="302"/>
      <c r="D91" s="302"/>
      <c r="E91" s="302"/>
      <c r="F91" s="303"/>
      <c r="G91" s="302"/>
      <c r="H91" s="303"/>
      <c r="I91" s="304"/>
      <c r="J91" s="304"/>
      <c r="K91" s="303"/>
      <c r="L91" s="303"/>
      <c r="M91" s="303"/>
      <c r="N91" s="303"/>
      <c r="O91" s="303"/>
      <c r="P91" s="303"/>
      <c r="Q91" s="305"/>
      <c r="R91" s="305"/>
      <c r="S91" s="305"/>
      <c r="T91" s="305"/>
      <c r="U91" s="305"/>
      <c r="V91" s="305"/>
      <c r="W91" s="305"/>
      <c r="X91" s="305"/>
      <c r="Y91" s="305"/>
      <c r="Z91" s="305"/>
    </row>
    <row r="92" spans="1:26" ht="15.75" customHeight="1" x14ac:dyDescent="0.25">
      <c r="A92" s="302"/>
      <c r="B92" s="302"/>
      <c r="C92" s="302"/>
      <c r="D92" s="302"/>
      <c r="E92" s="302"/>
      <c r="F92" s="303"/>
      <c r="G92" s="302"/>
      <c r="H92" s="303"/>
      <c r="I92" s="304"/>
      <c r="J92" s="304"/>
      <c r="K92" s="303"/>
      <c r="L92" s="303"/>
      <c r="M92" s="303"/>
      <c r="N92" s="303"/>
      <c r="O92" s="303"/>
      <c r="P92" s="303"/>
      <c r="Q92" s="305"/>
      <c r="R92" s="305"/>
      <c r="S92" s="305"/>
      <c r="T92" s="305"/>
      <c r="U92" s="305"/>
      <c r="V92" s="305"/>
      <c r="W92" s="305"/>
      <c r="X92" s="305"/>
      <c r="Y92" s="305"/>
      <c r="Z92" s="305"/>
    </row>
    <row r="93" spans="1:26" ht="15.75" customHeight="1" x14ac:dyDescent="0.25">
      <c r="A93" s="302"/>
      <c r="B93" s="302"/>
      <c r="C93" s="302"/>
      <c r="D93" s="302"/>
      <c r="E93" s="302"/>
      <c r="F93" s="303"/>
      <c r="G93" s="302"/>
      <c r="H93" s="303"/>
      <c r="I93" s="304"/>
      <c r="J93" s="304"/>
      <c r="K93" s="303"/>
      <c r="L93" s="303"/>
      <c r="M93" s="303"/>
      <c r="N93" s="303"/>
      <c r="O93" s="303"/>
      <c r="P93" s="303"/>
      <c r="Q93" s="305"/>
      <c r="R93" s="305"/>
      <c r="S93" s="305"/>
      <c r="T93" s="305"/>
      <c r="U93" s="305"/>
      <c r="V93" s="305"/>
      <c r="W93" s="305"/>
      <c r="X93" s="305"/>
      <c r="Y93" s="305"/>
      <c r="Z93" s="305"/>
    </row>
    <row r="94" spans="1:26" ht="15.75" customHeight="1" x14ac:dyDescent="0.25">
      <c r="A94" s="302"/>
      <c r="B94" s="302"/>
      <c r="C94" s="302"/>
      <c r="D94" s="302"/>
      <c r="E94" s="302"/>
      <c r="F94" s="303"/>
      <c r="G94" s="302"/>
      <c r="H94" s="303"/>
      <c r="I94" s="304"/>
      <c r="J94" s="304"/>
      <c r="K94" s="303"/>
      <c r="L94" s="303"/>
      <c r="M94" s="303"/>
      <c r="N94" s="303"/>
      <c r="O94" s="303"/>
      <c r="P94" s="303"/>
      <c r="Q94" s="305"/>
      <c r="R94" s="305"/>
      <c r="S94" s="305"/>
      <c r="T94" s="305"/>
      <c r="U94" s="305"/>
      <c r="V94" s="305"/>
      <c r="W94" s="305"/>
      <c r="X94" s="305"/>
      <c r="Y94" s="305"/>
      <c r="Z94" s="305"/>
    </row>
    <row r="95" spans="1:26" ht="15.75" customHeight="1" x14ac:dyDescent="0.25">
      <c r="A95" s="302"/>
      <c r="B95" s="302"/>
      <c r="C95" s="302"/>
      <c r="D95" s="302"/>
      <c r="E95" s="302"/>
      <c r="F95" s="303"/>
      <c r="G95" s="302"/>
      <c r="H95" s="303"/>
      <c r="I95" s="304"/>
      <c r="J95" s="304"/>
      <c r="K95" s="303"/>
      <c r="L95" s="303"/>
      <c r="M95" s="303"/>
      <c r="N95" s="303"/>
      <c r="O95" s="303"/>
      <c r="P95" s="303"/>
      <c r="Q95" s="305"/>
      <c r="R95" s="305"/>
      <c r="S95" s="305"/>
      <c r="T95" s="305"/>
      <c r="U95" s="305"/>
      <c r="V95" s="305"/>
      <c r="W95" s="305"/>
      <c r="X95" s="305"/>
      <c r="Y95" s="305"/>
      <c r="Z95" s="305"/>
    </row>
    <row r="96" spans="1:26" ht="15.75" customHeight="1" x14ac:dyDescent="0.25">
      <c r="A96" s="302"/>
      <c r="B96" s="302"/>
      <c r="C96" s="302"/>
      <c r="D96" s="302"/>
      <c r="E96" s="302"/>
      <c r="F96" s="303"/>
      <c r="G96" s="302"/>
      <c r="H96" s="303"/>
      <c r="I96" s="304"/>
      <c r="J96" s="304"/>
      <c r="K96" s="303"/>
      <c r="L96" s="303"/>
      <c r="M96" s="303"/>
      <c r="N96" s="303"/>
      <c r="O96" s="303"/>
      <c r="P96" s="303"/>
      <c r="Q96" s="305"/>
      <c r="R96" s="305"/>
      <c r="S96" s="305"/>
      <c r="T96" s="305"/>
      <c r="U96" s="305"/>
      <c r="V96" s="305"/>
      <c r="W96" s="305"/>
      <c r="X96" s="305"/>
      <c r="Y96" s="305"/>
      <c r="Z96" s="305"/>
    </row>
    <row r="97" spans="1:26" ht="15.75" customHeight="1" x14ac:dyDescent="0.25">
      <c r="A97" s="302"/>
      <c r="B97" s="302"/>
      <c r="C97" s="302"/>
      <c r="D97" s="302"/>
      <c r="E97" s="302"/>
      <c r="F97" s="303"/>
      <c r="G97" s="302"/>
      <c r="H97" s="303"/>
      <c r="I97" s="304"/>
      <c r="J97" s="304"/>
      <c r="K97" s="303"/>
      <c r="L97" s="303"/>
      <c r="M97" s="303"/>
      <c r="N97" s="303"/>
      <c r="O97" s="303"/>
      <c r="P97" s="303"/>
      <c r="Q97" s="305"/>
      <c r="R97" s="305"/>
      <c r="S97" s="305"/>
      <c r="T97" s="305"/>
      <c r="U97" s="305"/>
      <c r="V97" s="305"/>
      <c r="W97" s="305"/>
      <c r="X97" s="305"/>
      <c r="Y97" s="305"/>
      <c r="Z97" s="305"/>
    </row>
    <row r="98" spans="1:26" ht="15.75" customHeight="1" x14ac:dyDescent="0.25">
      <c r="A98" s="302"/>
      <c r="B98" s="302"/>
      <c r="C98" s="302"/>
      <c r="D98" s="302"/>
      <c r="E98" s="302"/>
      <c r="F98" s="303"/>
      <c r="G98" s="302"/>
      <c r="H98" s="303"/>
      <c r="I98" s="304"/>
      <c r="J98" s="304"/>
      <c r="K98" s="303"/>
      <c r="L98" s="303"/>
      <c r="M98" s="303"/>
      <c r="N98" s="303"/>
      <c r="O98" s="303"/>
      <c r="P98" s="303"/>
      <c r="Q98" s="305"/>
      <c r="R98" s="305"/>
      <c r="S98" s="305"/>
      <c r="T98" s="305"/>
      <c r="U98" s="305"/>
      <c r="V98" s="305"/>
      <c r="W98" s="305"/>
      <c r="X98" s="305"/>
      <c r="Y98" s="305"/>
      <c r="Z98" s="305"/>
    </row>
    <row r="99" spans="1:26" ht="15.75" customHeight="1" x14ac:dyDescent="0.25">
      <c r="A99" s="302"/>
      <c r="B99" s="302"/>
      <c r="C99" s="302"/>
      <c r="D99" s="302"/>
      <c r="E99" s="302"/>
      <c r="F99" s="303"/>
      <c r="G99" s="302"/>
      <c r="H99" s="303"/>
      <c r="I99" s="304"/>
      <c r="J99" s="304"/>
      <c r="K99" s="303"/>
      <c r="L99" s="303"/>
      <c r="M99" s="303"/>
      <c r="N99" s="303"/>
      <c r="O99" s="303"/>
      <c r="P99" s="303"/>
      <c r="Q99" s="305"/>
      <c r="R99" s="305"/>
      <c r="S99" s="305"/>
      <c r="T99" s="305"/>
      <c r="U99" s="305"/>
      <c r="V99" s="305"/>
      <c r="W99" s="305"/>
      <c r="X99" s="305"/>
      <c r="Y99" s="305"/>
      <c r="Z99" s="305"/>
    </row>
    <row r="100" spans="1:26" ht="15.75" customHeight="1" x14ac:dyDescent="0.25">
      <c r="A100" s="302"/>
      <c r="B100" s="302"/>
      <c r="C100" s="302"/>
      <c r="D100" s="302"/>
      <c r="E100" s="302"/>
      <c r="F100" s="303"/>
      <c r="G100" s="302"/>
      <c r="H100" s="303"/>
      <c r="I100" s="304"/>
      <c r="J100" s="304"/>
      <c r="K100" s="303"/>
      <c r="L100" s="303"/>
      <c r="M100" s="303"/>
      <c r="N100" s="303"/>
      <c r="O100" s="303"/>
      <c r="P100" s="303"/>
      <c r="Q100" s="305"/>
      <c r="R100" s="305"/>
      <c r="S100" s="305"/>
      <c r="T100" s="305"/>
      <c r="U100" s="305"/>
      <c r="V100" s="305"/>
      <c r="W100" s="305"/>
      <c r="X100" s="305"/>
      <c r="Y100" s="305"/>
      <c r="Z100" s="305"/>
    </row>
    <row r="101" spans="1:26" ht="15.75" customHeight="1" x14ac:dyDescent="0.25">
      <c r="A101" s="302"/>
      <c r="B101" s="302"/>
      <c r="C101" s="302"/>
      <c r="D101" s="302"/>
      <c r="E101" s="302"/>
      <c r="F101" s="303"/>
      <c r="G101" s="302"/>
      <c r="H101" s="303"/>
      <c r="I101" s="304"/>
      <c r="J101" s="304"/>
      <c r="K101" s="303"/>
      <c r="L101" s="303"/>
      <c r="M101" s="303"/>
      <c r="N101" s="303"/>
      <c r="O101" s="303"/>
      <c r="P101" s="303"/>
      <c r="Q101" s="305"/>
      <c r="R101" s="305"/>
      <c r="S101" s="305"/>
      <c r="T101" s="305"/>
      <c r="U101" s="305"/>
      <c r="V101" s="305"/>
      <c r="W101" s="305"/>
      <c r="X101" s="305"/>
      <c r="Y101" s="305"/>
      <c r="Z101" s="305"/>
    </row>
    <row r="102" spans="1:26" ht="15.75" customHeight="1" x14ac:dyDescent="0.25">
      <c r="A102" s="302"/>
      <c r="B102" s="302"/>
      <c r="C102" s="302"/>
      <c r="D102" s="302"/>
      <c r="E102" s="302"/>
      <c r="F102" s="303"/>
      <c r="G102" s="302"/>
      <c r="H102" s="303"/>
      <c r="I102" s="304"/>
      <c r="J102" s="304"/>
      <c r="K102" s="303"/>
      <c r="L102" s="303"/>
      <c r="M102" s="303"/>
      <c r="N102" s="303"/>
      <c r="O102" s="303"/>
      <c r="P102" s="303"/>
      <c r="Q102" s="305"/>
      <c r="R102" s="305"/>
      <c r="S102" s="305"/>
      <c r="T102" s="305"/>
      <c r="U102" s="305"/>
      <c r="V102" s="305"/>
      <c r="W102" s="305"/>
      <c r="X102" s="305"/>
      <c r="Y102" s="305"/>
      <c r="Z102" s="305"/>
    </row>
    <row r="103" spans="1:26" ht="15.75" customHeight="1" x14ac:dyDescent="0.25">
      <c r="A103" s="302"/>
      <c r="B103" s="302"/>
      <c r="C103" s="302"/>
      <c r="D103" s="302"/>
      <c r="E103" s="302"/>
      <c r="F103" s="303"/>
      <c r="G103" s="302"/>
      <c r="H103" s="303"/>
      <c r="I103" s="304"/>
      <c r="J103" s="304"/>
      <c r="K103" s="303"/>
      <c r="L103" s="303"/>
      <c r="M103" s="303"/>
      <c r="N103" s="303"/>
      <c r="O103" s="303"/>
      <c r="P103" s="303"/>
      <c r="Q103" s="305"/>
      <c r="R103" s="305"/>
      <c r="S103" s="305"/>
      <c r="T103" s="305"/>
      <c r="U103" s="305"/>
      <c r="V103" s="305"/>
      <c r="W103" s="305"/>
      <c r="X103" s="305"/>
      <c r="Y103" s="305"/>
      <c r="Z103" s="305"/>
    </row>
    <row r="104" spans="1:26" ht="15.75" customHeight="1" x14ac:dyDescent="0.25">
      <c r="A104" s="302"/>
      <c r="B104" s="302"/>
      <c r="C104" s="302"/>
      <c r="D104" s="302"/>
      <c r="E104" s="302"/>
      <c r="F104" s="303"/>
      <c r="G104" s="302"/>
      <c r="H104" s="303"/>
      <c r="I104" s="304"/>
      <c r="J104" s="304"/>
      <c r="K104" s="303"/>
      <c r="L104" s="303"/>
      <c r="M104" s="303"/>
      <c r="N104" s="303"/>
      <c r="O104" s="303"/>
      <c r="P104" s="303"/>
      <c r="Q104" s="305"/>
      <c r="R104" s="305"/>
      <c r="S104" s="305"/>
      <c r="T104" s="305"/>
      <c r="U104" s="305"/>
      <c r="V104" s="305"/>
      <c r="W104" s="305"/>
      <c r="X104" s="305"/>
      <c r="Y104" s="305"/>
      <c r="Z104" s="305"/>
    </row>
    <row r="105" spans="1:26" ht="15.75" customHeight="1" x14ac:dyDescent="0.25">
      <c r="A105" s="302"/>
      <c r="B105" s="302"/>
      <c r="C105" s="302"/>
      <c r="D105" s="302"/>
      <c r="E105" s="302"/>
      <c r="F105" s="303"/>
      <c r="G105" s="302"/>
      <c r="H105" s="303"/>
      <c r="I105" s="304"/>
      <c r="J105" s="304"/>
      <c r="K105" s="303"/>
      <c r="L105" s="303"/>
      <c r="M105" s="303"/>
      <c r="N105" s="303"/>
      <c r="O105" s="303"/>
      <c r="P105" s="303"/>
      <c r="Q105" s="305"/>
      <c r="R105" s="305"/>
      <c r="S105" s="305"/>
      <c r="T105" s="305"/>
      <c r="U105" s="305"/>
      <c r="V105" s="305"/>
      <c r="W105" s="305"/>
      <c r="X105" s="305"/>
      <c r="Y105" s="305"/>
      <c r="Z105" s="305"/>
    </row>
    <row r="106" spans="1:26" ht="15.75" customHeight="1" x14ac:dyDescent="0.25">
      <c r="A106" s="302"/>
      <c r="B106" s="302"/>
      <c r="C106" s="302"/>
      <c r="D106" s="302"/>
      <c r="E106" s="302"/>
      <c r="F106" s="303"/>
      <c r="G106" s="302"/>
      <c r="H106" s="303"/>
      <c r="I106" s="304"/>
      <c r="J106" s="304"/>
      <c r="K106" s="303"/>
      <c r="L106" s="303"/>
      <c r="M106" s="303"/>
      <c r="N106" s="303"/>
      <c r="O106" s="303"/>
      <c r="P106" s="303"/>
      <c r="Q106" s="305"/>
      <c r="R106" s="305"/>
      <c r="S106" s="305"/>
      <c r="T106" s="305"/>
      <c r="U106" s="305"/>
      <c r="V106" s="305"/>
      <c r="W106" s="305"/>
      <c r="X106" s="305"/>
      <c r="Y106" s="305"/>
      <c r="Z106" s="305"/>
    </row>
    <row r="107" spans="1:26" ht="15.75" customHeight="1" x14ac:dyDescent="0.25">
      <c r="A107" s="302"/>
      <c r="B107" s="302"/>
      <c r="C107" s="302"/>
      <c r="D107" s="302"/>
      <c r="E107" s="302"/>
      <c r="F107" s="303"/>
      <c r="G107" s="302"/>
      <c r="H107" s="303"/>
      <c r="I107" s="304"/>
      <c r="J107" s="304"/>
      <c r="K107" s="303"/>
      <c r="L107" s="303"/>
      <c r="M107" s="303"/>
      <c r="N107" s="303"/>
      <c r="O107" s="303"/>
      <c r="P107" s="303"/>
      <c r="Q107" s="305"/>
      <c r="R107" s="305"/>
      <c r="S107" s="305"/>
      <c r="T107" s="305"/>
      <c r="U107" s="305"/>
      <c r="V107" s="305"/>
      <c r="W107" s="305"/>
      <c r="X107" s="305"/>
      <c r="Y107" s="305"/>
      <c r="Z107" s="305"/>
    </row>
    <row r="108" spans="1:26" ht="15.75" customHeight="1" x14ac:dyDescent="0.25">
      <c r="A108" s="302"/>
      <c r="B108" s="302"/>
      <c r="C108" s="302"/>
      <c r="D108" s="302"/>
      <c r="E108" s="302"/>
      <c r="F108" s="303"/>
      <c r="G108" s="302"/>
      <c r="H108" s="303"/>
      <c r="I108" s="304"/>
      <c r="J108" s="304"/>
      <c r="K108" s="303"/>
      <c r="L108" s="303"/>
      <c r="M108" s="303"/>
      <c r="N108" s="303"/>
      <c r="O108" s="303"/>
      <c r="P108" s="303"/>
      <c r="Q108" s="305"/>
      <c r="R108" s="305"/>
      <c r="S108" s="305"/>
      <c r="T108" s="305"/>
      <c r="U108" s="305"/>
      <c r="V108" s="305"/>
      <c r="W108" s="305"/>
      <c r="X108" s="305"/>
      <c r="Y108" s="305"/>
      <c r="Z108" s="305"/>
    </row>
    <row r="109" spans="1:26" ht="15.75" customHeight="1" x14ac:dyDescent="0.25">
      <c r="A109" s="302"/>
      <c r="B109" s="302"/>
      <c r="C109" s="302"/>
      <c r="D109" s="302"/>
      <c r="E109" s="302"/>
      <c r="F109" s="303"/>
      <c r="G109" s="302"/>
      <c r="H109" s="303"/>
      <c r="I109" s="304"/>
      <c r="J109" s="304"/>
      <c r="K109" s="303"/>
      <c r="L109" s="303"/>
      <c r="M109" s="303"/>
      <c r="N109" s="303"/>
      <c r="O109" s="303"/>
      <c r="P109" s="303"/>
      <c r="Q109" s="305"/>
      <c r="R109" s="305"/>
      <c r="S109" s="305"/>
      <c r="T109" s="305"/>
      <c r="U109" s="305"/>
      <c r="V109" s="305"/>
      <c r="W109" s="305"/>
      <c r="X109" s="305"/>
      <c r="Y109" s="305"/>
      <c r="Z109" s="305"/>
    </row>
    <row r="110" spans="1:26" ht="15.75" customHeight="1" x14ac:dyDescent="0.25">
      <c r="A110" s="302"/>
      <c r="B110" s="302"/>
      <c r="C110" s="302"/>
      <c r="D110" s="302"/>
      <c r="E110" s="302"/>
      <c r="F110" s="303"/>
      <c r="G110" s="302"/>
      <c r="H110" s="303"/>
      <c r="I110" s="304"/>
      <c r="J110" s="304"/>
      <c r="K110" s="303"/>
      <c r="L110" s="303"/>
      <c r="M110" s="303"/>
      <c r="N110" s="303"/>
      <c r="O110" s="303"/>
      <c r="P110" s="303"/>
      <c r="Q110" s="305"/>
      <c r="R110" s="305"/>
      <c r="S110" s="305"/>
      <c r="T110" s="305"/>
      <c r="U110" s="305"/>
      <c r="V110" s="305"/>
      <c r="W110" s="305"/>
      <c r="X110" s="305"/>
      <c r="Y110" s="305"/>
      <c r="Z110" s="305"/>
    </row>
    <row r="111" spans="1:26" ht="15.75" customHeight="1" x14ac:dyDescent="0.25">
      <c r="A111" s="302"/>
      <c r="B111" s="302"/>
      <c r="C111" s="302"/>
      <c r="D111" s="302"/>
      <c r="E111" s="302"/>
      <c r="F111" s="303"/>
      <c r="G111" s="302"/>
      <c r="H111" s="303"/>
      <c r="I111" s="304"/>
      <c r="J111" s="304"/>
      <c r="K111" s="303"/>
      <c r="L111" s="303"/>
      <c r="M111" s="303"/>
      <c r="N111" s="303"/>
      <c r="O111" s="303"/>
      <c r="P111" s="303"/>
      <c r="Q111" s="305"/>
      <c r="R111" s="305"/>
      <c r="S111" s="305"/>
      <c r="T111" s="305"/>
      <c r="U111" s="305"/>
      <c r="V111" s="305"/>
      <c r="W111" s="305"/>
      <c r="X111" s="305"/>
      <c r="Y111" s="305"/>
      <c r="Z111" s="305"/>
    </row>
    <row r="112" spans="1:26" ht="15.75" customHeight="1" x14ac:dyDescent="0.25">
      <c r="A112" s="302"/>
      <c r="B112" s="302"/>
      <c r="C112" s="302"/>
      <c r="D112" s="302"/>
      <c r="E112" s="302"/>
      <c r="F112" s="303"/>
      <c r="G112" s="302"/>
      <c r="H112" s="303"/>
      <c r="I112" s="304"/>
      <c r="J112" s="304"/>
      <c r="K112" s="303"/>
      <c r="L112" s="303"/>
      <c r="M112" s="303"/>
      <c r="N112" s="303"/>
      <c r="O112" s="303"/>
      <c r="P112" s="303"/>
      <c r="Q112" s="305"/>
      <c r="R112" s="305"/>
      <c r="S112" s="305"/>
      <c r="T112" s="305"/>
      <c r="U112" s="305"/>
      <c r="V112" s="305"/>
      <c r="W112" s="305"/>
      <c r="X112" s="305"/>
      <c r="Y112" s="305"/>
      <c r="Z112" s="305"/>
    </row>
    <row r="113" spans="1:26" ht="15.75" customHeight="1" x14ac:dyDescent="0.25">
      <c r="A113" s="302"/>
      <c r="B113" s="302"/>
      <c r="C113" s="302"/>
      <c r="D113" s="302"/>
      <c r="E113" s="302"/>
      <c r="F113" s="303"/>
      <c r="G113" s="302"/>
      <c r="H113" s="303"/>
      <c r="I113" s="304"/>
      <c r="J113" s="304"/>
      <c r="K113" s="303"/>
      <c r="L113" s="303"/>
      <c r="M113" s="303"/>
      <c r="N113" s="303"/>
      <c r="O113" s="303"/>
      <c r="P113" s="303"/>
      <c r="Q113" s="305"/>
      <c r="R113" s="305"/>
      <c r="S113" s="305"/>
      <c r="T113" s="305"/>
      <c r="U113" s="305"/>
      <c r="V113" s="305"/>
      <c r="W113" s="305"/>
      <c r="X113" s="305"/>
      <c r="Y113" s="305"/>
      <c r="Z113" s="305"/>
    </row>
    <row r="114" spans="1:26" ht="15.75" customHeight="1" x14ac:dyDescent="0.25">
      <c r="A114" s="302"/>
      <c r="B114" s="302"/>
      <c r="C114" s="302"/>
      <c r="D114" s="302"/>
      <c r="E114" s="302"/>
      <c r="F114" s="303"/>
      <c r="G114" s="302"/>
      <c r="H114" s="303"/>
      <c r="I114" s="304"/>
      <c r="J114" s="304"/>
      <c r="K114" s="303"/>
      <c r="L114" s="303"/>
      <c r="M114" s="303"/>
      <c r="N114" s="303"/>
      <c r="O114" s="303"/>
      <c r="P114" s="303"/>
      <c r="Q114" s="305"/>
      <c r="R114" s="305"/>
      <c r="S114" s="305"/>
      <c r="T114" s="305"/>
      <c r="U114" s="305"/>
      <c r="V114" s="305"/>
      <c r="W114" s="305"/>
      <c r="X114" s="305"/>
      <c r="Y114" s="305"/>
      <c r="Z114" s="305"/>
    </row>
    <row r="115" spans="1:26" ht="15.75" customHeight="1" x14ac:dyDescent="0.25">
      <c r="A115" s="302"/>
      <c r="B115" s="302"/>
      <c r="C115" s="302"/>
      <c r="D115" s="302"/>
      <c r="E115" s="302"/>
      <c r="F115" s="303"/>
      <c r="G115" s="302"/>
      <c r="H115" s="303"/>
      <c r="I115" s="304"/>
      <c r="J115" s="304"/>
      <c r="K115" s="303"/>
      <c r="L115" s="303"/>
      <c r="M115" s="303"/>
      <c r="N115" s="303"/>
      <c r="O115" s="303"/>
      <c r="P115" s="303"/>
      <c r="Q115" s="305"/>
      <c r="R115" s="305"/>
      <c r="S115" s="305"/>
      <c r="T115" s="305"/>
      <c r="U115" s="305"/>
      <c r="V115" s="305"/>
      <c r="W115" s="305"/>
      <c r="X115" s="305"/>
      <c r="Y115" s="305"/>
      <c r="Z115" s="305"/>
    </row>
    <row r="116" spans="1:26" ht="15.75" customHeight="1" x14ac:dyDescent="0.25">
      <c r="A116" s="302"/>
      <c r="B116" s="302"/>
      <c r="C116" s="302"/>
      <c r="D116" s="302"/>
      <c r="E116" s="302"/>
      <c r="F116" s="303"/>
      <c r="G116" s="302"/>
      <c r="H116" s="303"/>
      <c r="I116" s="304"/>
      <c r="J116" s="304"/>
      <c r="K116" s="303"/>
      <c r="L116" s="303"/>
      <c r="M116" s="303"/>
      <c r="N116" s="303"/>
      <c r="O116" s="303"/>
      <c r="P116" s="303"/>
      <c r="Q116" s="305"/>
      <c r="R116" s="305"/>
      <c r="S116" s="305"/>
      <c r="T116" s="305"/>
      <c r="U116" s="305"/>
      <c r="V116" s="305"/>
      <c r="W116" s="305"/>
      <c r="X116" s="305"/>
      <c r="Y116" s="305"/>
      <c r="Z116" s="305"/>
    </row>
    <row r="117" spans="1:26" ht="15.75" customHeight="1" x14ac:dyDescent="0.25">
      <c r="A117" s="302"/>
      <c r="B117" s="302"/>
      <c r="C117" s="302"/>
      <c r="D117" s="302"/>
      <c r="E117" s="302"/>
      <c r="F117" s="303"/>
      <c r="G117" s="302"/>
      <c r="H117" s="303"/>
      <c r="I117" s="304"/>
      <c r="J117" s="304"/>
      <c r="K117" s="303"/>
      <c r="L117" s="303"/>
      <c r="M117" s="303"/>
      <c r="N117" s="303"/>
      <c r="O117" s="303"/>
      <c r="P117" s="303"/>
      <c r="Q117" s="305"/>
      <c r="R117" s="305"/>
      <c r="S117" s="305"/>
      <c r="T117" s="305"/>
      <c r="U117" s="305"/>
      <c r="V117" s="305"/>
      <c r="W117" s="305"/>
      <c r="X117" s="305"/>
      <c r="Y117" s="305"/>
      <c r="Z117" s="305"/>
    </row>
    <row r="118" spans="1:26" ht="15.75" customHeight="1" x14ac:dyDescent="0.25">
      <c r="A118" s="302"/>
      <c r="B118" s="302"/>
      <c r="C118" s="302"/>
      <c r="D118" s="302"/>
      <c r="E118" s="302"/>
      <c r="F118" s="303"/>
      <c r="G118" s="302"/>
      <c r="H118" s="303"/>
      <c r="I118" s="304"/>
      <c r="J118" s="304"/>
      <c r="K118" s="303"/>
      <c r="L118" s="303"/>
      <c r="M118" s="303"/>
      <c r="N118" s="303"/>
      <c r="O118" s="303"/>
      <c r="P118" s="303"/>
      <c r="Q118" s="305"/>
      <c r="R118" s="305"/>
      <c r="S118" s="305"/>
      <c r="T118" s="305"/>
      <c r="U118" s="305"/>
      <c r="V118" s="305"/>
      <c r="W118" s="305"/>
      <c r="X118" s="305"/>
      <c r="Y118" s="305"/>
      <c r="Z118" s="305"/>
    </row>
    <row r="119" spans="1:26" ht="15.75" customHeight="1" x14ac:dyDescent="0.25">
      <c r="A119" s="302"/>
      <c r="B119" s="302"/>
      <c r="C119" s="302"/>
      <c r="D119" s="302"/>
      <c r="E119" s="302"/>
      <c r="F119" s="303"/>
      <c r="G119" s="302"/>
      <c r="H119" s="303"/>
      <c r="I119" s="304"/>
      <c r="J119" s="304"/>
      <c r="K119" s="303"/>
      <c r="L119" s="303"/>
      <c r="M119" s="303"/>
      <c r="N119" s="303"/>
      <c r="O119" s="303"/>
      <c r="P119" s="303"/>
      <c r="Q119" s="305"/>
      <c r="R119" s="305"/>
      <c r="S119" s="305"/>
      <c r="T119" s="305"/>
      <c r="U119" s="305"/>
      <c r="V119" s="305"/>
      <c r="W119" s="305"/>
      <c r="X119" s="305"/>
      <c r="Y119" s="305"/>
      <c r="Z119" s="305"/>
    </row>
    <row r="120" spans="1:26" ht="15.75" customHeight="1" x14ac:dyDescent="0.25">
      <c r="A120" s="302"/>
      <c r="B120" s="302"/>
      <c r="C120" s="302"/>
      <c r="D120" s="302"/>
      <c r="E120" s="302"/>
      <c r="F120" s="303"/>
      <c r="G120" s="302"/>
      <c r="H120" s="303"/>
      <c r="I120" s="304"/>
      <c r="J120" s="304"/>
      <c r="K120" s="303"/>
      <c r="L120" s="303"/>
      <c r="M120" s="303"/>
      <c r="N120" s="303"/>
      <c r="O120" s="303"/>
      <c r="P120" s="303"/>
      <c r="Q120" s="305"/>
      <c r="R120" s="305"/>
      <c r="S120" s="305"/>
      <c r="T120" s="305"/>
      <c r="U120" s="305"/>
      <c r="V120" s="305"/>
      <c r="W120" s="305"/>
      <c r="X120" s="305"/>
      <c r="Y120" s="305"/>
      <c r="Z120" s="305"/>
    </row>
    <row r="121" spans="1:26" ht="15.75" customHeight="1" x14ac:dyDescent="0.25">
      <c r="A121" s="302"/>
      <c r="B121" s="302"/>
      <c r="C121" s="302"/>
      <c r="D121" s="302"/>
      <c r="E121" s="302"/>
      <c r="F121" s="303"/>
      <c r="G121" s="302"/>
      <c r="H121" s="303"/>
      <c r="I121" s="304"/>
      <c r="J121" s="304"/>
      <c r="K121" s="303"/>
      <c r="L121" s="303"/>
      <c r="M121" s="303"/>
      <c r="N121" s="303"/>
      <c r="O121" s="303"/>
      <c r="P121" s="303"/>
      <c r="Q121" s="305"/>
      <c r="R121" s="305"/>
      <c r="S121" s="305"/>
      <c r="T121" s="305"/>
      <c r="U121" s="305"/>
      <c r="V121" s="305"/>
      <c r="W121" s="305"/>
      <c r="X121" s="305"/>
      <c r="Y121" s="305"/>
      <c r="Z121" s="305"/>
    </row>
    <row r="122" spans="1:26" ht="15.75" customHeight="1" x14ac:dyDescent="0.25">
      <c r="A122" s="302"/>
      <c r="B122" s="302"/>
      <c r="C122" s="302"/>
      <c r="D122" s="302"/>
      <c r="E122" s="302"/>
      <c r="F122" s="303"/>
      <c r="G122" s="302"/>
      <c r="H122" s="303"/>
      <c r="I122" s="304"/>
      <c r="J122" s="304"/>
      <c r="K122" s="303"/>
      <c r="L122" s="303"/>
      <c r="M122" s="303"/>
      <c r="N122" s="303"/>
      <c r="O122" s="303"/>
      <c r="P122" s="303"/>
      <c r="Q122" s="305"/>
      <c r="R122" s="305"/>
      <c r="S122" s="305"/>
      <c r="T122" s="305"/>
      <c r="U122" s="305"/>
      <c r="V122" s="305"/>
      <c r="W122" s="305"/>
      <c r="X122" s="305"/>
      <c r="Y122" s="305"/>
      <c r="Z122" s="305"/>
    </row>
    <row r="123" spans="1:26" ht="15.75" customHeight="1" x14ac:dyDescent="0.25">
      <c r="A123" s="302"/>
      <c r="B123" s="302"/>
      <c r="C123" s="302"/>
      <c r="D123" s="302"/>
      <c r="E123" s="302"/>
      <c r="F123" s="303"/>
      <c r="G123" s="302"/>
      <c r="H123" s="303"/>
      <c r="I123" s="304"/>
      <c r="J123" s="304"/>
      <c r="K123" s="303"/>
      <c r="L123" s="303"/>
      <c r="M123" s="303"/>
      <c r="N123" s="303"/>
      <c r="O123" s="303"/>
      <c r="P123" s="303"/>
      <c r="Q123" s="305"/>
      <c r="R123" s="305"/>
      <c r="S123" s="305"/>
      <c r="T123" s="305"/>
      <c r="U123" s="305"/>
      <c r="V123" s="305"/>
      <c r="W123" s="305"/>
      <c r="X123" s="305"/>
      <c r="Y123" s="305"/>
      <c r="Z123" s="305"/>
    </row>
    <row r="124" spans="1:26" ht="15.75" customHeight="1" x14ac:dyDescent="0.25">
      <c r="A124" s="302"/>
      <c r="B124" s="302"/>
      <c r="C124" s="302"/>
      <c r="D124" s="302"/>
      <c r="E124" s="302"/>
      <c r="F124" s="303"/>
      <c r="G124" s="302"/>
      <c r="H124" s="303"/>
      <c r="I124" s="304"/>
      <c r="J124" s="304"/>
      <c r="K124" s="303"/>
      <c r="L124" s="303"/>
      <c r="M124" s="303"/>
      <c r="N124" s="303"/>
      <c r="O124" s="303"/>
      <c r="P124" s="303"/>
      <c r="Q124" s="305"/>
      <c r="R124" s="305"/>
      <c r="S124" s="305"/>
      <c r="T124" s="305"/>
      <c r="U124" s="305"/>
      <c r="V124" s="305"/>
      <c r="W124" s="305"/>
      <c r="X124" s="305"/>
      <c r="Y124" s="305"/>
      <c r="Z124" s="305"/>
    </row>
    <row r="125" spans="1:26" ht="15.75" customHeight="1" x14ac:dyDescent="0.25">
      <c r="A125" s="302"/>
      <c r="B125" s="302"/>
      <c r="C125" s="302"/>
      <c r="D125" s="302"/>
      <c r="E125" s="302"/>
      <c r="F125" s="303"/>
      <c r="G125" s="302"/>
      <c r="H125" s="303"/>
      <c r="I125" s="304"/>
      <c r="J125" s="304"/>
      <c r="K125" s="303"/>
      <c r="L125" s="303"/>
      <c r="M125" s="303"/>
      <c r="N125" s="303"/>
      <c r="O125" s="303"/>
      <c r="P125" s="303"/>
      <c r="Q125" s="305"/>
      <c r="R125" s="305"/>
      <c r="S125" s="305"/>
      <c r="T125" s="305"/>
      <c r="U125" s="305"/>
      <c r="V125" s="305"/>
      <c r="W125" s="305"/>
      <c r="X125" s="305"/>
      <c r="Y125" s="305"/>
      <c r="Z125" s="305"/>
    </row>
    <row r="126" spans="1:26" ht="15.75" customHeight="1" x14ac:dyDescent="0.25">
      <c r="A126" s="302"/>
      <c r="B126" s="302"/>
      <c r="C126" s="302"/>
      <c r="D126" s="302"/>
      <c r="E126" s="302"/>
      <c r="F126" s="303"/>
      <c r="G126" s="302"/>
      <c r="H126" s="303"/>
      <c r="I126" s="304"/>
      <c r="J126" s="304"/>
      <c r="K126" s="303"/>
      <c r="L126" s="303"/>
      <c r="M126" s="303"/>
      <c r="N126" s="303"/>
      <c r="O126" s="303"/>
      <c r="P126" s="303"/>
      <c r="Q126" s="305"/>
      <c r="R126" s="305"/>
      <c r="S126" s="305"/>
      <c r="T126" s="305"/>
      <c r="U126" s="305"/>
      <c r="V126" s="305"/>
      <c r="W126" s="305"/>
      <c r="X126" s="305"/>
      <c r="Y126" s="305"/>
      <c r="Z126" s="305"/>
    </row>
    <row r="127" spans="1:26" ht="15.75" customHeight="1" x14ac:dyDescent="0.25">
      <c r="A127" s="302"/>
      <c r="B127" s="302"/>
      <c r="C127" s="302"/>
      <c r="D127" s="302"/>
      <c r="E127" s="302"/>
      <c r="F127" s="303"/>
      <c r="G127" s="302"/>
      <c r="H127" s="303"/>
      <c r="I127" s="304"/>
      <c r="J127" s="304"/>
      <c r="K127" s="303"/>
      <c r="L127" s="303"/>
      <c r="M127" s="303"/>
      <c r="N127" s="303"/>
      <c r="O127" s="303"/>
      <c r="P127" s="303"/>
      <c r="Q127" s="305"/>
      <c r="R127" s="305"/>
      <c r="S127" s="305"/>
      <c r="T127" s="305"/>
      <c r="U127" s="305"/>
      <c r="V127" s="305"/>
      <c r="W127" s="305"/>
      <c r="X127" s="305"/>
      <c r="Y127" s="305"/>
      <c r="Z127" s="305"/>
    </row>
    <row r="128" spans="1:26" ht="15.75" customHeight="1" x14ac:dyDescent="0.25">
      <c r="A128" s="302"/>
      <c r="B128" s="302"/>
      <c r="C128" s="302"/>
      <c r="D128" s="302"/>
      <c r="E128" s="302"/>
      <c r="F128" s="303"/>
      <c r="G128" s="302"/>
      <c r="H128" s="303"/>
      <c r="I128" s="304"/>
      <c r="J128" s="304"/>
      <c r="K128" s="303"/>
      <c r="L128" s="303"/>
      <c r="M128" s="303"/>
      <c r="N128" s="303"/>
      <c r="O128" s="303"/>
      <c r="P128" s="303"/>
      <c r="Q128" s="305"/>
      <c r="R128" s="305"/>
      <c r="S128" s="305"/>
      <c r="T128" s="305"/>
      <c r="U128" s="305"/>
      <c r="V128" s="305"/>
      <c r="W128" s="305"/>
      <c r="X128" s="305"/>
      <c r="Y128" s="305"/>
      <c r="Z128" s="305"/>
    </row>
    <row r="129" spans="1:26" ht="15.75" customHeight="1" x14ac:dyDescent="0.25">
      <c r="A129" s="302"/>
      <c r="B129" s="302"/>
      <c r="C129" s="302"/>
      <c r="D129" s="302"/>
      <c r="E129" s="302"/>
      <c r="F129" s="303"/>
      <c r="G129" s="302"/>
      <c r="H129" s="303"/>
      <c r="I129" s="304"/>
      <c r="J129" s="304"/>
      <c r="K129" s="303"/>
      <c r="L129" s="303"/>
      <c r="M129" s="303"/>
      <c r="N129" s="303"/>
      <c r="O129" s="303"/>
      <c r="P129" s="303"/>
      <c r="Q129" s="305"/>
      <c r="R129" s="305"/>
      <c r="S129" s="305"/>
      <c r="T129" s="305"/>
      <c r="U129" s="305"/>
      <c r="V129" s="305"/>
      <c r="W129" s="305"/>
      <c r="X129" s="305"/>
      <c r="Y129" s="305"/>
      <c r="Z129" s="305"/>
    </row>
    <row r="130" spans="1:26" ht="15.75" customHeight="1" x14ac:dyDescent="0.25">
      <c r="A130" s="302"/>
      <c r="B130" s="302"/>
      <c r="C130" s="302"/>
      <c r="D130" s="302"/>
      <c r="E130" s="302"/>
      <c r="F130" s="303"/>
      <c r="G130" s="302"/>
      <c r="H130" s="303"/>
      <c r="I130" s="304"/>
      <c r="J130" s="304"/>
      <c r="K130" s="303"/>
      <c r="L130" s="303"/>
      <c r="M130" s="303"/>
      <c r="N130" s="303"/>
      <c r="O130" s="303"/>
      <c r="P130" s="303"/>
      <c r="Q130" s="305"/>
      <c r="R130" s="305"/>
      <c r="S130" s="305"/>
      <c r="T130" s="305"/>
      <c r="U130" s="305"/>
      <c r="V130" s="305"/>
      <c r="W130" s="305"/>
      <c r="X130" s="305"/>
      <c r="Y130" s="305"/>
      <c r="Z130" s="305"/>
    </row>
    <row r="131" spans="1:26" ht="15.75" customHeight="1" x14ac:dyDescent="0.25">
      <c r="A131" s="302"/>
      <c r="B131" s="302"/>
      <c r="C131" s="302"/>
      <c r="D131" s="302"/>
      <c r="E131" s="302"/>
      <c r="F131" s="303"/>
      <c r="G131" s="302"/>
      <c r="H131" s="303"/>
      <c r="I131" s="304"/>
      <c r="J131" s="304"/>
      <c r="K131" s="303"/>
      <c r="L131" s="303"/>
      <c r="M131" s="303"/>
      <c r="N131" s="303"/>
      <c r="O131" s="303"/>
      <c r="P131" s="303"/>
      <c r="Q131" s="305"/>
      <c r="R131" s="305"/>
      <c r="S131" s="305"/>
      <c r="T131" s="305"/>
      <c r="U131" s="305"/>
      <c r="V131" s="305"/>
      <c r="W131" s="305"/>
      <c r="X131" s="305"/>
      <c r="Y131" s="305"/>
      <c r="Z131" s="305"/>
    </row>
    <row r="132" spans="1:26" ht="15.75" customHeight="1" x14ac:dyDescent="0.25">
      <c r="A132" s="302"/>
      <c r="B132" s="302"/>
      <c r="C132" s="302"/>
      <c r="D132" s="302"/>
      <c r="E132" s="302"/>
      <c r="F132" s="303"/>
      <c r="G132" s="302"/>
      <c r="H132" s="303"/>
      <c r="I132" s="304"/>
      <c r="J132" s="304"/>
      <c r="K132" s="303"/>
      <c r="L132" s="303"/>
      <c r="M132" s="303"/>
      <c r="N132" s="303"/>
      <c r="O132" s="303"/>
      <c r="P132" s="303"/>
      <c r="Q132" s="305"/>
      <c r="R132" s="305"/>
      <c r="S132" s="305"/>
      <c r="T132" s="305"/>
      <c r="U132" s="305"/>
      <c r="V132" s="305"/>
      <c r="W132" s="305"/>
      <c r="X132" s="305"/>
      <c r="Y132" s="305"/>
      <c r="Z132" s="305"/>
    </row>
    <row r="133" spans="1:26" ht="15.75" customHeight="1" x14ac:dyDescent="0.25">
      <c r="A133" s="302"/>
      <c r="B133" s="302"/>
      <c r="C133" s="302"/>
      <c r="D133" s="302"/>
      <c r="E133" s="302"/>
      <c r="F133" s="303"/>
      <c r="G133" s="302"/>
      <c r="H133" s="303"/>
      <c r="I133" s="304"/>
      <c r="J133" s="304"/>
      <c r="K133" s="303"/>
      <c r="L133" s="303"/>
      <c r="M133" s="303"/>
      <c r="N133" s="303"/>
      <c r="O133" s="303"/>
      <c r="P133" s="303"/>
      <c r="Q133" s="305"/>
      <c r="R133" s="305"/>
      <c r="S133" s="305"/>
      <c r="T133" s="305"/>
      <c r="U133" s="305"/>
      <c r="V133" s="305"/>
      <c r="W133" s="305"/>
      <c r="X133" s="305"/>
      <c r="Y133" s="305"/>
      <c r="Z133" s="305"/>
    </row>
    <row r="134" spans="1:26" ht="15.75" customHeight="1" x14ac:dyDescent="0.25">
      <c r="A134" s="302"/>
      <c r="B134" s="302"/>
      <c r="C134" s="302"/>
      <c r="D134" s="302"/>
      <c r="E134" s="302"/>
      <c r="F134" s="303"/>
      <c r="G134" s="302"/>
      <c r="H134" s="303"/>
      <c r="I134" s="304"/>
      <c r="J134" s="304"/>
      <c r="K134" s="303"/>
      <c r="L134" s="303"/>
      <c r="M134" s="303"/>
      <c r="N134" s="303"/>
      <c r="O134" s="303"/>
      <c r="P134" s="303"/>
      <c r="Q134" s="305"/>
      <c r="R134" s="305"/>
      <c r="S134" s="305"/>
      <c r="T134" s="305"/>
      <c r="U134" s="305"/>
      <c r="V134" s="305"/>
      <c r="W134" s="305"/>
      <c r="X134" s="305"/>
      <c r="Y134" s="305"/>
      <c r="Z134" s="305"/>
    </row>
    <row r="135" spans="1:26" ht="15.75" customHeight="1" x14ac:dyDescent="0.25">
      <c r="A135" s="302"/>
      <c r="B135" s="302"/>
      <c r="C135" s="302"/>
      <c r="D135" s="302"/>
      <c r="E135" s="302"/>
      <c r="F135" s="303"/>
      <c r="G135" s="302"/>
      <c r="H135" s="303"/>
      <c r="I135" s="304"/>
      <c r="J135" s="304"/>
      <c r="K135" s="303"/>
      <c r="L135" s="303"/>
      <c r="M135" s="303"/>
      <c r="N135" s="303"/>
      <c r="O135" s="303"/>
      <c r="P135" s="303"/>
      <c r="Q135" s="305"/>
      <c r="R135" s="305"/>
      <c r="S135" s="305"/>
      <c r="T135" s="305"/>
      <c r="U135" s="305"/>
      <c r="V135" s="305"/>
      <c r="W135" s="305"/>
      <c r="X135" s="305"/>
      <c r="Y135" s="305"/>
      <c r="Z135" s="305"/>
    </row>
    <row r="136" spans="1:26" ht="15.75" customHeight="1" x14ac:dyDescent="0.25">
      <c r="A136" s="302"/>
      <c r="B136" s="302"/>
      <c r="C136" s="302"/>
      <c r="D136" s="302"/>
      <c r="E136" s="302"/>
      <c r="F136" s="303"/>
      <c r="G136" s="302"/>
      <c r="H136" s="303"/>
      <c r="I136" s="304"/>
      <c r="J136" s="304"/>
      <c r="K136" s="303"/>
      <c r="L136" s="303"/>
      <c r="M136" s="303"/>
      <c r="N136" s="303"/>
      <c r="O136" s="303"/>
      <c r="P136" s="303"/>
      <c r="Q136" s="305"/>
      <c r="R136" s="305"/>
      <c r="S136" s="305"/>
      <c r="T136" s="305"/>
      <c r="U136" s="305"/>
      <c r="V136" s="305"/>
      <c r="W136" s="305"/>
      <c r="X136" s="305"/>
      <c r="Y136" s="305"/>
      <c r="Z136" s="305"/>
    </row>
    <row r="137" spans="1:26" ht="15.75" customHeight="1" x14ac:dyDescent="0.25">
      <c r="A137" s="302"/>
      <c r="B137" s="302"/>
      <c r="C137" s="302"/>
      <c r="D137" s="302"/>
      <c r="E137" s="302"/>
      <c r="F137" s="303"/>
      <c r="G137" s="302"/>
      <c r="H137" s="303"/>
      <c r="I137" s="304"/>
      <c r="J137" s="304"/>
      <c r="K137" s="303"/>
      <c r="L137" s="303"/>
      <c r="M137" s="303"/>
      <c r="N137" s="303"/>
      <c r="O137" s="303"/>
      <c r="P137" s="303"/>
      <c r="Q137" s="305"/>
      <c r="R137" s="305"/>
      <c r="S137" s="305"/>
      <c r="T137" s="305"/>
      <c r="U137" s="305"/>
      <c r="V137" s="305"/>
      <c r="W137" s="305"/>
      <c r="X137" s="305"/>
      <c r="Y137" s="305"/>
      <c r="Z137" s="305"/>
    </row>
    <row r="138" spans="1:26" ht="15.75" customHeight="1" x14ac:dyDescent="0.25">
      <c r="A138" s="302"/>
      <c r="B138" s="302"/>
      <c r="C138" s="302"/>
      <c r="D138" s="302"/>
      <c r="E138" s="302"/>
      <c r="F138" s="303"/>
      <c r="G138" s="302"/>
      <c r="H138" s="303"/>
      <c r="I138" s="304"/>
      <c r="J138" s="304"/>
      <c r="K138" s="303"/>
      <c r="L138" s="303"/>
      <c r="M138" s="303"/>
      <c r="N138" s="303"/>
      <c r="O138" s="303"/>
      <c r="P138" s="303"/>
      <c r="Q138" s="305"/>
      <c r="R138" s="305"/>
      <c r="S138" s="305"/>
      <c r="T138" s="305"/>
      <c r="U138" s="305"/>
      <c r="V138" s="305"/>
      <c r="W138" s="305"/>
      <c r="X138" s="305"/>
      <c r="Y138" s="305"/>
      <c r="Z138" s="305"/>
    </row>
    <row r="139" spans="1:26" ht="15.75" customHeight="1" x14ac:dyDescent="0.25">
      <c r="A139" s="302"/>
      <c r="B139" s="302"/>
      <c r="C139" s="302"/>
      <c r="D139" s="302"/>
      <c r="E139" s="302"/>
      <c r="F139" s="303"/>
      <c r="G139" s="302"/>
      <c r="H139" s="303"/>
      <c r="I139" s="304"/>
      <c r="J139" s="304"/>
      <c r="K139" s="303"/>
      <c r="L139" s="303"/>
      <c r="M139" s="303"/>
      <c r="N139" s="303"/>
      <c r="O139" s="303"/>
      <c r="P139" s="303"/>
      <c r="Q139" s="305"/>
      <c r="R139" s="305"/>
      <c r="S139" s="305"/>
      <c r="T139" s="305"/>
      <c r="U139" s="305"/>
      <c r="V139" s="305"/>
      <c r="W139" s="305"/>
      <c r="X139" s="305"/>
      <c r="Y139" s="305"/>
      <c r="Z139" s="305"/>
    </row>
    <row r="140" spans="1:26" ht="15.75" customHeight="1" x14ac:dyDescent="0.25">
      <c r="A140" s="302"/>
      <c r="B140" s="302"/>
      <c r="C140" s="302"/>
      <c r="D140" s="302"/>
      <c r="E140" s="302"/>
      <c r="F140" s="303"/>
      <c r="G140" s="302"/>
      <c r="H140" s="303"/>
      <c r="I140" s="304"/>
      <c r="J140" s="304"/>
      <c r="K140" s="303"/>
      <c r="L140" s="303"/>
      <c r="M140" s="303"/>
      <c r="N140" s="303"/>
      <c r="O140" s="303"/>
      <c r="P140" s="303"/>
      <c r="Q140" s="305"/>
      <c r="R140" s="305"/>
      <c r="S140" s="305"/>
      <c r="T140" s="305"/>
      <c r="U140" s="305"/>
      <c r="V140" s="305"/>
      <c r="W140" s="305"/>
      <c r="X140" s="305"/>
      <c r="Y140" s="305"/>
      <c r="Z140" s="305"/>
    </row>
    <row r="141" spans="1:26" ht="15.75" customHeight="1" x14ac:dyDescent="0.25">
      <c r="A141" s="302"/>
      <c r="B141" s="302"/>
      <c r="C141" s="302"/>
      <c r="D141" s="302"/>
      <c r="E141" s="302"/>
      <c r="F141" s="303"/>
      <c r="G141" s="302"/>
      <c r="H141" s="303"/>
      <c r="I141" s="304"/>
      <c r="J141" s="304"/>
      <c r="K141" s="303"/>
      <c r="L141" s="303"/>
      <c r="M141" s="303"/>
      <c r="N141" s="303"/>
      <c r="O141" s="303"/>
      <c r="P141" s="303"/>
      <c r="Q141" s="305"/>
      <c r="R141" s="305"/>
      <c r="S141" s="305"/>
      <c r="T141" s="305"/>
      <c r="U141" s="305"/>
      <c r="V141" s="305"/>
      <c r="W141" s="305"/>
      <c r="X141" s="305"/>
      <c r="Y141" s="305"/>
      <c r="Z141" s="305"/>
    </row>
    <row r="142" spans="1:26" ht="15.75" customHeight="1" x14ac:dyDescent="0.25">
      <c r="A142" s="302"/>
      <c r="B142" s="302"/>
      <c r="C142" s="302"/>
      <c r="D142" s="302"/>
      <c r="E142" s="302"/>
      <c r="F142" s="303"/>
      <c r="G142" s="302"/>
      <c r="H142" s="303"/>
      <c r="I142" s="304"/>
      <c r="J142" s="304"/>
      <c r="K142" s="303"/>
      <c r="L142" s="303"/>
      <c r="M142" s="303"/>
      <c r="N142" s="303"/>
      <c r="O142" s="303"/>
      <c r="P142" s="303"/>
      <c r="Q142" s="305"/>
      <c r="R142" s="305"/>
      <c r="S142" s="305"/>
      <c r="T142" s="305"/>
      <c r="U142" s="305"/>
      <c r="V142" s="305"/>
      <c r="W142" s="305"/>
      <c r="X142" s="305"/>
      <c r="Y142" s="305"/>
      <c r="Z142" s="305"/>
    </row>
    <row r="143" spans="1:26" ht="15.75" customHeight="1" x14ac:dyDescent="0.25">
      <c r="A143" s="302"/>
      <c r="B143" s="302"/>
      <c r="C143" s="302"/>
      <c r="D143" s="302"/>
      <c r="E143" s="302"/>
      <c r="F143" s="303"/>
      <c r="G143" s="302"/>
      <c r="H143" s="303"/>
      <c r="I143" s="304"/>
      <c r="J143" s="304"/>
      <c r="K143" s="303"/>
      <c r="L143" s="303"/>
      <c r="M143" s="303"/>
      <c r="N143" s="303"/>
      <c r="O143" s="303"/>
      <c r="P143" s="303"/>
      <c r="Q143" s="305"/>
      <c r="R143" s="305"/>
      <c r="S143" s="305"/>
      <c r="T143" s="305"/>
      <c r="U143" s="305"/>
      <c r="V143" s="305"/>
      <c r="W143" s="305"/>
      <c r="X143" s="305"/>
      <c r="Y143" s="305"/>
      <c r="Z143" s="305"/>
    </row>
    <row r="144" spans="1:26" ht="15.75" customHeight="1" x14ac:dyDescent="0.25">
      <c r="A144" s="302"/>
      <c r="B144" s="302"/>
      <c r="C144" s="302"/>
      <c r="D144" s="302"/>
      <c r="E144" s="302"/>
      <c r="F144" s="303"/>
      <c r="G144" s="302"/>
      <c r="H144" s="303"/>
      <c r="I144" s="304"/>
      <c r="J144" s="304"/>
      <c r="K144" s="303"/>
      <c r="L144" s="303"/>
      <c r="M144" s="303"/>
      <c r="N144" s="303"/>
      <c r="O144" s="303"/>
      <c r="P144" s="303"/>
      <c r="Q144" s="305"/>
      <c r="R144" s="305"/>
      <c r="S144" s="305"/>
      <c r="T144" s="305"/>
      <c r="U144" s="305"/>
      <c r="V144" s="305"/>
      <c r="W144" s="305"/>
      <c r="X144" s="305"/>
      <c r="Y144" s="305"/>
      <c r="Z144" s="305"/>
    </row>
    <row r="145" spans="1:26" ht="15.75" customHeight="1" x14ac:dyDescent="0.25">
      <c r="A145" s="302"/>
      <c r="B145" s="302"/>
      <c r="C145" s="302"/>
      <c r="D145" s="302"/>
      <c r="E145" s="302"/>
      <c r="F145" s="303"/>
      <c r="G145" s="302"/>
      <c r="H145" s="303"/>
      <c r="I145" s="304"/>
      <c r="J145" s="304"/>
      <c r="K145" s="303"/>
      <c r="L145" s="303"/>
      <c r="M145" s="303"/>
      <c r="N145" s="303"/>
      <c r="O145" s="303"/>
      <c r="P145" s="303"/>
      <c r="Q145" s="305"/>
      <c r="R145" s="305"/>
      <c r="S145" s="305"/>
      <c r="T145" s="305"/>
      <c r="U145" s="305"/>
      <c r="V145" s="305"/>
      <c r="W145" s="305"/>
      <c r="X145" s="305"/>
      <c r="Y145" s="305"/>
      <c r="Z145" s="305"/>
    </row>
    <row r="146" spans="1:26" ht="15.75" customHeight="1" x14ac:dyDescent="0.25">
      <c r="A146" s="302"/>
      <c r="B146" s="302"/>
      <c r="C146" s="302"/>
      <c r="D146" s="302"/>
      <c r="E146" s="302"/>
      <c r="F146" s="303"/>
      <c r="G146" s="302"/>
      <c r="H146" s="303"/>
      <c r="I146" s="304"/>
      <c r="J146" s="304"/>
      <c r="K146" s="303"/>
      <c r="L146" s="303"/>
      <c r="M146" s="303"/>
      <c r="N146" s="303"/>
      <c r="O146" s="303"/>
      <c r="P146" s="303"/>
      <c r="Q146" s="305"/>
      <c r="R146" s="305"/>
      <c r="S146" s="305"/>
      <c r="T146" s="305"/>
      <c r="U146" s="305"/>
      <c r="V146" s="305"/>
      <c r="W146" s="305"/>
      <c r="X146" s="305"/>
      <c r="Y146" s="305"/>
      <c r="Z146" s="305"/>
    </row>
    <row r="147" spans="1:26" ht="15.75" customHeight="1" x14ac:dyDescent="0.25">
      <c r="A147" s="302"/>
      <c r="B147" s="302"/>
      <c r="C147" s="302"/>
      <c r="D147" s="302"/>
      <c r="E147" s="302"/>
      <c r="F147" s="303"/>
      <c r="G147" s="302"/>
      <c r="H147" s="303"/>
      <c r="I147" s="304"/>
      <c r="J147" s="304"/>
      <c r="K147" s="303"/>
      <c r="L147" s="303"/>
      <c r="M147" s="303"/>
      <c r="N147" s="303"/>
      <c r="O147" s="303"/>
      <c r="P147" s="303"/>
      <c r="Q147" s="305"/>
      <c r="R147" s="305"/>
      <c r="S147" s="305"/>
      <c r="T147" s="305"/>
      <c r="U147" s="305"/>
      <c r="V147" s="305"/>
      <c r="W147" s="305"/>
      <c r="X147" s="305"/>
      <c r="Y147" s="305"/>
      <c r="Z147" s="305"/>
    </row>
    <row r="148" spans="1:26" ht="15.75" customHeight="1" x14ac:dyDescent="0.25">
      <c r="A148" s="302"/>
      <c r="B148" s="302"/>
      <c r="C148" s="302"/>
      <c r="D148" s="302"/>
      <c r="E148" s="302"/>
      <c r="F148" s="303"/>
      <c r="G148" s="302"/>
      <c r="H148" s="303"/>
      <c r="I148" s="304"/>
      <c r="J148" s="304"/>
      <c r="K148" s="303"/>
      <c r="L148" s="303"/>
      <c r="M148" s="303"/>
      <c r="N148" s="303"/>
      <c r="O148" s="303"/>
      <c r="P148" s="303"/>
      <c r="Q148" s="305"/>
      <c r="R148" s="305"/>
      <c r="S148" s="305"/>
      <c r="T148" s="305"/>
      <c r="U148" s="305"/>
      <c r="V148" s="305"/>
      <c r="W148" s="305"/>
      <c r="X148" s="305"/>
      <c r="Y148" s="305"/>
      <c r="Z148" s="305"/>
    </row>
    <row r="149" spans="1:26" ht="15.75" customHeight="1" x14ac:dyDescent="0.25">
      <c r="A149" s="302"/>
      <c r="B149" s="302"/>
      <c r="C149" s="302"/>
      <c r="D149" s="302"/>
      <c r="E149" s="302"/>
      <c r="F149" s="303"/>
      <c r="G149" s="302"/>
      <c r="H149" s="303"/>
      <c r="I149" s="304"/>
      <c r="J149" s="304"/>
      <c r="K149" s="303"/>
      <c r="L149" s="303"/>
      <c r="M149" s="303"/>
      <c r="N149" s="303"/>
      <c r="O149" s="303"/>
      <c r="P149" s="303"/>
      <c r="Q149" s="305"/>
      <c r="R149" s="305"/>
      <c r="S149" s="305"/>
      <c r="T149" s="305"/>
      <c r="U149" s="305"/>
      <c r="V149" s="305"/>
      <c r="W149" s="305"/>
      <c r="X149" s="305"/>
      <c r="Y149" s="305"/>
      <c r="Z149" s="305"/>
    </row>
    <row r="150" spans="1:26" ht="15.75" customHeight="1" x14ac:dyDescent="0.25">
      <c r="A150" s="302"/>
      <c r="B150" s="302"/>
      <c r="C150" s="302"/>
      <c r="D150" s="302"/>
      <c r="E150" s="302"/>
      <c r="F150" s="303"/>
      <c r="G150" s="302"/>
      <c r="H150" s="303"/>
      <c r="I150" s="304"/>
      <c r="J150" s="304"/>
      <c r="K150" s="303"/>
      <c r="L150" s="303"/>
      <c r="M150" s="303"/>
      <c r="N150" s="303"/>
      <c r="O150" s="303"/>
      <c r="P150" s="303"/>
      <c r="Q150" s="305"/>
      <c r="R150" s="305"/>
      <c r="S150" s="305"/>
      <c r="T150" s="305"/>
      <c r="U150" s="305"/>
      <c r="V150" s="305"/>
      <c r="W150" s="305"/>
      <c r="X150" s="305"/>
      <c r="Y150" s="305"/>
      <c r="Z150" s="305"/>
    </row>
    <row r="151" spans="1:26" ht="15.75" customHeight="1" x14ac:dyDescent="0.25">
      <c r="A151" s="302"/>
      <c r="B151" s="302"/>
      <c r="C151" s="302"/>
      <c r="D151" s="302"/>
      <c r="E151" s="302"/>
      <c r="F151" s="303"/>
      <c r="G151" s="302"/>
      <c r="H151" s="303"/>
      <c r="I151" s="304"/>
      <c r="J151" s="304"/>
      <c r="K151" s="303"/>
      <c r="L151" s="303"/>
      <c r="M151" s="303"/>
      <c r="N151" s="303"/>
      <c r="O151" s="303"/>
      <c r="P151" s="303"/>
      <c r="Q151" s="305"/>
      <c r="R151" s="305"/>
      <c r="S151" s="305"/>
      <c r="T151" s="305"/>
      <c r="U151" s="305"/>
      <c r="V151" s="305"/>
      <c r="W151" s="305"/>
      <c r="X151" s="305"/>
      <c r="Y151" s="305"/>
      <c r="Z151" s="305"/>
    </row>
    <row r="152" spans="1:26" ht="15.75" customHeight="1" x14ac:dyDescent="0.25">
      <c r="A152" s="302"/>
      <c r="B152" s="302"/>
      <c r="C152" s="302"/>
      <c r="D152" s="302"/>
      <c r="E152" s="302"/>
      <c r="F152" s="303"/>
      <c r="G152" s="302"/>
      <c r="H152" s="303"/>
      <c r="I152" s="304"/>
      <c r="J152" s="304"/>
      <c r="K152" s="303"/>
      <c r="L152" s="303"/>
      <c r="M152" s="303"/>
      <c r="N152" s="303"/>
      <c r="O152" s="303"/>
      <c r="P152" s="303"/>
      <c r="Q152" s="305"/>
      <c r="R152" s="305"/>
      <c r="S152" s="305"/>
      <c r="T152" s="305"/>
      <c r="U152" s="305"/>
      <c r="V152" s="305"/>
      <c r="W152" s="305"/>
      <c r="X152" s="305"/>
      <c r="Y152" s="305"/>
      <c r="Z152" s="305"/>
    </row>
    <row r="153" spans="1:26" ht="15.75" customHeight="1" x14ac:dyDescent="0.25">
      <c r="A153" s="302"/>
      <c r="B153" s="302"/>
      <c r="C153" s="302"/>
      <c r="D153" s="302"/>
      <c r="E153" s="302"/>
      <c r="F153" s="303"/>
      <c r="G153" s="302"/>
      <c r="H153" s="303"/>
      <c r="I153" s="304"/>
      <c r="J153" s="304"/>
      <c r="K153" s="303"/>
      <c r="L153" s="303"/>
      <c r="M153" s="303"/>
      <c r="N153" s="303"/>
      <c r="O153" s="303"/>
      <c r="P153" s="303"/>
      <c r="Q153" s="305"/>
      <c r="R153" s="305"/>
      <c r="S153" s="305"/>
      <c r="T153" s="305"/>
      <c r="U153" s="305"/>
      <c r="V153" s="305"/>
      <c r="W153" s="305"/>
      <c r="X153" s="305"/>
      <c r="Y153" s="305"/>
      <c r="Z153" s="305"/>
    </row>
    <row r="154" spans="1:26" ht="15.75" customHeight="1" x14ac:dyDescent="0.25">
      <c r="A154" s="302"/>
      <c r="B154" s="302"/>
      <c r="C154" s="302"/>
      <c r="D154" s="302"/>
      <c r="E154" s="302"/>
      <c r="F154" s="303"/>
      <c r="G154" s="302"/>
      <c r="H154" s="303"/>
      <c r="I154" s="304"/>
      <c r="J154" s="304"/>
      <c r="K154" s="303"/>
      <c r="L154" s="303"/>
      <c r="M154" s="303"/>
      <c r="N154" s="303"/>
      <c r="O154" s="303"/>
      <c r="P154" s="303"/>
      <c r="Q154" s="305"/>
      <c r="R154" s="305"/>
      <c r="S154" s="305"/>
      <c r="T154" s="305"/>
      <c r="U154" s="305"/>
      <c r="V154" s="305"/>
      <c r="W154" s="305"/>
      <c r="X154" s="305"/>
      <c r="Y154" s="305"/>
      <c r="Z154" s="305"/>
    </row>
    <row r="155" spans="1:26" ht="15.75" customHeight="1" x14ac:dyDescent="0.25">
      <c r="A155" s="302"/>
      <c r="B155" s="302"/>
      <c r="C155" s="302"/>
      <c r="D155" s="302"/>
      <c r="E155" s="302"/>
      <c r="F155" s="303"/>
      <c r="G155" s="302"/>
      <c r="H155" s="303"/>
      <c r="I155" s="304"/>
      <c r="J155" s="304"/>
      <c r="K155" s="303"/>
      <c r="L155" s="303"/>
      <c r="M155" s="303"/>
      <c r="N155" s="303"/>
      <c r="O155" s="303"/>
      <c r="P155" s="303"/>
      <c r="Q155" s="305"/>
      <c r="R155" s="305"/>
      <c r="S155" s="305"/>
      <c r="T155" s="305"/>
      <c r="U155" s="305"/>
      <c r="V155" s="305"/>
      <c r="W155" s="305"/>
      <c r="X155" s="305"/>
      <c r="Y155" s="305"/>
      <c r="Z155" s="305"/>
    </row>
    <row r="156" spans="1:26" ht="15.75" customHeight="1" x14ac:dyDescent="0.25">
      <c r="A156" s="302"/>
      <c r="B156" s="302"/>
      <c r="C156" s="302"/>
      <c r="D156" s="302"/>
      <c r="E156" s="302"/>
      <c r="F156" s="303"/>
      <c r="G156" s="302"/>
      <c r="H156" s="303"/>
      <c r="I156" s="304"/>
      <c r="J156" s="304"/>
      <c r="K156" s="303"/>
      <c r="L156" s="303"/>
      <c r="M156" s="303"/>
      <c r="N156" s="303"/>
      <c r="O156" s="303"/>
      <c r="P156" s="303"/>
      <c r="Q156" s="305"/>
      <c r="R156" s="305"/>
      <c r="S156" s="305"/>
      <c r="T156" s="305"/>
      <c r="U156" s="305"/>
      <c r="V156" s="305"/>
      <c r="W156" s="305"/>
      <c r="X156" s="305"/>
      <c r="Y156" s="305"/>
      <c r="Z156" s="305"/>
    </row>
    <row r="157" spans="1:26" ht="15.75" customHeight="1" x14ac:dyDescent="0.25">
      <c r="A157" s="302"/>
      <c r="B157" s="302"/>
      <c r="C157" s="302"/>
      <c r="D157" s="302"/>
      <c r="E157" s="302"/>
      <c r="F157" s="303"/>
      <c r="G157" s="302"/>
      <c r="H157" s="303"/>
      <c r="I157" s="304"/>
      <c r="J157" s="304"/>
      <c r="K157" s="303"/>
      <c r="L157" s="303"/>
      <c r="M157" s="303"/>
      <c r="N157" s="303"/>
      <c r="O157" s="303"/>
      <c r="P157" s="303"/>
      <c r="Q157" s="305"/>
      <c r="R157" s="305"/>
      <c r="S157" s="305"/>
      <c r="T157" s="305"/>
      <c r="U157" s="305"/>
      <c r="V157" s="305"/>
      <c r="W157" s="305"/>
      <c r="X157" s="305"/>
      <c r="Y157" s="305"/>
      <c r="Z157" s="305"/>
    </row>
    <row r="158" spans="1:26" ht="15.75" customHeight="1" x14ac:dyDescent="0.25">
      <c r="A158" s="302"/>
      <c r="B158" s="302"/>
      <c r="C158" s="302"/>
      <c r="D158" s="302"/>
      <c r="E158" s="302"/>
      <c r="F158" s="303"/>
      <c r="G158" s="302"/>
      <c r="H158" s="303"/>
      <c r="I158" s="304"/>
      <c r="J158" s="304"/>
      <c r="K158" s="303"/>
      <c r="L158" s="303"/>
      <c r="M158" s="303"/>
      <c r="N158" s="303"/>
      <c r="O158" s="303"/>
      <c r="P158" s="303"/>
      <c r="Q158" s="305"/>
      <c r="R158" s="305"/>
      <c r="S158" s="305"/>
      <c r="T158" s="305"/>
      <c r="U158" s="305"/>
      <c r="V158" s="305"/>
      <c r="W158" s="305"/>
      <c r="X158" s="305"/>
      <c r="Y158" s="305"/>
      <c r="Z158" s="305"/>
    </row>
    <row r="159" spans="1:26" ht="15.75" customHeight="1" x14ac:dyDescent="0.25">
      <c r="A159" s="302"/>
      <c r="B159" s="302"/>
      <c r="C159" s="302"/>
      <c r="D159" s="302"/>
      <c r="E159" s="302"/>
      <c r="F159" s="303"/>
      <c r="G159" s="302"/>
      <c r="H159" s="303"/>
      <c r="I159" s="304"/>
      <c r="J159" s="304"/>
      <c r="K159" s="303"/>
      <c r="L159" s="303"/>
      <c r="M159" s="303"/>
      <c r="N159" s="303"/>
      <c r="O159" s="303"/>
      <c r="P159" s="303"/>
      <c r="Q159" s="305"/>
      <c r="R159" s="305"/>
      <c r="S159" s="305"/>
      <c r="T159" s="305"/>
      <c r="U159" s="305"/>
      <c r="V159" s="305"/>
      <c r="W159" s="305"/>
      <c r="X159" s="305"/>
      <c r="Y159" s="305"/>
      <c r="Z159" s="305"/>
    </row>
    <row r="160" spans="1:26" ht="15.75" customHeight="1" x14ac:dyDescent="0.25">
      <c r="A160" s="302"/>
      <c r="B160" s="302"/>
      <c r="C160" s="302"/>
      <c r="D160" s="302"/>
      <c r="E160" s="302"/>
      <c r="F160" s="303"/>
      <c r="G160" s="302"/>
      <c r="H160" s="303"/>
      <c r="I160" s="304"/>
      <c r="J160" s="304"/>
      <c r="K160" s="303"/>
      <c r="L160" s="303"/>
      <c r="M160" s="303"/>
      <c r="N160" s="303"/>
      <c r="O160" s="303"/>
      <c r="P160" s="303"/>
      <c r="Q160" s="305"/>
      <c r="R160" s="305"/>
      <c r="S160" s="305"/>
      <c r="T160" s="305"/>
      <c r="U160" s="305"/>
      <c r="V160" s="305"/>
      <c r="W160" s="305"/>
      <c r="X160" s="305"/>
      <c r="Y160" s="305"/>
      <c r="Z160" s="305"/>
    </row>
    <row r="161" spans="1:26" ht="15.75" customHeight="1" x14ac:dyDescent="0.25">
      <c r="A161" s="302"/>
      <c r="B161" s="302"/>
      <c r="C161" s="302"/>
      <c r="D161" s="302"/>
      <c r="E161" s="302"/>
      <c r="F161" s="303"/>
      <c r="G161" s="302"/>
      <c r="H161" s="303"/>
      <c r="I161" s="304"/>
      <c r="J161" s="304"/>
      <c r="K161" s="303"/>
      <c r="L161" s="303"/>
      <c r="M161" s="303"/>
      <c r="N161" s="303"/>
      <c r="O161" s="303"/>
      <c r="P161" s="303"/>
      <c r="Q161" s="305"/>
      <c r="R161" s="305"/>
      <c r="S161" s="305"/>
      <c r="T161" s="305"/>
      <c r="U161" s="305"/>
      <c r="V161" s="305"/>
      <c r="W161" s="305"/>
      <c r="X161" s="305"/>
      <c r="Y161" s="305"/>
      <c r="Z161" s="305"/>
    </row>
    <row r="162" spans="1:26" ht="15.75" customHeight="1" x14ac:dyDescent="0.25">
      <c r="A162" s="302"/>
      <c r="B162" s="302"/>
      <c r="C162" s="302"/>
      <c r="D162" s="302"/>
      <c r="E162" s="302"/>
      <c r="F162" s="303"/>
      <c r="G162" s="302"/>
      <c r="H162" s="303"/>
      <c r="I162" s="304"/>
      <c r="J162" s="304"/>
      <c r="K162" s="303"/>
      <c r="L162" s="303"/>
      <c r="M162" s="303"/>
      <c r="N162" s="303"/>
      <c r="O162" s="303"/>
      <c r="P162" s="303"/>
      <c r="Q162" s="305"/>
      <c r="R162" s="305"/>
      <c r="S162" s="305"/>
      <c r="T162" s="305"/>
      <c r="U162" s="305"/>
      <c r="V162" s="305"/>
      <c r="W162" s="305"/>
      <c r="X162" s="305"/>
      <c r="Y162" s="305"/>
      <c r="Z162" s="305"/>
    </row>
    <row r="163" spans="1:26" ht="15.75" customHeight="1" x14ac:dyDescent="0.25">
      <c r="A163" s="302"/>
      <c r="B163" s="302"/>
      <c r="C163" s="302"/>
      <c r="D163" s="302"/>
      <c r="E163" s="302"/>
      <c r="F163" s="303"/>
      <c r="G163" s="302"/>
      <c r="H163" s="303"/>
      <c r="I163" s="304"/>
      <c r="J163" s="304"/>
      <c r="K163" s="303"/>
      <c r="L163" s="303"/>
      <c r="M163" s="303"/>
      <c r="N163" s="303"/>
      <c r="O163" s="303"/>
      <c r="P163" s="303"/>
      <c r="Q163" s="305"/>
      <c r="R163" s="305"/>
      <c r="S163" s="305"/>
      <c r="T163" s="305"/>
      <c r="U163" s="305"/>
      <c r="V163" s="305"/>
      <c r="W163" s="305"/>
      <c r="X163" s="305"/>
      <c r="Y163" s="305"/>
      <c r="Z163" s="305"/>
    </row>
    <row r="164" spans="1:26" ht="15.75" customHeight="1" x14ac:dyDescent="0.25">
      <c r="A164" s="302"/>
      <c r="B164" s="302"/>
      <c r="C164" s="302"/>
      <c r="D164" s="302"/>
      <c r="E164" s="302"/>
      <c r="F164" s="303"/>
      <c r="G164" s="302"/>
      <c r="H164" s="303"/>
      <c r="I164" s="304"/>
      <c r="J164" s="304"/>
      <c r="K164" s="303"/>
      <c r="L164" s="303"/>
      <c r="M164" s="303"/>
      <c r="N164" s="303"/>
      <c r="O164" s="303"/>
      <c r="P164" s="303"/>
      <c r="Q164" s="305"/>
      <c r="R164" s="305"/>
      <c r="S164" s="305"/>
      <c r="T164" s="305"/>
      <c r="U164" s="305"/>
      <c r="V164" s="305"/>
      <c r="W164" s="305"/>
      <c r="X164" s="305"/>
      <c r="Y164" s="305"/>
      <c r="Z164" s="305"/>
    </row>
    <row r="165" spans="1:26" ht="15.75" customHeight="1" x14ac:dyDescent="0.25">
      <c r="A165" s="302"/>
      <c r="B165" s="302"/>
      <c r="C165" s="302"/>
      <c r="D165" s="302"/>
      <c r="E165" s="302"/>
      <c r="F165" s="303"/>
      <c r="G165" s="302"/>
      <c r="H165" s="303"/>
      <c r="I165" s="304"/>
      <c r="J165" s="304"/>
      <c r="K165" s="303"/>
      <c r="L165" s="303"/>
      <c r="M165" s="303"/>
      <c r="N165" s="303"/>
      <c r="O165" s="303"/>
      <c r="P165" s="303"/>
      <c r="Q165" s="305"/>
      <c r="R165" s="305"/>
      <c r="S165" s="305"/>
      <c r="T165" s="305"/>
      <c r="U165" s="305"/>
      <c r="V165" s="305"/>
      <c r="W165" s="305"/>
      <c r="X165" s="305"/>
      <c r="Y165" s="305"/>
      <c r="Z165" s="305"/>
    </row>
    <row r="166" spans="1:26" ht="15.75" customHeight="1" x14ac:dyDescent="0.25">
      <c r="A166" s="302"/>
      <c r="B166" s="302"/>
      <c r="C166" s="302"/>
      <c r="D166" s="302"/>
      <c r="E166" s="302"/>
      <c r="F166" s="303"/>
      <c r="G166" s="302"/>
      <c r="H166" s="303"/>
      <c r="I166" s="304"/>
      <c r="J166" s="304"/>
      <c r="K166" s="303"/>
      <c r="L166" s="303"/>
      <c r="M166" s="303"/>
      <c r="N166" s="303"/>
      <c r="O166" s="303"/>
      <c r="P166" s="303"/>
      <c r="Q166" s="305"/>
      <c r="R166" s="305"/>
      <c r="S166" s="305"/>
      <c r="T166" s="305"/>
      <c r="U166" s="305"/>
      <c r="V166" s="305"/>
      <c r="W166" s="305"/>
      <c r="X166" s="305"/>
      <c r="Y166" s="305"/>
      <c r="Z166" s="305"/>
    </row>
    <row r="167" spans="1:26" ht="15.75" customHeight="1" x14ac:dyDescent="0.25">
      <c r="A167" s="302"/>
      <c r="B167" s="302"/>
      <c r="C167" s="302"/>
      <c r="D167" s="302"/>
      <c r="E167" s="302"/>
      <c r="F167" s="303"/>
      <c r="G167" s="302"/>
      <c r="H167" s="303"/>
      <c r="I167" s="304"/>
      <c r="J167" s="304"/>
      <c r="K167" s="303"/>
      <c r="L167" s="303"/>
      <c r="M167" s="303"/>
      <c r="N167" s="303"/>
      <c r="O167" s="303"/>
      <c r="P167" s="303"/>
      <c r="Q167" s="305"/>
      <c r="R167" s="305"/>
      <c r="S167" s="305"/>
      <c r="T167" s="305"/>
      <c r="U167" s="305"/>
      <c r="V167" s="305"/>
      <c r="W167" s="305"/>
      <c r="X167" s="305"/>
      <c r="Y167" s="305"/>
      <c r="Z167" s="305"/>
    </row>
    <row r="168" spans="1:26" ht="15.75" customHeight="1" x14ac:dyDescent="0.25">
      <c r="A168" s="302"/>
      <c r="B168" s="302"/>
      <c r="C168" s="302"/>
      <c r="D168" s="302"/>
      <c r="E168" s="302"/>
      <c r="F168" s="303"/>
      <c r="G168" s="302"/>
      <c r="H168" s="303"/>
      <c r="I168" s="304"/>
      <c r="J168" s="304"/>
      <c r="K168" s="303"/>
      <c r="L168" s="303"/>
      <c r="M168" s="303"/>
      <c r="N168" s="303"/>
      <c r="O168" s="303"/>
      <c r="P168" s="303"/>
      <c r="Q168" s="305"/>
      <c r="R168" s="305"/>
      <c r="S168" s="305"/>
      <c r="T168" s="305"/>
      <c r="U168" s="305"/>
      <c r="V168" s="305"/>
      <c r="W168" s="305"/>
      <c r="X168" s="305"/>
      <c r="Y168" s="305"/>
      <c r="Z168" s="305"/>
    </row>
    <row r="169" spans="1:26" ht="15.75" customHeight="1" x14ac:dyDescent="0.25">
      <c r="A169" s="302"/>
      <c r="B169" s="302"/>
      <c r="C169" s="302"/>
      <c r="D169" s="302"/>
      <c r="E169" s="302"/>
      <c r="F169" s="303"/>
      <c r="G169" s="302"/>
      <c r="H169" s="303"/>
      <c r="I169" s="304"/>
      <c r="J169" s="304"/>
      <c r="K169" s="303"/>
      <c r="L169" s="303"/>
      <c r="M169" s="303"/>
      <c r="N169" s="303"/>
      <c r="O169" s="303"/>
      <c r="P169" s="303"/>
      <c r="Q169" s="305"/>
      <c r="R169" s="305"/>
      <c r="S169" s="305"/>
      <c r="T169" s="305"/>
      <c r="U169" s="305"/>
      <c r="V169" s="305"/>
      <c r="W169" s="305"/>
      <c r="X169" s="305"/>
      <c r="Y169" s="305"/>
      <c r="Z169" s="305"/>
    </row>
    <row r="170" spans="1:26" ht="15.75" customHeight="1" x14ac:dyDescent="0.25">
      <c r="A170" s="302"/>
      <c r="B170" s="302"/>
      <c r="C170" s="302"/>
      <c r="D170" s="302"/>
      <c r="E170" s="302"/>
      <c r="F170" s="303"/>
      <c r="G170" s="302"/>
      <c r="H170" s="303"/>
      <c r="I170" s="304"/>
      <c r="J170" s="304"/>
      <c r="K170" s="303"/>
      <c r="L170" s="303"/>
      <c r="M170" s="303"/>
      <c r="N170" s="303"/>
      <c r="O170" s="303"/>
      <c r="P170" s="303"/>
      <c r="Q170" s="305"/>
      <c r="R170" s="305"/>
      <c r="S170" s="305"/>
      <c r="T170" s="305"/>
      <c r="U170" s="305"/>
      <c r="V170" s="305"/>
      <c r="W170" s="305"/>
      <c r="X170" s="305"/>
      <c r="Y170" s="305"/>
      <c r="Z170" s="305"/>
    </row>
    <row r="171" spans="1:26" ht="15.75" customHeight="1" x14ac:dyDescent="0.25">
      <c r="A171" s="302"/>
      <c r="B171" s="302"/>
      <c r="C171" s="302"/>
      <c r="D171" s="302"/>
      <c r="E171" s="302"/>
      <c r="F171" s="303"/>
      <c r="G171" s="302"/>
      <c r="H171" s="303"/>
      <c r="I171" s="304"/>
      <c r="J171" s="304"/>
      <c r="K171" s="303"/>
      <c r="L171" s="303"/>
      <c r="M171" s="303"/>
      <c r="N171" s="303"/>
      <c r="O171" s="303"/>
      <c r="P171" s="303"/>
      <c r="Q171" s="305"/>
      <c r="R171" s="305"/>
      <c r="S171" s="305"/>
      <c r="T171" s="305"/>
      <c r="U171" s="305"/>
      <c r="V171" s="305"/>
      <c r="W171" s="305"/>
      <c r="X171" s="305"/>
      <c r="Y171" s="305"/>
      <c r="Z171" s="305"/>
    </row>
    <row r="172" spans="1:26" ht="15.75" customHeight="1" x14ac:dyDescent="0.25">
      <c r="A172" s="302"/>
      <c r="B172" s="302"/>
      <c r="C172" s="302"/>
      <c r="D172" s="302"/>
      <c r="E172" s="302"/>
      <c r="F172" s="303"/>
      <c r="G172" s="302"/>
      <c r="H172" s="303"/>
      <c r="I172" s="304"/>
      <c r="J172" s="304"/>
      <c r="K172" s="303"/>
      <c r="L172" s="303"/>
      <c r="M172" s="303"/>
      <c r="N172" s="303"/>
      <c r="O172" s="303"/>
      <c r="P172" s="303"/>
      <c r="Q172" s="305"/>
      <c r="R172" s="305"/>
      <c r="S172" s="305"/>
      <c r="T172" s="305"/>
      <c r="U172" s="305"/>
      <c r="V172" s="305"/>
      <c r="W172" s="305"/>
      <c r="X172" s="305"/>
      <c r="Y172" s="305"/>
      <c r="Z172" s="305"/>
    </row>
    <row r="173" spans="1:26" ht="15.75" customHeight="1" x14ac:dyDescent="0.25">
      <c r="A173" s="302"/>
      <c r="B173" s="302"/>
      <c r="C173" s="302"/>
      <c r="D173" s="302"/>
      <c r="E173" s="302"/>
      <c r="F173" s="303"/>
      <c r="G173" s="302"/>
      <c r="H173" s="303"/>
      <c r="I173" s="304"/>
      <c r="J173" s="304"/>
      <c r="K173" s="303"/>
      <c r="L173" s="303"/>
      <c r="M173" s="303"/>
      <c r="N173" s="303"/>
      <c r="O173" s="303"/>
      <c r="P173" s="303"/>
      <c r="Q173" s="305"/>
      <c r="R173" s="305"/>
      <c r="S173" s="305"/>
      <c r="T173" s="305"/>
      <c r="U173" s="305"/>
      <c r="V173" s="305"/>
      <c r="W173" s="305"/>
      <c r="X173" s="305"/>
      <c r="Y173" s="305"/>
      <c r="Z173" s="305"/>
    </row>
    <row r="174" spans="1:26" ht="15.75" customHeight="1" x14ac:dyDescent="0.25">
      <c r="A174" s="302"/>
      <c r="B174" s="302"/>
      <c r="C174" s="302"/>
      <c r="D174" s="302"/>
      <c r="E174" s="302"/>
      <c r="F174" s="303"/>
      <c r="G174" s="302"/>
      <c r="H174" s="303"/>
      <c r="I174" s="304"/>
      <c r="J174" s="304"/>
      <c r="K174" s="303"/>
      <c r="L174" s="303"/>
      <c r="M174" s="303"/>
      <c r="N174" s="303"/>
      <c r="O174" s="303"/>
      <c r="P174" s="303"/>
      <c r="Q174" s="305"/>
      <c r="R174" s="305"/>
      <c r="S174" s="305"/>
      <c r="T174" s="305"/>
      <c r="U174" s="305"/>
      <c r="V174" s="305"/>
      <c r="W174" s="305"/>
      <c r="X174" s="305"/>
      <c r="Y174" s="305"/>
      <c r="Z174" s="305"/>
    </row>
    <row r="175" spans="1:26" ht="15.75" customHeight="1" x14ac:dyDescent="0.25">
      <c r="A175" s="302"/>
      <c r="B175" s="302"/>
      <c r="C175" s="302"/>
      <c r="D175" s="302"/>
      <c r="E175" s="302"/>
      <c r="F175" s="303"/>
      <c r="G175" s="302"/>
      <c r="H175" s="303"/>
      <c r="I175" s="304"/>
      <c r="J175" s="304"/>
      <c r="K175" s="303"/>
      <c r="L175" s="303"/>
      <c r="M175" s="303"/>
      <c r="N175" s="303"/>
      <c r="O175" s="303"/>
      <c r="P175" s="303"/>
      <c r="Q175" s="305"/>
      <c r="R175" s="305"/>
      <c r="S175" s="305"/>
      <c r="T175" s="305"/>
      <c r="U175" s="305"/>
      <c r="V175" s="305"/>
      <c r="W175" s="305"/>
      <c r="X175" s="305"/>
      <c r="Y175" s="305"/>
      <c r="Z175" s="305"/>
    </row>
    <row r="176" spans="1:26" ht="15.75" customHeight="1" x14ac:dyDescent="0.25">
      <c r="A176" s="302"/>
      <c r="B176" s="302"/>
      <c r="C176" s="302"/>
      <c r="D176" s="302"/>
      <c r="E176" s="302"/>
      <c r="F176" s="303"/>
      <c r="G176" s="302"/>
      <c r="H176" s="303"/>
      <c r="I176" s="304"/>
      <c r="J176" s="304"/>
      <c r="K176" s="303"/>
      <c r="L176" s="303"/>
      <c r="M176" s="303"/>
      <c r="N176" s="303"/>
      <c r="O176" s="303"/>
      <c r="P176" s="303"/>
      <c r="Q176" s="305"/>
      <c r="R176" s="305"/>
      <c r="S176" s="305"/>
      <c r="T176" s="305"/>
      <c r="U176" s="305"/>
      <c r="V176" s="305"/>
      <c r="W176" s="305"/>
      <c r="X176" s="305"/>
      <c r="Y176" s="305"/>
      <c r="Z176" s="305"/>
    </row>
    <row r="177" spans="1:26" ht="15.75" customHeight="1" x14ac:dyDescent="0.25">
      <c r="A177" s="302"/>
      <c r="B177" s="302"/>
      <c r="C177" s="302"/>
      <c r="D177" s="302"/>
      <c r="E177" s="302"/>
      <c r="F177" s="303"/>
      <c r="G177" s="302"/>
      <c r="H177" s="303"/>
      <c r="I177" s="304"/>
      <c r="J177" s="304"/>
      <c r="K177" s="303"/>
      <c r="L177" s="303"/>
      <c r="M177" s="303"/>
      <c r="N177" s="303"/>
      <c r="O177" s="303"/>
      <c r="P177" s="303"/>
      <c r="Q177" s="305"/>
      <c r="R177" s="305"/>
      <c r="S177" s="305"/>
      <c r="T177" s="305"/>
      <c r="U177" s="305"/>
      <c r="V177" s="305"/>
      <c r="W177" s="305"/>
      <c r="X177" s="305"/>
      <c r="Y177" s="305"/>
      <c r="Z177" s="305"/>
    </row>
    <row r="178" spans="1:26" ht="15.75" customHeight="1" x14ac:dyDescent="0.25">
      <c r="A178" s="302"/>
      <c r="B178" s="302"/>
      <c r="C178" s="302"/>
      <c r="D178" s="302"/>
      <c r="E178" s="302"/>
      <c r="F178" s="303"/>
      <c r="G178" s="302"/>
      <c r="H178" s="303"/>
      <c r="I178" s="304"/>
      <c r="J178" s="304"/>
      <c r="K178" s="303"/>
      <c r="L178" s="303"/>
      <c r="M178" s="303"/>
      <c r="N178" s="303"/>
      <c r="O178" s="303"/>
      <c r="P178" s="303"/>
      <c r="Q178" s="305"/>
      <c r="R178" s="305"/>
      <c r="S178" s="305"/>
      <c r="T178" s="305"/>
      <c r="U178" s="305"/>
      <c r="V178" s="305"/>
      <c r="W178" s="305"/>
      <c r="X178" s="305"/>
      <c r="Y178" s="305"/>
      <c r="Z178" s="305"/>
    </row>
    <row r="179" spans="1:26" ht="15.75" customHeight="1" x14ac:dyDescent="0.25">
      <c r="A179" s="302"/>
      <c r="B179" s="302"/>
      <c r="C179" s="302"/>
      <c r="D179" s="302"/>
      <c r="E179" s="302"/>
      <c r="F179" s="303"/>
      <c r="G179" s="302"/>
      <c r="H179" s="303"/>
      <c r="I179" s="304"/>
      <c r="J179" s="304"/>
      <c r="K179" s="303"/>
      <c r="L179" s="303"/>
      <c r="M179" s="303"/>
      <c r="N179" s="303"/>
      <c r="O179" s="303"/>
      <c r="P179" s="303"/>
      <c r="Q179" s="305"/>
      <c r="R179" s="305"/>
      <c r="S179" s="305"/>
      <c r="T179" s="305"/>
      <c r="U179" s="305"/>
      <c r="V179" s="305"/>
      <c r="W179" s="305"/>
      <c r="X179" s="305"/>
      <c r="Y179" s="305"/>
      <c r="Z179" s="305"/>
    </row>
    <row r="180" spans="1:26" ht="15.75" customHeight="1" x14ac:dyDescent="0.25">
      <c r="A180" s="302"/>
      <c r="B180" s="302"/>
      <c r="C180" s="302"/>
      <c r="D180" s="302"/>
      <c r="E180" s="302"/>
      <c r="F180" s="303"/>
      <c r="G180" s="302"/>
      <c r="H180" s="303"/>
      <c r="I180" s="304"/>
      <c r="J180" s="304"/>
      <c r="K180" s="303"/>
      <c r="L180" s="303"/>
      <c r="M180" s="303"/>
      <c r="N180" s="303"/>
      <c r="O180" s="303"/>
      <c r="P180" s="303"/>
      <c r="Q180" s="305"/>
      <c r="R180" s="305"/>
      <c r="S180" s="305"/>
      <c r="T180" s="305"/>
      <c r="U180" s="305"/>
      <c r="V180" s="305"/>
      <c r="W180" s="305"/>
      <c r="X180" s="305"/>
      <c r="Y180" s="305"/>
      <c r="Z180" s="305"/>
    </row>
    <row r="181" spans="1:26" ht="15.75" customHeight="1" x14ac:dyDescent="0.25">
      <c r="A181" s="302"/>
      <c r="B181" s="302"/>
      <c r="C181" s="302"/>
      <c r="D181" s="302"/>
      <c r="E181" s="302"/>
      <c r="F181" s="303"/>
      <c r="G181" s="302"/>
      <c r="H181" s="303"/>
      <c r="I181" s="304"/>
      <c r="J181" s="304"/>
      <c r="K181" s="303"/>
      <c r="L181" s="303"/>
      <c r="M181" s="303"/>
      <c r="N181" s="303"/>
      <c r="O181" s="303"/>
      <c r="P181" s="303"/>
      <c r="Q181" s="305"/>
      <c r="R181" s="305"/>
      <c r="S181" s="305"/>
      <c r="T181" s="305"/>
      <c r="U181" s="305"/>
      <c r="V181" s="305"/>
      <c r="W181" s="305"/>
      <c r="X181" s="305"/>
      <c r="Y181" s="305"/>
      <c r="Z181" s="305"/>
    </row>
    <row r="182" spans="1:26" ht="15.75" customHeight="1" x14ac:dyDescent="0.25">
      <c r="A182" s="302"/>
      <c r="B182" s="302"/>
      <c r="C182" s="302"/>
      <c r="D182" s="302"/>
      <c r="E182" s="302"/>
      <c r="F182" s="303"/>
      <c r="G182" s="302"/>
      <c r="H182" s="303"/>
      <c r="I182" s="304"/>
      <c r="J182" s="304"/>
      <c r="K182" s="303"/>
      <c r="L182" s="303"/>
      <c r="M182" s="303"/>
      <c r="N182" s="303"/>
      <c r="O182" s="303"/>
      <c r="P182" s="303"/>
      <c r="Q182" s="305"/>
      <c r="R182" s="305"/>
      <c r="S182" s="305"/>
      <c r="T182" s="305"/>
      <c r="U182" s="305"/>
      <c r="V182" s="305"/>
      <c r="W182" s="305"/>
      <c r="X182" s="305"/>
      <c r="Y182" s="305"/>
      <c r="Z182" s="305"/>
    </row>
    <row r="183" spans="1:26" ht="15.75" customHeight="1" x14ac:dyDescent="0.25">
      <c r="A183" s="302"/>
      <c r="B183" s="302"/>
      <c r="C183" s="302"/>
      <c r="D183" s="302"/>
      <c r="E183" s="302"/>
      <c r="F183" s="303"/>
      <c r="G183" s="302"/>
      <c r="H183" s="303"/>
      <c r="I183" s="304"/>
      <c r="J183" s="304"/>
      <c r="K183" s="303"/>
      <c r="L183" s="303"/>
      <c r="M183" s="303"/>
      <c r="N183" s="303"/>
      <c r="O183" s="303"/>
      <c r="P183" s="303"/>
      <c r="Q183" s="305"/>
      <c r="R183" s="305"/>
      <c r="S183" s="305"/>
      <c r="T183" s="305"/>
      <c r="U183" s="305"/>
      <c r="V183" s="305"/>
      <c r="W183" s="305"/>
      <c r="X183" s="305"/>
      <c r="Y183" s="305"/>
      <c r="Z183" s="305"/>
    </row>
    <row r="184" spans="1:26" ht="15.75" customHeight="1" x14ac:dyDescent="0.25">
      <c r="A184" s="302"/>
      <c r="B184" s="302"/>
      <c r="C184" s="302"/>
      <c r="D184" s="302"/>
      <c r="E184" s="302"/>
      <c r="F184" s="303"/>
      <c r="G184" s="302"/>
      <c r="H184" s="303"/>
      <c r="I184" s="304"/>
      <c r="J184" s="304"/>
      <c r="K184" s="303"/>
      <c r="L184" s="303"/>
      <c r="M184" s="303"/>
      <c r="N184" s="303"/>
      <c r="O184" s="303"/>
      <c r="P184" s="303"/>
      <c r="Q184" s="305"/>
      <c r="R184" s="305"/>
      <c r="S184" s="305"/>
      <c r="T184" s="305"/>
      <c r="U184" s="305"/>
      <c r="V184" s="305"/>
      <c r="W184" s="305"/>
      <c r="X184" s="305"/>
      <c r="Y184" s="305"/>
      <c r="Z184" s="305"/>
    </row>
    <row r="185" spans="1:26" ht="15.75" customHeight="1" x14ac:dyDescent="0.25">
      <c r="A185" s="302"/>
      <c r="B185" s="302"/>
      <c r="C185" s="302"/>
      <c r="D185" s="302"/>
      <c r="E185" s="302"/>
      <c r="F185" s="303"/>
      <c r="G185" s="302"/>
      <c r="H185" s="303"/>
      <c r="I185" s="304"/>
      <c r="J185" s="304"/>
      <c r="K185" s="303"/>
      <c r="L185" s="303"/>
      <c r="M185" s="303"/>
      <c r="N185" s="303"/>
      <c r="O185" s="303"/>
      <c r="P185" s="303"/>
      <c r="Q185" s="305"/>
      <c r="R185" s="305"/>
      <c r="S185" s="305"/>
      <c r="T185" s="305"/>
      <c r="U185" s="305"/>
      <c r="V185" s="305"/>
      <c r="W185" s="305"/>
      <c r="X185" s="305"/>
      <c r="Y185" s="305"/>
      <c r="Z185" s="305"/>
    </row>
    <row r="186" spans="1:26" ht="15.75" customHeight="1" x14ac:dyDescent="0.25">
      <c r="A186" s="302"/>
      <c r="B186" s="302"/>
      <c r="C186" s="302"/>
      <c r="D186" s="302"/>
      <c r="E186" s="302"/>
      <c r="F186" s="303"/>
      <c r="G186" s="302"/>
      <c r="H186" s="303"/>
      <c r="I186" s="304"/>
      <c r="J186" s="304"/>
      <c r="K186" s="303"/>
      <c r="L186" s="303"/>
      <c r="M186" s="303"/>
      <c r="N186" s="303"/>
      <c r="O186" s="303"/>
      <c r="P186" s="303"/>
      <c r="Q186" s="305"/>
      <c r="R186" s="305"/>
      <c r="S186" s="305"/>
      <c r="T186" s="305"/>
      <c r="U186" s="305"/>
      <c r="V186" s="305"/>
      <c r="W186" s="305"/>
      <c r="X186" s="305"/>
      <c r="Y186" s="305"/>
      <c r="Z186" s="305"/>
    </row>
    <row r="187" spans="1:26" ht="15.75" customHeight="1" x14ac:dyDescent="0.25">
      <c r="A187" s="302"/>
      <c r="B187" s="302"/>
      <c r="C187" s="302"/>
      <c r="D187" s="302"/>
      <c r="E187" s="302"/>
      <c r="F187" s="303"/>
      <c r="G187" s="302"/>
      <c r="H187" s="303"/>
      <c r="I187" s="304"/>
      <c r="J187" s="304"/>
      <c r="K187" s="303"/>
      <c r="L187" s="303"/>
      <c r="M187" s="303"/>
      <c r="N187" s="303"/>
      <c r="O187" s="303"/>
      <c r="P187" s="303"/>
      <c r="Q187" s="305"/>
      <c r="R187" s="305"/>
      <c r="S187" s="305"/>
      <c r="T187" s="305"/>
      <c r="U187" s="305"/>
      <c r="V187" s="305"/>
      <c r="W187" s="305"/>
      <c r="X187" s="305"/>
      <c r="Y187" s="305"/>
      <c r="Z187" s="305"/>
    </row>
    <row r="188" spans="1:26" ht="15.75" customHeight="1" x14ac:dyDescent="0.25">
      <c r="A188" s="302"/>
      <c r="B188" s="302"/>
      <c r="C188" s="302"/>
      <c r="D188" s="302"/>
      <c r="E188" s="302"/>
      <c r="F188" s="303"/>
      <c r="G188" s="302"/>
      <c r="H188" s="303"/>
      <c r="I188" s="304"/>
      <c r="J188" s="304"/>
      <c r="K188" s="303"/>
      <c r="L188" s="303"/>
      <c r="M188" s="303"/>
      <c r="N188" s="303"/>
      <c r="O188" s="303"/>
      <c r="P188" s="303"/>
      <c r="Q188" s="305"/>
      <c r="R188" s="305"/>
      <c r="S188" s="305"/>
      <c r="T188" s="305"/>
      <c r="U188" s="305"/>
      <c r="V188" s="305"/>
      <c r="W188" s="305"/>
      <c r="X188" s="305"/>
      <c r="Y188" s="305"/>
      <c r="Z188" s="305"/>
    </row>
    <row r="189" spans="1:26" ht="15.75" customHeight="1" x14ac:dyDescent="0.25">
      <c r="A189" s="302"/>
      <c r="B189" s="302"/>
      <c r="C189" s="302"/>
      <c r="D189" s="302"/>
      <c r="E189" s="302"/>
      <c r="F189" s="303"/>
      <c r="G189" s="302"/>
      <c r="H189" s="303"/>
      <c r="I189" s="304"/>
      <c r="J189" s="304"/>
      <c r="K189" s="303"/>
      <c r="L189" s="303"/>
      <c r="M189" s="303"/>
      <c r="N189" s="303"/>
      <c r="O189" s="303"/>
      <c r="P189" s="303"/>
      <c r="Q189" s="305"/>
      <c r="R189" s="305"/>
      <c r="S189" s="305"/>
      <c r="T189" s="305"/>
      <c r="U189" s="305"/>
      <c r="V189" s="305"/>
      <c r="W189" s="305"/>
      <c r="X189" s="305"/>
      <c r="Y189" s="305"/>
      <c r="Z189" s="305"/>
    </row>
    <row r="190" spans="1:26" ht="15.75" customHeight="1" x14ac:dyDescent="0.25">
      <c r="A190" s="302"/>
      <c r="B190" s="302"/>
      <c r="C190" s="302"/>
      <c r="D190" s="302"/>
      <c r="E190" s="302"/>
      <c r="F190" s="303"/>
      <c r="G190" s="302"/>
      <c r="H190" s="303"/>
      <c r="I190" s="304"/>
      <c r="J190" s="304"/>
      <c r="K190" s="303"/>
      <c r="L190" s="303"/>
      <c r="M190" s="303"/>
      <c r="N190" s="303"/>
      <c r="O190" s="303"/>
      <c r="P190" s="303"/>
      <c r="Q190" s="305"/>
      <c r="R190" s="305"/>
      <c r="S190" s="305"/>
      <c r="T190" s="305"/>
      <c r="U190" s="305"/>
      <c r="V190" s="305"/>
      <c r="W190" s="305"/>
      <c r="X190" s="305"/>
      <c r="Y190" s="305"/>
      <c r="Z190" s="305"/>
    </row>
    <row r="191" spans="1:26" ht="15.75" customHeight="1" x14ac:dyDescent="0.25">
      <c r="A191" s="302"/>
      <c r="B191" s="302"/>
      <c r="C191" s="302"/>
      <c r="D191" s="302"/>
      <c r="E191" s="302"/>
      <c r="F191" s="303"/>
      <c r="G191" s="302"/>
      <c r="H191" s="303"/>
      <c r="I191" s="304"/>
      <c r="J191" s="304"/>
      <c r="K191" s="303"/>
      <c r="L191" s="303"/>
      <c r="M191" s="303"/>
      <c r="N191" s="303"/>
      <c r="O191" s="303"/>
      <c r="P191" s="303"/>
      <c r="Q191" s="305"/>
      <c r="R191" s="305"/>
      <c r="S191" s="305"/>
      <c r="T191" s="305"/>
      <c r="U191" s="305"/>
      <c r="V191" s="305"/>
      <c r="W191" s="305"/>
      <c r="X191" s="305"/>
      <c r="Y191" s="305"/>
      <c r="Z191" s="305"/>
    </row>
    <row r="192" spans="1:26" ht="15.75" customHeight="1" x14ac:dyDescent="0.25">
      <c r="A192" s="302"/>
      <c r="B192" s="302"/>
      <c r="C192" s="302"/>
      <c r="D192" s="302"/>
      <c r="E192" s="302"/>
      <c r="F192" s="303"/>
      <c r="G192" s="302"/>
      <c r="H192" s="303"/>
      <c r="I192" s="304"/>
      <c r="J192" s="304"/>
      <c r="K192" s="303"/>
      <c r="L192" s="303"/>
      <c r="M192" s="303"/>
      <c r="N192" s="303"/>
      <c r="O192" s="303"/>
      <c r="P192" s="303"/>
      <c r="Q192" s="305"/>
      <c r="R192" s="305"/>
      <c r="S192" s="305"/>
      <c r="T192" s="305"/>
      <c r="U192" s="305"/>
      <c r="V192" s="305"/>
      <c r="W192" s="305"/>
      <c r="X192" s="305"/>
      <c r="Y192" s="305"/>
      <c r="Z192" s="305"/>
    </row>
    <row r="193" spans="1:26" ht="15.75" customHeight="1" x14ac:dyDescent="0.25">
      <c r="A193" s="302"/>
      <c r="B193" s="302"/>
      <c r="C193" s="302"/>
      <c r="D193" s="302"/>
      <c r="E193" s="302"/>
      <c r="F193" s="303"/>
      <c r="G193" s="302"/>
      <c r="H193" s="303"/>
      <c r="I193" s="304"/>
      <c r="J193" s="304"/>
      <c r="K193" s="303"/>
      <c r="L193" s="303"/>
      <c r="M193" s="303"/>
      <c r="N193" s="303"/>
      <c r="O193" s="303"/>
      <c r="P193" s="303"/>
      <c r="Q193" s="305"/>
      <c r="R193" s="305"/>
      <c r="S193" s="305"/>
      <c r="T193" s="305"/>
      <c r="U193" s="305"/>
      <c r="V193" s="305"/>
      <c r="W193" s="305"/>
      <c r="X193" s="305"/>
      <c r="Y193" s="305"/>
      <c r="Z193" s="305"/>
    </row>
    <row r="194" spans="1:26" ht="15.75" customHeight="1" x14ac:dyDescent="0.25">
      <c r="A194" s="302"/>
      <c r="B194" s="302"/>
      <c r="C194" s="302"/>
      <c r="D194" s="302"/>
      <c r="E194" s="302"/>
      <c r="F194" s="303"/>
      <c r="G194" s="302"/>
      <c r="H194" s="303"/>
      <c r="I194" s="304"/>
      <c r="J194" s="304"/>
      <c r="K194" s="303"/>
      <c r="L194" s="303"/>
      <c r="M194" s="303"/>
      <c r="N194" s="303"/>
      <c r="O194" s="303"/>
      <c r="P194" s="303"/>
      <c r="Q194" s="305"/>
      <c r="R194" s="305"/>
      <c r="S194" s="305"/>
      <c r="T194" s="305"/>
      <c r="U194" s="305"/>
      <c r="V194" s="305"/>
      <c r="W194" s="305"/>
      <c r="X194" s="305"/>
      <c r="Y194" s="305"/>
      <c r="Z194" s="305"/>
    </row>
    <row r="195" spans="1:26" ht="15.75" customHeight="1" x14ac:dyDescent="0.25">
      <c r="A195" s="302"/>
      <c r="B195" s="302"/>
      <c r="C195" s="302"/>
      <c r="D195" s="302"/>
      <c r="E195" s="302"/>
      <c r="F195" s="303"/>
      <c r="G195" s="302"/>
      <c r="H195" s="303"/>
      <c r="I195" s="304"/>
      <c r="J195" s="304"/>
      <c r="K195" s="303"/>
      <c r="L195" s="303"/>
      <c r="M195" s="303"/>
      <c r="N195" s="303"/>
      <c r="O195" s="303"/>
      <c r="P195" s="303"/>
      <c r="Q195" s="305"/>
      <c r="R195" s="305"/>
      <c r="S195" s="305"/>
      <c r="T195" s="305"/>
      <c r="U195" s="305"/>
      <c r="V195" s="305"/>
      <c r="W195" s="305"/>
      <c r="X195" s="305"/>
      <c r="Y195" s="305"/>
      <c r="Z195" s="305"/>
    </row>
    <row r="196" spans="1:26" ht="15.75" customHeight="1" x14ac:dyDescent="0.25">
      <c r="A196" s="302"/>
      <c r="B196" s="302"/>
      <c r="C196" s="302"/>
      <c r="D196" s="302"/>
      <c r="E196" s="302"/>
      <c r="F196" s="303"/>
      <c r="G196" s="302"/>
      <c r="H196" s="303"/>
      <c r="I196" s="304"/>
      <c r="J196" s="304"/>
      <c r="K196" s="303"/>
      <c r="L196" s="303"/>
      <c r="M196" s="303"/>
      <c r="N196" s="303"/>
      <c r="O196" s="303"/>
      <c r="P196" s="303"/>
      <c r="Q196" s="305"/>
      <c r="R196" s="305"/>
      <c r="S196" s="305"/>
      <c r="T196" s="305"/>
      <c r="U196" s="305"/>
      <c r="V196" s="305"/>
      <c r="W196" s="305"/>
      <c r="X196" s="305"/>
      <c r="Y196" s="305"/>
      <c r="Z196" s="305"/>
    </row>
    <row r="197" spans="1:26" ht="15.75" customHeight="1" x14ac:dyDescent="0.25">
      <c r="A197" s="302"/>
      <c r="B197" s="302"/>
      <c r="C197" s="302"/>
      <c r="D197" s="302"/>
      <c r="E197" s="302"/>
      <c r="F197" s="303"/>
      <c r="G197" s="302"/>
      <c r="H197" s="303"/>
      <c r="I197" s="304"/>
      <c r="J197" s="304"/>
      <c r="K197" s="303"/>
      <c r="L197" s="303"/>
      <c r="M197" s="303"/>
      <c r="N197" s="303"/>
      <c r="O197" s="303"/>
      <c r="P197" s="303"/>
      <c r="Q197" s="305"/>
      <c r="R197" s="305"/>
      <c r="S197" s="305"/>
      <c r="T197" s="305"/>
      <c r="U197" s="305"/>
      <c r="V197" s="305"/>
      <c r="W197" s="305"/>
      <c r="X197" s="305"/>
      <c r="Y197" s="305"/>
      <c r="Z197" s="305"/>
    </row>
    <row r="198" spans="1:26" ht="15.75" customHeight="1" x14ac:dyDescent="0.25">
      <c r="A198" s="302"/>
      <c r="B198" s="302"/>
      <c r="C198" s="302"/>
      <c r="D198" s="302"/>
      <c r="E198" s="302"/>
      <c r="F198" s="303"/>
      <c r="G198" s="302"/>
      <c r="H198" s="303"/>
      <c r="I198" s="304"/>
      <c r="J198" s="304"/>
      <c r="K198" s="303"/>
      <c r="L198" s="303"/>
      <c r="M198" s="303"/>
      <c r="N198" s="303"/>
      <c r="O198" s="303"/>
      <c r="P198" s="303"/>
      <c r="Q198" s="305"/>
      <c r="R198" s="305"/>
      <c r="S198" s="305"/>
      <c r="T198" s="305"/>
      <c r="U198" s="305"/>
      <c r="V198" s="305"/>
      <c r="W198" s="305"/>
      <c r="X198" s="305"/>
      <c r="Y198" s="305"/>
      <c r="Z198" s="305"/>
    </row>
    <row r="199" spans="1:26" ht="15.75" customHeight="1" x14ac:dyDescent="0.25">
      <c r="A199" s="302"/>
      <c r="B199" s="302"/>
      <c r="C199" s="302"/>
      <c r="D199" s="302"/>
      <c r="E199" s="302"/>
      <c r="F199" s="303"/>
      <c r="G199" s="302"/>
      <c r="H199" s="303"/>
      <c r="I199" s="304"/>
      <c r="J199" s="304"/>
      <c r="K199" s="303"/>
      <c r="L199" s="303"/>
      <c r="M199" s="303"/>
      <c r="N199" s="303"/>
      <c r="O199" s="303"/>
      <c r="P199" s="303"/>
      <c r="Q199" s="305"/>
      <c r="R199" s="305"/>
      <c r="S199" s="305"/>
      <c r="T199" s="305"/>
      <c r="U199" s="305"/>
      <c r="V199" s="305"/>
      <c r="W199" s="305"/>
      <c r="X199" s="305"/>
      <c r="Y199" s="305"/>
      <c r="Z199" s="305"/>
    </row>
    <row r="200" spans="1:26" ht="15.75" customHeight="1" x14ac:dyDescent="0.25">
      <c r="A200" s="302"/>
      <c r="B200" s="302"/>
      <c r="C200" s="302"/>
      <c r="D200" s="302"/>
      <c r="E200" s="302"/>
      <c r="F200" s="303"/>
      <c r="G200" s="302"/>
      <c r="H200" s="303"/>
      <c r="I200" s="304"/>
      <c r="J200" s="304"/>
      <c r="K200" s="303"/>
      <c r="L200" s="303"/>
      <c r="M200" s="303"/>
      <c r="N200" s="303"/>
      <c r="O200" s="303"/>
      <c r="P200" s="303"/>
      <c r="Q200" s="305"/>
      <c r="R200" s="305"/>
      <c r="S200" s="305"/>
      <c r="T200" s="305"/>
      <c r="U200" s="305"/>
      <c r="V200" s="305"/>
      <c r="W200" s="305"/>
      <c r="X200" s="305"/>
      <c r="Y200" s="305"/>
      <c r="Z200" s="305"/>
    </row>
    <row r="201" spans="1:26" ht="15.75" customHeight="1" x14ac:dyDescent="0.25">
      <c r="A201" s="302"/>
      <c r="B201" s="302"/>
      <c r="C201" s="302"/>
      <c r="D201" s="302"/>
      <c r="E201" s="302"/>
      <c r="F201" s="303"/>
      <c r="G201" s="302"/>
      <c r="H201" s="303"/>
      <c r="I201" s="304"/>
      <c r="J201" s="304"/>
      <c r="K201" s="303"/>
      <c r="L201" s="303"/>
      <c r="M201" s="303"/>
      <c r="N201" s="303"/>
      <c r="O201" s="303"/>
      <c r="P201" s="303"/>
      <c r="Q201" s="305"/>
      <c r="R201" s="305"/>
      <c r="S201" s="305"/>
      <c r="T201" s="305"/>
      <c r="U201" s="305"/>
      <c r="V201" s="305"/>
      <c r="W201" s="305"/>
      <c r="X201" s="305"/>
      <c r="Y201" s="305"/>
      <c r="Z201" s="305"/>
    </row>
    <row r="202" spans="1:26" ht="15.75" customHeight="1" x14ac:dyDescent="0.25">
      <c r="A202" s="302"/>
      <c r="B202" s="302"/>
      <c r="C202" s="302"/>
      <c r="D202" s="302"/>
      <c r="E202" s="302"/>
      <c r="F202" s="303"/>
      <c r="G202" s="302"/>
      <c r="H202" s="303"/>
      <c r="I202" s="304"/>
      <c r="J202" s="304"/>
      <c r="K202" s="303"/>
      <c r="L202" s="303"/>
      <c r="M202" s="303"/>
      <c r="N202" s="303"/>
      <c r="O202" s="303"/>
      <c r="P202" s="303"/>
      <c r="Q202" s="305"/>
      <c r="R202" s="305"/>
      <c r="S202" s="305"/>
      <c r="T202" s="305"/>
      <c r="U202" s="305"/>
      <c r="V202" s="305"/>
      <c r="W202" s="305"/>
      <c r="X202" s="305"/>
      <c r="Y202" s="305"/>
      <c r="Z202" s="305"/>
    </row>
    <row r="203" spans="1:26" ht="15.75" customHeight="1" x14ac:dyDescent="0.25">
      <c r="A203" s="302"/>
      <c r="B203" s="302"/>
      <c r="C203" s="302"/>
      <c r="D203" s="302"/>
      <c r="E203" s="302"/>
      <c r="F203" s="303"/>
      <c r="G203" s="302"/>
      <c r="H203" s="303"/>
      <c r="I203" s="304"/>
      <c r="J203" s="304"/>
      <c r="K203" s="303"/>
      <c r="L203" s="303"/>
      <c r="M203" s="303"/>
      <c r="N203" s="303"/>
      <c r="O203" s="303"/>
      <c r="P203" s="303"/>
      <c r="Q203" s="305"/>
      <c r="R203" s="305"/>
      <c r="S203" s="305"/>
      <c r="T203" s="305"/>
      <c r="U203" s="305"/>
      <c r="V203" s="305"/>
      <c r="W203" s="305"/>
      <c r="X203" s="305"/>
      <c r="Y203" s="305"/>
      <c r="Z203" s="305"/>
    </row>
    <row r="204" spans="1:26" ht="15.75" customHeight="1" x14ac:dyDescent="0.25">
      <c r="A204" s="302"/>
      <c r="B204" s="302"/>
      <c r="C204" s="302"/>
      <c r="D204" s="302"/>
      <c r="E204" s="302"/>
      <c r="F204" s="303"/>
      <c r="G204" s="302"/>
      <c r="H204" s="303"/>
      <c r="I204" s="304"/>
      <c r="J204" s="304"/>
      <c r="K204" s="303"/>
      <c r="L204" s="303"/>
      <c r="M204" s="303"/>
      <c r="N204" s="303"/>
      <c r="O204" s="303"/>
      <c r="P204" s="303"/>
      <c r="Q204" s="305"/>
      <c r="R204" s="305"/>
      <c r="S204" s="305"/>
      <c r="T204" s="305"/>
      <c r="U204" s="305"/>
      <c r="V204" s="305"/>
      <c r="W204" s="305"/>
      <c r="X204" s="305"/>
      <c r="Y204" s="305"/>
      <c r="Z204" s="305"/>
    </row>
    <row r="205" spans="1:26" ht="15.75" customHeight="1" x14ac:dyDescent="0.25">
      <c r="A205" s="302"/>
      <c r="B205" s="302"/>
      <c r="C205" s="302"/>
      <c r="D205" s="302"/>
      <c r="E205" s="302"/>
      <c r="F205" s="303"/>
      <c r="G205" s="302"/>
      <c r="H205" s="303"/>
      <c r="I205" s="304"/>
      <c r="J205" s="304"/>
      <c r="K205" s="303"/>
      <c r="L205" s="303"/>
      <c r="M205" s="303"/>
      <c r="N205" s="303"/>
      <c r="O205" s="303"/>
      <c r="P205" s="303"/>
      <c r="Q205" s="305"/>
      <c r="R205" s="305"/>
      <c r="S205" s="305"/>
      <c r="T205" s="305"/>
      <c r="U205" s="305"/>
      <c r="V205" s="305"/>
      <c r="W205" s="305"/>
      <c r="X205" s="305"/>
      <c r="Y205" s="305"/>
      <c r="Z205" s="305"/>
    </row>
    <row r="206" spans="1:26" ht="15.75" customHeight="1" x14ac:dyDescent="0.25">
      <c r="A206" s="302"/>
      <c r="B206" s="302"/>
      <c r="C206" s="302"/>
      <c r="D206" s="302"/>
      <c r="E206" s="302"/>
      <c r="F206" s="303"/>
      <c r="G206" s="302"/>
      <c r="H206" s="303"/>
      <c r="I206" s="304"/>
      <c r="J206" s="304"/>
      <c r="K206" s="303"/>
      <c r="L206" s="303"/>
      <c r="M206" s="303"/>
      <c r="N206" s="303"/>
      <c r="O206" s="303"/>
      <c r="P206" s="303"/>
      <c r="Q206" s="305"/>
      <c r="R206" s="305"/>
      <c r="S206" s="305"/>
      <c r="T206" s="305"/>
      <c r="U206" s="305"/>
      <c r="V206" s="305"/>
      <c r="W206" s="305"/>
      <c r="X206" s="305"/>
      <c r="Y206" s="305"/>
      <c r="Z206" s="305"/>
    </row>
    <row r="207" spans="1:26" ht="15.75" customHeight="1" x14ac:dyDescent="0.25">
      <c r="A207" s="302"/>
      <c r="B207" s="302"/>
      <c r="C207" s="302"/>
      <c r="D207" s="302"/>
      <c r="E207" s="302"/>
      <c r="F207" s="303"/>
      <c r="G207" s="302"/>
      <c r="H207" s="303"/>
      <c r="I207" s="304"/>
      <c r="J207" s="304"/>
      <c r="K207" s="303"/>
      <c r="L207" s="303"/>
      <c r="M207" s="303"/>
      <c r="N207" s="303"/>
      <c r="O207" s="303"/>
      <c r="P207" s="303"/>
      <c r="Q207" s="305"/>
      <c r="R207" s="305"/>
      <c r="S207" s="305"/>
      <c r="T207" s="305"/>
      <c r="U207" s="305"/>
      <c r="V207" s="305"/>
      <c r="W207" s="305"/>
      <c r="X207" s="305"/>
      <c r="Y207" s="305"/>
      <c r="Z207" s="305"/>
    </row>
    <row r="208" spans="1:26" ht="15.75" customHeight="1" x14ac:dyDescent="0.25">
      <c r="A208" s="302"/>
      <c r="B208" s="302"/>
      <c r="C208" s="302"/>
      <c r="D208" s="302"/>
      <c r="E208" s="302"/>
      <c r="F208" s="303"/>
      <c r="G208" s="302"/>
      <c r="H208" s="303"/>
      <c r="I208" s="304"/>
      <c r="J208" s="304"/>
      <c r="K208" s="303"/>
      <c r="L208" s="303"/>
      <c r="M208" s="303"/>
      <c r="N208" s="303"/>
      <c r="O208" s="303"/>
      <c r="P208" s="303"/>
      <c r="Q208" s="305"/>
      <c r="R208" s="305"/>
      <c r="S208" s="305"/>
      <c r="T208" s="305"/>
      <c r="U208" s="305"/>
      <c r="V208" s="305"/>
      <c r="W208" s="305"/>
      <c r="X208" s="305"/>
      <c r="Y208" s="305"/>
      <c r="Z208" s="305"/>
    </row>
    <row r="209" spans="1:26" ht="15.75" customHeight="1" x14ac:dyDescent="0.25">
      <c r="A209" s="302"/>
      <c r="B209" s="302"/>
      <c r="C209" s="302"/>
      <c r="D209" s="302"/>
      <c r="E209" s="302"/>
      <c r="F209" s="303"/>
      <c r="G209" s="302"/>
      <c r="H209" s="303"/>
      <c r="I209" s="304"/>
      <c r="J209" s="304"/>
      <c r="K209" s="303"/>
      <c r="L209" s="303"/>
      <c r="M209" s="303"/>
      <c r="N209" s="303"/>
      <c r="O209" s="303"/>
      <c r="P209" s="303"/>
      <c r="Q209" s="305"/>
      <c r="R209" s="305"/>
      <c r="S209" s="305"/>
      <c r="T209" s="305"/>
      <c r="U209" s="305"/>
      <c r="V209" s="305"/>
      <c r="W209" s="305"/>
      <c r="X209" s="305"/>
      <c r="Y209" s="305"/>
      <c r="Z209" s="305"/>
    </row>
    <row r="210" spans="1:26" ht="15.75" customHeight="1" x14ac:dyDescent="0.25">
      <c r="A210" s="302"/>
      <c r="B210" s="302"/>
      <c r="C210" s="302"/>
      <c r="D210" s="302"/>
      <c r="E210" s="302"/>
      <c r="F210" s="303"/>
      <c r="G210" s="302"/>
      <c r="H210" s="303"/>
      <c r="I210" s="304"/>
      <c r="J210" s="304"/>
      <c r="K210" s="303"/>
      <c r="L210" s="303"/>
      <c r="M210" s="303"/>
      <c r="N210" s="303"/>
      <c r="O210" s="303"/>
      <c r="P210" s="303"/>
      <c r="Q210" s="305"/>
      <c r="R210" s="305"/>
      <c r="S210" s="305"/>
      <c r="T210" s="305"/>
      <c r="U210" s="305"/>
      <c r="V210" s="305"/>
      <c r="W210" s="305"/>
      <c r="X210" s="305"/>
      <c r="Y210" s="305"/>
      <c r="Z210" s="305"/>
    </row>
    <row r="211" spans="1:26" ht="15.75" customHeight="1" x14ac:dyDescent="0.25">
      <c r="A211" s="302"/>
      <c r="B211" s="302"/>
      <c r="C211" s="302"/>
      <c r="D211" s="302"/>
      <c r="E211" s="302"/>
      <c r="F211" s="303"/>
      <c r="G211" s="302"/>
      <c r="H211" s="303"/>
      <c r="I211" s="304"/>
      <c r="J211" s="304"/>
      <c r="K211" s="303"/>
      <c r="L211" s="303"/>
      <c r="M211" s="303"/>
      <c r="N211" s="303"/>
      <c r="O211" s="303"/>
      <c r="P211" s="303"/>
      <c r="Q211" s="305"/>
      <c r="R211" s="305"/>
      <c r="S211" s="305"/>
      <c r="T211" s="305"/>
      <c r="U211" s="305"/>
      <c r="V211" s="305"/>
      <c r="W211" s="305"/>
      <c r="X211" s="305"/>
      <c r="Y211" s="305"/>
      <c r="Z211" s="305"/>
    </row>
    <row r="212" spans="1:26" ht="15.75" customHeight="1" x14ac:dyDescent="0.25">
      <c r="A212" s="302"/>
      <c r="B212" s="302"/>
      <c r="C212" s="302"/>
      <c r="D212" s="302"/>
      <c r="E212" s="302"/>
      <c r="F212" s="303"/>
      <c r="G212" s="302"/>
      <c r="H212" s="303"/>
      <c r="I212" s="304"/>
      <c r="J212" s="304"/>
      <c r="K212" s="303"/>
      <c r="L212" s="303"/>
      <c r="M212" s="303"/>
      <c r="N212" s="303"/>
      <c r="O212" s="303"/>
      <c r="P212" s="303"/>
      <c r="Q212" s="305"/>
      <c r="R212" s="305"/>
      <c r="S212" s="305"/>
      <c r="T212" s="305"/>
      <c r="U212" s="305"/>
      <c r="V212" s="305"/>
      <c r="W212" s="305"/>
      <c r="X212" s="305"/>
      <c r="Y212" s="305"/>
      <c r="Z212" s="305"/>
    </row>
    <row r="213" spans="1:26" ht="15.75" customHeight="1" x14ac:dyDescent="0.25">
      <c r="A213" s="302"/>
      <c r="B213" s="302"/>
      <c r="C213" s="302"/>
      <c r="D213" s="302"/>
      <c r="E213" s="302"/>
      <c r="F213" s="303"/>
      <c r="G213" s="302"/>
      <c r="H213" s="303"/>
      <c r="I213" s="304"/>
      <c r="J213" s="304"/>
      <c r="K213" s="303"/>
      <c r="L213" s="303"/>
      <c r="M213" s="303"/>
      <c r="N213" s="303"/>
      <c r="O213" s="303"/>
      <c r="P213" s="303"/>
      <c r="Q213" s="305"/>
      <c r="R213" s="305"/>
      <c r="S213" s="305"/>
      <c r="T213" s="305"/>
      <c r="U213" s="305"/>
      <c r="V213" s="305"/>
      <c r="W213" s="305"/>
      <c r="X213" s="305"/>
      <c r="Y213" s="305"/>
      <c r="Z213" s="305"/>
    </row>
    <row r="214" spans="1:26" ht="15.75" customHeight="1" x14ac:dyDescent="0.25">
      <c r="A214" s="302"/>
      <c r="B214" s="302"/>
      <c r="C214" s="302"/>
      <c r="D214" s="302"/>
      <c r="E214" s="302"/>
      <c r="F214" s="303"/>
      <c r="G214" s="302"/>
      <c r="H214" s="303"/>
      <c r="I214" s="304"/>
      <c r="J214" s="304"/>
      <c r="K214" s="303"/>
      <c r="L214" s="303"/>
      <c r="M214" s="303"/>
      <c r="N214" s="303"/>
      <c r="O214" s="303"/>
      <c r="P214" s="303"/>
      <c r="Q214" s="305"/>
      <c r="R214" s="305"/>
      <c r="S214" s="305"/>
      <c r="T214" s="305"/>
      <c r="U214" s="305"/>
      <c r="V214" s="305"/>
      <c r="W214" s="305"/>
      <c r="X214" s="305"/>
      <c r="Y214" s="305"/>
      <c r="Z214" s="305"/>
    </row>
    <row r="215" spans="1:26" ht="15.75" customHeight="1" x14ac:dyDescent="0.25">
      <c r="A215" s="302"/>
      <c r="B215" s="302"/>
      <c r="C215" s="302"/>
      <c r="D215" s="302"/>
      <c r="E215" s="302"/>
      <c r="F215" s="303"/>
      <c r="G215" s="302"/>
      <c r="H215" s="303"/>
      <c r="I215" s="304"/>
      <c r="J215" s="304"/>
      <c r="K215" s="303"/>
      <c r="L215" s="303"/>
      <c r="M215" s="303"/>
      <c r="N215" s="303"/>
      <c r="O215" s="303"/>
      <c r="P215" s="303"/>
      <c r="Q215" s="305"/>
      <c r="R215" s="305"/>
      <c r="S215" s="305"/>
      <c r="T215" s="305"/>
      <c r="U215" s="305"/>
      <c r="V215" s="305"/>
      <c r="W215" s="305"/>
      <c r="X215" s="305"/>
      <c r="Y215" s="305"/>
      <c r="Z215" s="305"/>
    </row>
    <row r="216" spans="1:26" ht="15.75" customHeight="1" x14ac:dyDescent="0.25">
      <c r="A216" s="302"/>
      <c r="B216" s="302"/>
      <c r="C216" s="302"/>
      <c r="D216" s="302"/>
      <c r="E216" s="302"/>
      <c r="F216" s="303"/>
      <c r="G216" s="302"/>
      <c r="H216" s="303"/>
      <c r="I216" s="304"/>
      <c r="J216" s="304"/>
      <c r="K216" s="303"/>
      <c r="L216" s="303"/>
      <c r="M216" s="303"/>
      <c r="N216" s="303"/>
      <c r="O216" s="303"/>
      <c r="P216" s="303"/>
      <c r="Q216" s="305"/>
      <c r="R216" s="305"/>
      <c r="S216" s="305"/>
      <c r="T216" s="305"/>
      <c r="U216" s="305"/>
      <c r="V216" s="305"/>
      <c r="W216" s="305"/>
      <c r="X216" s="305"/>
      <c r="Y216" s="305"/>
      <c r="Z216" s="305"/>
    </row>
    <row r="217" spans="1:26" ht="15.75" customHeight="1" x14ac:dyDescent="0.25">
      <c r="A217" s="302"/>
      <c r="B217" s="302"/>
      <c r="C217" s="302"/>
      <c r="D217" s="302"/>
      <c r="E217" s="302"/>
      <c r="F217" s="303"/>
      <c r="G217" s="302"/>
      <c r="H217" s="303"/>
      <c r="I217" s="304"/>
      <c r="J217" s="304"/>
      <c r="K217" s="303"/>
      <c r="L217" s="303"/>
      <c r="M217" s="303"/>
      <c r="N217" s="303"/>
      <c r="O217" s="303"/>
      <c r="P217" s="303"/>
      <c r="Q217" s="305"/>
      <c r="R217" s="305"/>
      <c r="S217" s="305"/>
      <c r="T217" s="305"/>
      <c r="U217" s="305"/>
      <c r="V217" s="305"/>
      <c r="W217" s="305"/>
      <c r="X217" s="305"/>
      <c r="Y217" s="305"/>
      <c r="Z217" s="305"/>
    </row>
    <row r="218" spans="1:26" ht="15.75" customHeight="1" x14ac:dyDescent="0.25">
      <c r="A218" s="302"/>
      <c r="B218" s="302"/>
      <c r="C218" s="302"/>
      <c r="D218" s="302"/>
      <c r="E218" s="302"/>
      <c r="F218" s="303"/>
      <c r="G218" s="302"/>
      <c r="H218" s="303"/>
      <c r="I218" s="304"/>
      <c r="J218" s="304"/>
      <c r="K218" s="303"/>
      <c r="L218" s="303"/>
      <c r="M218" s="303"/>
      <c r="N218" s="303"/>
      <c r="O218" s="303"/>
      <c r="P218" s="303"/>
      <c r="Q218" s="305"/>
      <c r="R218" s="305"/>
      <c r="S218" s="305"/>
      <c r="T218" s="305"/>
      <c r="U218" s="305"/>
      <c r="V218" s="305"/>
      <c r="W218" s="305"/>
      <c r="X218" s="305"/>
      <c r="Y218" s="305"/>
      <c r="Z218" s="305"/>
    </row>
    <row r="219" spans="1:26" ht="15.75" customHeight="1" x14ac:dyDescent="0.25">
      <c r="A219" s="302"/>
      <c r="B219" s="302"/>
      <c r="C219" s="302"/>
      <c r="D219" s="302"/>
      <c r="E219" s="302"/>
      <c r="F219" s="303"/>
      <c r="G219" s="302"/>
      <c r="H219" s="303"/>
      <c r="I219" s="304"/>
      <c r="J219" s="304"/>
      <c r="K219" s="303"/>
      <c r="L219" s="303"/>
      <c r="M219" s="303"/>
      <c r="N219" s="303"/>
      <c r="O219" s="303"/>
      <c r="P219" s="303"/>
      <c r="Q219" s="305"/>
      <c r="R219" s="305"/>
      <c r="S219" s="305"/>
      <c r="T219" s="305"/>
      <c r="U219" s="305"/>
      <c r="V219" s="305"/>
      <c r="W219" s="305"/>
      <c r="X219" s="305"/>
      <c r="Y219" s="305"/>
      <c r="Z219" s="305"/>
    </row>
    <row r="220" spans="1:26" ht="15.75" customHeight="1" x14ac:dyDescent="0.25">
      <c r="A220" s="302"/>
      <c r="B220" s="302"/>
      <c r="C220" s="302"/>
      <c r="D220" s="302"/>
      <c r="E220" s="302"/>
      <c r="F220" s="303"/>
      <c r="G220" s="302"/>
      <c r="H220" s="303"/>
      <c r="I220" s="304"/>
      <c r="J220" s="304"/>
      <c r="K220" s="303"/>
      <c r="L220" s="303"/>
      <c r="M220" s="303"/>
      <c r="N220" s="303"/>
      <c r="O220" s="303"/>
      <c r="P220" s="303"/>
      <c r="Q220" s="305"/>
      <c r="R220" s="305"/>
      <c r="S220" s="305"/>
      <c r="T220" s="305"/>
      <c r="U220" s="305"/>
      <c r="V220" s="305"/>
      <c r="W220" s="305"/>
      <c r="X220" s="305"/>
      <c r="Y220" s="305"/>
      <c r="Z220" s="305"/>
    </row>
    <row r="221" spans="1:26" ht="15.75" customHeight="1" x14ac:dyDescent="0.25">
      <c r="A221" s="302"/>
      <c r="B221" s="302"/>
      <c r="C221" s="302"/>
      <c r="D221" s="302"/>
      <c r="E221" s="302"/>
      <c r="F221" s="303"/>
      <c r="G221" s="302"/>
      <c r="H221" s="303"/>
      <c r="I221" s="304"/>
      <c r="J221" s="304"/>
      <c r="K221" s="303"/>
      <c r="L221" s="303"/>
      <c r="M221" s="303"/>
      <c r="N221" s="303"/>
      <c r="O221" s="303"/>
      <c r="P221" s="303"/>
      <c r="Q221" s="305"/>
      <c r="R221" s="305"/>
      <c r="S221" s="305"/>
      <c r="T221" s="305"/>
      <c r="U221" s="305"/>
      <c r="V221" s="305"/>
      <c r="W221" s="305"/>
      <c r="X221" s="305"/>
      <c r="Y221" s="305"/>
      <c r="Z221" s="305"/>
    </row>
    <row r="222" spans="1:26" ht="15.75" customHeight="1" x14ac:dyDescent="0.25">
      <c r="A222" s="302"/>
      <c r="B222" s="302"/>
      <c r="C222" s="302"/>
      <c r="D222" s="302"/>
      <c r="E222" s="302"/>
      <c r="F222" s="303"/>
      <c r="G222" s="302"/>
      <c r="H222" s="303"/>
      <c r="I222" s="304"/>
      <c r="J222" s="304"/>
      <c r="K222" s="303"/>
      <c r="L222" s="303"/>
      <c r="M222" s="303"/>
      <c r="N222" s="303"/>
      <c r="O222" s="303"/>
      <c r="P222" s="303"/>
      <c r="Q222" s="305"/>
      <c r="R222" s="305"/>
      <c r="S222" s="305"/>
      <c r="T222" s="305"/>
      <c r="U222" s="305"/>
      <c r="V222" s="305"/>
      <c r="W222" s="305"/>
      <c r="X222" s="305"/>
      <c r="Y222" s="305"/>
      <c r="Z222" s="305"/>
    </row>
    <row r="223" spans="1:26" ht="15.75" customHeight="1" x14ac:dyDescent="0.25">
      <c r="A223" s="302"/>
      <c r="B223" s="302"/>
      <c r="C223" s="302"/>
      <c r="D223" s="302"/>
      <c r="E223" s="302"/>
      <c r="F223" s="303"/>
      <c r="G223" s="302"/>
      <c r="H223" s="303"/>
      <c r="I223" s="304"/>
      <c r="J223" s="304"/>
      <c r="K223" s="303"/>
      <c r="L223" s="303"/>
      <c r="M223" s="303"/>
      <c r="N223" s="303"/>
      <c r="O223" s="303"/>
      <c r="P223" s="303"/>
      <c r="Q223" s="305"/>
      <c r="R223" s="305"/>
      <c r="S223" s="305"/>
      <c r="T223" s="305"/>
      <c r="U223" s="305"/>
      <c r="V223" s="305"/>
      <c r="W223" s="305"/>
      <c r="X223" s="305"/>
      <c r="Y223" s="305"/>
      <c r="Z223" s="305"/>
    </row>
    <row r="224" spans="1:26" ht="15.75" customHeight="1" x14ac:dyDescent="0.25">
      <c r="A224" s="302"/>
      <c r="B224" s="302"/>
      <c r="C224" s="302"/>
      <c r="D224" s="302"/>
      <c r="E224" s="302"/>
      <c r="F224" s="303"/>
      <c r="G224" s="302"/>
      <c r="H224" s="303"/>
      <c r="I224" s="304"/>
      <c r="J224" s="304"/>
      <c r="K224" s="303"/>
      <c r="L224" s="303"/>
      <c r="M224" s="303"/>
      <c r="N224" s="303"/>
      <c r="O224" s="303"/>
      <c r="P224" s="303"/>
      <c r="Q224" s="305"/>
      <c r="R224" s="305"/>
      <c r="S224" s="305"/>
      <c r="T224" s="305"/>
      <c r="U224" s="305"/>
      <c r="V224" s="305"/>
      <c r="W224" s="305"/>
      <c r="X224" s="305"/>
      <c r="Y224" s="305"/>
      <c r="Z224" s="305"/>
    </row>
    <row r="225" spans="1:26" ht="15.75" customHeight="1" x14ac:dyDescent="0.25">
      <c r="A225" s="302"/>
      <c r="B225" s="302"/>
      <c r="C225" s="302"/>
      <c r="D225" s="302"/>
      <c r="E225" s="302"/>
      <c r="F225" s="303"/>
      <c r="G225" s="302"/>
      <c r="H225" s="303"/>
      <c r="I225" s="304"/>
      <c r="J225" s="304"/>
      <c r="K225" s="303"/>
      <c r="L225" s="303"/>
      <c r="M225" s="303"/>
      <c r="N225" s="303"/>
      <c r="O225" s="303"/>
      <c r="P225" s="303"/>
      <c r="Q225" s="305"/>
      <c r="R225" s="305"/>
      <c r="S225" s="305"/>
      <c r="T225" s="305"/>
      <c r="U225" s="305"/>
      <c r="V225" s="305"/>
      <c r="W225" s="305"/>
      <c r="X225" s="305"/>
      <c r="Y225" s="305"/>
      <c r="Z225" s="305"/>
    </row>
    <row r="226" spans="1:26" ht="15.75" customHeight="1" x14ac:dyDescent="0.25">
      <c r="A226" s="302"/>
      <c r="B226" s="302"/>
      <c r="C226" s="302"/>
      <c r="D226" s="302"/>
      <c r="E226" s="302"/>
      <c r="F226" s="303"/>
      <c r="G226" s="302"/>
      <c r="H226" s="303"/>
      <c r="I226" s="304"/>
      <c r="J226" s="304"/>
      <c r="K226" s="303"/>
      <c r="L226" s="303"/>
      <c r="M226" s="303"/>
      <c r="N226" s="303"/>
      <c r="O226" s="303"/>
      <c r="P226" s="303"/>
      <c r="Q226" s="305"/>
      <c r="R226" s="305"/>
      <c r="S226" s="305"/>
      <c r="T226" s="305"/>
      <c r="U226" s="305"/>
      <c r="V226" s="305"/>
      <c r="W226" s="305"/>
      <c r="X226" s="305"/>
      <c r="Y226" s="305"/>
      <c r="Z226" s="305"/>
    </row>
    <row r="227" spans="1:26" ht="15.75" customHeight="1" x14ac:dyDescent="0.25">
      <c r="A227" s="302"/>
      <c r="B227" s="302"/>
      <c r="C227" s="302"/>
      <c r="D227" s="302"/>
      <c r="E227" s="302"/>
      <c r="F227" s="303"/>
      <c r="G227" s="302"/>
      <c r="H227" s="303"/>
      <c r="I227" s="304"/>
      <c r="J227" s="304"/>
      <c r="K227" s="303"/>
      <c r="L227" s="303"/>
      <c r="M227" s="303"/>
      <c r="N227" s="303"/>
      <c r="O227" s="303"/>
      <c r="P227" s="303"/>
      <c r="Q227" s="305"/>
      <c r="R227" s="305"/>
      <c r="S227" s="305"/>
      <c r="T227" s="305"/>
      <c r="U227" s="305"/>
      <c r="V227" s="305"/>
      <c r="W227" s="305"/>
      <c r="X227" s="305"/>
      <c r="Y227" s="305"/>
      <c r="Z227" s="305"/>
    </row>
    <row r="228" spans="1:26" ht="15.75" customHeight="1" x14ac:dyDescent="0.25">
      <c r="A228" s="302"/>
      <c r="B228" s="302"/>
      <c r="C228" s="302"/>
      <c r="D228" s="302"/>
      <c r="E228" s="302"/>
      <c r="F228" s="303"/>
      <c r="G228" s="302"/>
      <c r="H228" s="303"/>
      <c r="I228" s="304"/>
      <c r="J228" s="304"/>
      <c r="K228" s="303"/>
      <c r="L228" s="303"/>
      <c r="M228" s="303"/>
      <c r="N228" s="303"/>
      <c r="O228" s="303"/>
      <c r="P228" s="303"/>
      <c r="Q228" s="305"/>
      <c r="R228" s="305"/>
      <c r="S228" s="305"/>
      <c r="T228" s="305"/>
      <c r="U228" s="305"/>
      <c r="V228" s="305"/>
      <c r="W228" s="305"/>
      <c r="X228" s="305"/>
      <c r="Y228" s="305"/>
      <c r="Z228" s="305"/>
    </row>
    <row r="229" spans="1:26" ht="15.75" customHeight="1" x14ac:dyDescent="0.25">
      <c r="A229" s="302"/>
      <c r="B229" s="302"/>
      <c r="C229" s="302"/>
      <c r="D229" s="302"/>
      <c r="E229" s="302"/>
      <c r="F229" s="303"/>
      <c r="G229" s="302"/>
      <c r="H229" s="303"/>
      <c r="I229" s="304"/>
      <c r="J229" s="304"/>
      <c r="K229" s="303"/>
      <c r="L229" s="303"/>
      <c r="M229" s="303"/>
      <c r="N229" s="303"/>
      <c r="O229" s="303"/>
      <c r="P229" s="303"/>
      <c r="Q229" s="305"/>
      <c r="R229" s="305"/>
      <c r="S229" s="305"/>
      <c r="T229" s="305"/>
      <c r="U229" s="305"/>
      <c r="V229" s="305"/>
      <c r="W229" s="305"/>
      <c r="X229" s="305"/>
      <c r="Y229" s="305"/>
      <c r="Z229" s="305"/>
    </row>
    <row r="230" spans="1:26" ht="15.75" customHeight="1" x14ac:dyDescent="0.25">
      <c r="A230" s="302"/>
      <c r="B230" s="302"/>
      <c r="C230" s="302"/>
      <c r="D230" s="302"/>
      <c r="E230" s="302"/>
      <c r="F230" s="303"/>
      <c r="G230" s="302"/>
      <c r="H230" s="303"/>
      <c r="I230" s="304"/>
      <c r="J230" s="304"/>
      <c r="K230" s="303"/>
      <c r="L230" s="303"/>
      <c r="M230" s="303"/>
      <c r="N230" s="303"/>
      <c r="O230" s="303"/>
      <c r="P230" s="303"/>
      <c r="Q230" s="305"/>
      <c r="R230" s="305"/>
      <c r="S230" s="305"/>
      <c r="T230" s="305"/>
      <c r="U230" s="305"/>
      <c r="V230" s="305"/>
      <c r="W230" s="305"/>
      <c r="X230" s="305"/>
      <c r="Y230" s="305"/>
      <c r="Z230" s="305"/>
    </row>
    <row r="231" spans="1:26" ht="15.75" customHeight="1" x14ac:dyDescent="0.25">
      <c r="A231" s="302"/>
      <c r="B231" s="302"/>
      <c r="C231" s="302"/>
      <c r="D231" s="302"/>
      <c r="E231" s="302"/>
      <c r="F231" s="303"/>
      <c r="G231" s="302"/>
      <c r="H231" s="303"/>
      <c r="I231" s="304"/>
      <c r="J231" s="304"/>
      <c r="K231" s="303"/>
      <c r="L231" s="303"/>
      <c r="M231" s="303"/>
      <c r="N231" s="303"/>
      <c r="O231" s="303"/>
      <c r="P231" s="303"/>
      <c r="Q231" s="305"/>
      <c r="R231" s="305"/>
      <c r="S231" s="305"/>
      <c r="T231" s="305"/>
      <c r="U231" s="305"/>
      <c r="V231" s="305"/>
      <c r="W231" s="305"/>
      <c r="X231" s="305"/>
      <c r="Y231" s="305"/>
      <c r="Z231" s="305"/>
    </row>
    <row r="232" spans="1:26" ht="15.75" customHeight="1" x14ac:dyDescent="0.25">
      <c r="A232" s="302"/>
      <c r="B232" s="302"/>
      <c r="C232" s="302"/>
      <c r="D232" s="302"/>
      <c r="E232" s="302"/>
      <c r="F232" s="303"/>
      <c r="G232" s="302"/>
      <c r="H232" s="303"/>
      <c r="I232" s="304"/>
      <c r="J232" s="304"/>
      <c r="K232" s="303"/>
      <c r="L232" s="303"/>
      <c r="M232" s="303"/>
      <c r="N232" s="303"/>
      <c r="O232" s="303"/>
      <c r="P232" s="303"/>
      <c r="Q232" s="305"/>
      <c r="R232" s="305"/>
      <c r="S232" s="305"/>
      <c r="T232" s="305"/>
      <c r="U232" s="305"/>
      <c r="V232" s="305"/>
      <c r="W232" s="305"/>
      <c r="X232" s="305"/>
      <c r="Y232" s="305"/>
      <c r="Z232" s="305"/>
    </row>
    <row r="233" spans="1:26" ht="15.75" customHeight="1" x14ac:dyDescent="0.25">
      <c r="A233" s="302"/>
      <c r="B233" s="302"/>
      <c r="C233" s="302"/>
      <c r="D233" s="302"/>
      <c r="E233" s="302"/>
      <c r="F233" s="303"/>
      <c r="G233" s="302"/>
      <c r="H233" s="303"/>
      <c r="I233" s="304"/>
      <c r="J233" s="304"/>
      <c r="K233" s="303"/>
      <c r="L233" s="303"/>
      <c r="M233" s="303"/>
      <c r="N233" s="303"/>
      <c r="O233" s="303"/>
      <c r="P233" s="303"/>
      <c r="Q233" s="305"/>
      <c r="R233" s="305"/>
      <c r="S233" s="305"/>
      <c r="T233" s="305"/>
      <c r="U233" s="305"/>
      <c r="V233" s="305"/>
      <c r="W233" s="305"/>
      <c r="X233" s="305"/>
      <c r="Y233" s="305"/>
      <c r="Z233" s="305"/>
    </row>
    <row r="234" spans="1:26" ht="15.75" customHeight="1" x14ac:dyDescent="0.25">
      <c r="A234" s="302"/>
      <c r="B234" s="302"/>
      <c r="C234" s="302"/>
      <c r="D234" s="302"/>
      <c r="E234" s="302"/>
      <c r="F234" s="303"/>
      <c r="G234" s="302"/>
      <c r="H234" s="303"/>
      <c r="I234" s="304"/>
      <c r="J234" s="304"/>
      <c r="K234" s="303"/>
      <c r="L234" s="303"/>
      <c r="M234" s="303"/>
      <c r="N234" s="303"/>
      <c r="O234" s="303"/>
      <c r="P234" s="303"/>
      <c r="Q234" s="305"/>
      <c r="R234" s="305"/>
      <c r="S234" s="305"/>
      <c r="T234" s="305"/>
      <c r="U234" s="305"/>
      <c r="V234" s="305"/>
      <c r="W234" s="305"/>
      <c r="X234" s="305"/>
      <c r="Y234" s="305"/>
      <c r="Z234" s="305"/>
    </row>
    <row r="235" spans="1:26" ht="15.75" customHeight="1" x14ac:dyDescent="0.25">
      <c r="A235" s="302"/>
      <c r="B235" s="302"/>
      <c r="C235" s="302"/>
      <c r="D235" s="302"/>
      <c r="E235" s="302"/>
      <c r="F235" s="303"/>
      <c r="G235" s="302"/>
      <c r="H235" s="303"/>
      <c r="I235" s="304"/>
      <c r="J235" s="304"/>
      <c r="K235" s="303"/>
      <c r="L235" s="303"/>
      <c r="M235" s="303"/>
      <c r="N235" s="303"/>
      <c r="O235" s="303"/>
      <c r="P235" s="303"/>
      <c r="Q235" s="305"/>
      <c r="R235" s="305"/>
      <c r="S235" s="305"/>
      <c r="T235" s="305"/>
      <c r="U235" s="305"/>
      <c r="V235" s="305"/>
      <c r="W235" s="305"/>
      <c r="X235" s="305"/>
      <c r="Y235" s="305"/>
      <c r="Z235" s="305"/>
    </row>
    <row r="236" spans="1:26" ht="15.75" customHeight="1" x14ac:dyDescent="0.25">
      <c r="A236" s="302"/>
      <c r="B236" s="302"/>
      <c r="C236" s="302"/>
      <c r="D236" s="302"/>
      <c r="E236" s="302"/>
      <c r="F236" s="303"/>
      <c r="G236" s="302"/>
      <c r="H236" s="303"/>
      <c r="I236" s="304"/>
      <c r="J236" s="304"/>
      <c r="K236" s="303"/>
      <c r="L236" s="303"/>
      <c r="M236" s="303"/>
      <c r="N236" s="303"/>
      <c r="O236" s="303"/>
      <c r="P236" s="303"/>
      <c r="Q236" s="305"/>
      <c r="R236" s="305"/>
      <c r="S236" s="305"/>
      <c r="T236" s="305"/>
      <c r="U236" s="305"/>
      <c r="V236" s="305"/>
      <c r="W236" s="305"/>
      <c r="X236" s="305"/>
      <c r="Y236" s="305"/>
      <c r="Z236" s="305"/>
    </row>
    <row r="237" spans="1:26" ht="15.75" customHeight="1" x14ac:dyDescent="0.25">
      <c r="A237" s="302"/>
      <c r="B237" s="302"/>
      <c r="C237" s="302"/>
      <c r="D237" s="302"/>
      <c r="E237" s="302"/>
      <c r="F237" s="303"/>
      <c r="G237" s="302"/>
      <c r="H237" s="303"/>
      <c r="I237" s="304"/>
      <c r="J237" s="304"/>
      <c r="K237" s="303"/>
      <c r="L237" s="303"/>
      <c r="M237" s="303"/>
      <c r="N237" s="303"/>
      <c r="O237" s="303"/>
      <c r="P237" s="303"/>
      <c r="Q237" s="305"/>
      <c r="R237" s="305"/>
      <c r="S237" s="305"/>
      <c r="T237" s="305"/>
      <c r="U237" s="305"/>
      <c r="V237" s="305"/>
      <c r="W237" s="305"/>
      <c r="X237" s="305"/>
      <c r="Y237" s="305"/>
      <c r="Z237" s="305"/>
    </row>
    <row r="238" spans="1:26" ht="15.75" customHeight="1" x14ac:dyDescent="0.25">
      <c r="A238" s="302"/>
      <c r="B238" s="302"/>
      <c r="C238" s="302"/>
      <c r="D238" s="302"/>
      <c r="E238" s="302"/>
      <c r="F238" s="303"/>
      <c r="G238" s="302"/>
      <c r="H238" s="303"/>
      <c r="I238" s="304"/>
      <c r="J238" s="304"/>
      <c r="K238" s="303"/>
      <c r="L238" s="303"/>
      <c r="M238" s="303"/>
      <c r="N238" s="303"/>
      <c r="O238" s="303"/>
      <c r="P238" s="303"/>
      <c r="Q238" s="305"/>
      <c r="R238" s="305"/>
      <c r="S238" s="305"/>
      <c r="T238" s="305"/>
      <c r="U238" s="305"/>
      <c r="V238" s="305"/>
      <c r="W238" s="305"/>
      <c r="X238" s="305"/>
      <c r="Y238" s="305"/>
      <c r="Z238" s="305"/>
    </row>
    <row r="239" spans="1:26" ht="15.75" customHeight="1" x14ac:dyDescent="0.25">
      <c r="A239" s="302"/>
      <c r="B239" s="302"/>
      <c r="C239" s="302"/>
      <c r="D239" s="302"/>
      <c r="E239" s="302"/>
      <c r="F239" s="303"/>
      <c r="G239" s="302"/>
      <c r="H239" s="303"/>
      <c r="I239" s="304"/>
      <c r="J239" s="304"/>
      <c r="K239" s="303"/>
      <c r="L239" s="303"/>
      <c r="M239" s="303"/>
      <c r="N239" s="303"/>
      <c r="O239" s="303"/>
      <c r="P239" s="303"/>
      <c r="Q239" s="305"/>
      <c r="R239" s="305"/>
      <c r="S239" s="305"/>
      <c r="T239" s="305"/>
      <c r="U239" s="305"/>
      <c r="V239" s="305"/>
      <c r="W239" s="305"/>
      <c r="X239" s="305"/>
      <c r="Y239" s="305"/>
      <c r="Z239" s="305"/>
    </row>
    <row r="240" spans="1:26" ht="15.75" customHeight="1" x14ac:dyDescent="0.25">
      <c r="A240" s="302"/>
      <c r="B240" s="302"/>
      <c r="C240" s="302"/>
      <c r="D240" s="302"/>
      <c r="E240" s="302"/>
      <c r="F240" s="303"/>
      <c r="G240" s="302"/>
      <c r="H240" s="303"/>
      <c r="I240" s="304"/>
      <c r="J240" s="304"/>
      <c r="K240" s="303"/>
      <c r="L240" s="303"/>
      <c r="M240" s="303"/>
      <c r="N240" s="303"/>
      <c r="O240" s="303"/>
      <c r="P240" s="303"/>
      <c r="Q240" s="305"/>
      <c r="R240" s="305"/>
      <c r="S240" s="305"/>
      <c r="T240" s="305"/>
      <c r="U240" s="305"/>
      <c r="V240" s="305"/>
      <c r="W240" s="305"/>
      <c r="X240" s="305"/>
      <c r="Y240" s="305"/>
      <c r="Z240" s="305"/>
    </row>
    <row r="241" spans="1:26" ht="15.75" customHeight="1" x14ac:dyDescent="0.25">
      <c r="A241" s="305"/>
      <c r="B241" s="305"/>
      <c r="C241" s="305"/>
      <c r="D241" s="305"/>
      <c r="E241" s="305"/>
      <c r="F241" s="305"/>
      <c r="G241" s="305"/>
      <c r="H241" s="305"/>
      <c r="I241" s="305"/>
      <c r="J241" s="305"/>
      <c r="K241" s="305"/>
      <c r="L241" s="305"/>
      <c r="M241" s="305"/>
      <c r="N241" s="305"/>
      <c r="O241" s="305"/>
      <c r="P241" s="305"/>
      <c r="Q241" s="305"/>
      <c r="R241" s="305"/>
      <c r="S241" s="305"/>
      <c r="T241" s="305"/>
      <c r="U241" s="305"/>
      <c r="V241" s="305"/>
      <c r="W241" s="305"/>
      <c r="X241" s="305"/>
      <c r="Y241" s="305"/>
      <c r="Z241" s="305"/>
    </row>
    <row r="242" spans="1:26" ht="15.75" customHeight="1" x14ac:dyDescent="0.25">
      <c r="A242" s="305"/>
      <c r="B242" s="305"/>
      <c r="C242" s="305"/>
      <c r="D242" s="305"/>
      <c r="E242" s="305"/>
      <c r="F242" s="305"/>
      <c r="G242" s="305"/>
      <c r="H242" s="305"/>
      <c r="I242" s="305"/>
      <c r="J242" s="305"/>
      <c r="K242" s="305"/>
      <c r="L242" s="305"/>
      <c r="M242" s="305"/>
      <c r="N242" s="305"/>
      <c r="O242" s="305"/>
      <c r="P242" s="305"/>
      <c r="Q242" s="305"/>
      <c r="R242" s="305"/>
      <c r="S242" s="305"/>
      <c r="T242" s="305"/>
      <c r="U242" s="305"/>
      <c r="V242" s="305"/>
      <c r="W242" s="305"/>
      <c r="X242" s="305"/>
      <c r="Y242" s="305"/>
      <c r="Z242" s="305"/>
    </row>
    <row r="243" spans="1:26" ht="15.75" customHeight="1" x14ac:dyDescent="0.25">
      <c r="A243" s="305"/>
      <c r="B243" s="305"/>
      <c r="C243" s="305"/>
      <c r="D243" s="305"/>
      <c r="E243" s="305"/>
      <c r="F243" s="305"/>
      <c r="G243" s="305"/>
      <c r="H243" s="305"/>
      <c r="I243" s="305"/>
      <c r="J243" s="305"/>
      <c r="K243" s="305"/>
      <c r="L243" s="305"/>
      <c r="M243" s="305"/>
      <c r="N243" s="305"/>
      <c r="O243" s="305"/>
      <c r="P243" s="305"/>
      <c r="Q243" s="305"/>
      <c r="R243" s="305"/>
      <c r="S243" s="305"/>
      <c r="T243" s="305"/>
      <c r="U243" s="305"/>
      <c r="V243" s="305"/>
      <c r="W243" s="305"/>
      <c r="X243" s="305"/>
      <c r="Y243" s="305"/>
      <c r="Z243" s="305"/>
    </row>
    <row r="244" spans="1:26" ht="15.75" customHeight="1" x14ac:dyDescent="0.25">
      <c r="A244" s="305"/>
      <c r="B244" s="305"/>
      <c r="C244" s="305"/>
      <c r="D244" s="305"/>
      <c r="E244" s="305"/>
      <c r="F244" s="305"/>
      <c r="G244" s="305"/>
      <c r="H244" s="305"/>
      <c r="I244" s="305"/>
      <c r="J244" s="305"/>
      <c r="K244" s="305"/>
      <c r="L244" s="305"/>
      <c r="M244" s="305"/>
      <c r="N244" s="305"/>
      <c r="O244" s="305"/>
      <c r="P244" s="305"/>
      <c r="Q244" s="305"/>
      <c r="R244" s="305"/>
      <c r="S244" s="305"/>
      <c r="T244" s="305"/>
      <c r="U244" s="305"/>
      <c r="V244" s="305"/>
      <c r="W244" s="305"/>
      <c r="X244" s="305"/>
      <c r="Y244" s="305"/>
      <c r="Z244" s="305"/>
    </row>
    <row r="245" spans="1:26" ht="15.75" customHeight="1" x14ac:dyDescent="0.25">
      <c r="A245" s="305"/>
      <c r="B245" s="305"/>
      <c r="C245" s="305"/>
      <c r="D245" s="305"/>
      <c r="E245" s="305"/>
      <c r="F245" s="305"/>
      <c r="G245" s="305"/>
      <c r="H245" s="305"/>
      <c r="I245" s="305"/>
      <c r="J245" s="305"/>
      <c r="K245" s="305"/>
      <c r="L245" s="305"/>
      <c r="M245" s="305"/>
      <c r="N245" s="305"/>
      <c r="O245" s="305"/>
      <c r="P245" s="305"/>
      <c r="Q245" s="305"/>
      <c r="R245" s="305"/>
      <c r="S245" s="305"/>
      <c r="T245" s="305"/>
      <c r="U245" s="305"/>
      <c r="V245" s="305"/>
      <c r="W245" s="305"/>
      <c r="X245" s="305"/>
      <c r="Y245" s="305"/>
      <c r="Z245" s="305"/>
    </row>
    <row r="246" spans="1:26" ht="15.75" customHeight="1" x14ac:dyDescent="0.25">
      <c r="A246" s="305"/>
      <c r="B246" s="305"/>
      <c r="C246" s="305"/>
      <c r="D246" s="305"/>
      <c r="E246" s="305"/>
      <c r="F246" s="305"/>
      <c r="G246" s="305"/>
      <c r="H246" s="305"/>
      <c r="I246" s="305"/>
      <c r="J246" s="305"/>
      <c r="K246" s="305"/>
      <c r="L246" s="305"/>
      <c r="M246" s="305"/>
      <c r="N246" s="305"/>
      <c r="O246" s="305"/>
      <c r="P246" s="305"/>
      <c r="Q246" s="305"/>
      <c r="R246" s="305"/>
      <c r="S246" s="305"/>
      <c r="T246" s="305"/>
      <c r="U246" s="305"/>
      <c r="V246" s="305"/>
      <c r="W246" s="305"/>
      <c r="X246" s="305"/>
      <c r="Y246" s="305"/>
      <c r="Z246" s="305"/>
    </row>
    <row r="247" spans="1:26" ht="15.75" customHeight="1" x14ac:dyDescent="0.25">
      <c r="A247" s="305"/>
      <c r="B247" s="305"/>
      <c r="C247" s="305"/>
      <c r="D247" s="305"/>
      <c r="E247" s="305"/>
      <c r="F247" s="305"/>
      <c r="G247" s="305"/>
      <c r="H247" s="305"/>
      <c r="I247" s="305"/>
      <c r="J247" s="305"/>
      <c r="K247" s="305"/>
      <c r="L247" s="305"/>
      <c r="M247" s="305"/>
      <c r="N247" s="305"/>
      <c r="O247" s="305"/>
      <c r="P247" s="305"/>
      <c r="Q247" s="305"/>
      <c r="R247" s="305"/>
      <c r="S247" s="305"/>
      <c r="T247" s="305"/>
      <c r="U247" s="305"/>
      <c r="V247" s="305"/>
      <c r="W247" s="305"/>
      <c r="X247" s="305"/>
      <c r="Y247" s="305"/>
      <c r="Z247" s="305"/>
    </row>
    <row r="248" spans="1:26" ht="15.75" customHeight="1" x14ac:dyDescent="0.25">
      <c r="A248" s="305"/>
      <c r="B248" s="305"/>
      <c r="C248" s="305"/>
      <c r="D248" s="305"/>
      <c r="E248" s="305"/>
      <c r="F248" s="305"/>
      <c r="G248" s="305"/>
      <c r="H248" s="305"/>
      <c r="I248" s="305"/>
      <c r="J248" s="305"/>
      <c r="K248" s="305"/>
      <c r="L248" s="305"/>
      <c r="M248" s="305"/>
      <c r="N248" s="305"/>
      <c r="O248" s="305"/>
      <c r="P248" s="305"/>
      <c r="Q248" s="305"/>
      <c r="R248" s="305"/>
      <c r="S248" s="305"/>
      <c r="T248" s="305"/>
      <c r="U248" s="305"/>
      <c r="V248" s="305"/>
      <c r="W248" s="305"/>
      <c r="X248" s="305"/>
      <c r="Y248" s="305"/>
      <c r="Z248" s="305"/>
    </row>
    <row r="249" spans="1:26" ht="15.75" customHeight="1" x14ac:dyDescent="0.25">
      <c r="A249" s="305"/>
      <c r="B249" s="305"/>
      <c r="C249" s="305"/>
      <c r="D249" s="305"/>
      <c r="E249" s="305"/>
      <c r="F249" s="305"/>
      <c r="G249" s="305"/>
      <c r="H249" s="305"/>
      <c r="I249" s="305"/>
      <c r="J249" s="305"/>
      <c r="K249" s="305"/>
      <c r="L249" s="305"/>
      <c r="M249" s="305"/>
      <c r="N249" s="305"/>
      <c r="O249" s="305"/>
      <c r="P249" s="305"/>
      <c r="Q249" s="305"/>
      <c r="R249" s="305"/>
      <c r="S249" s="305"/>
      <c r="T249" s="305"/>
      <c r="U249" s="305"/>
      <c r="V249" s="305"/>
      <c r="W249" s="305"/>
      <c r="X249" s="305"/>
      <c r="Y249" s="305"/>
      <c r="Z249" s="305"/>
    </row>
    <row r="250" spans="1:26" ht="15.75" customHeight="1" x14ac:dyDescent="0.25">
      <c r="A250" s="305"/>
      <c r="B250" s="305"/>
      <c r="C250" s="305"/>
      <c r="D250" s="305"/>
      <c r="E250" s="305"/>
      <c r="F250" s="305"/>
      <c r="G250" s="305"/>
      <c r="H250" s="305"/>
      <c r="I250" s="305"/>
      <c r="J250" s="305"/>
      <c r="K250" s="305"/>
      <c r="L250" s="305"/>
      <c r="M250" s="305"/>
      <c r="N250" s="305"/>
      <c r="O250" s="305"/>
      <c r="P250" s="305"/>
      <c r="Q250" s="305"/>
      <c r="R250" s="305"/>
      <c r="S250" s="305"/>
      <c r="T250" s="305"/>
      <c r="U250" s="305"/>
      <c r="V250" s="305"/>
      <c r="W250" s="305"/>
      <c r="X250" s="305"/>
      <c r="Y250" s="305"/>
      <c r="Z250" s="305"/>
    </row>
    <row r="251" spans="1:26" ht="15.75" customHeight="1" x14ac:dyDescent="0.25">
      <c r="A251" s="305"/>
      <c r="B251" s="305"/>
      <c r="C251" s="305"/>
      <c r="D251" s="305"/>
      <c r="E251" s="305"/>
      <c r="F251" s="305"/>
      <c r="G251" s="305"/>
      <c r="H251" s="305"/>
      <c r="I251" s="305"/>
      <c r="J251" s="305"/>
      <c r="K251" s="305"/>
      <c r="L251" s="305"/>
      <c r="M251" s="305"/>
      <c r="N251" s="305"/>
      <c r="O251" s="305"/>
      <c r="P251" s="305"/>
      <c r="Q251" s="305"/>
      <c r="R251" s="305"/>
      <c r="S251" s="305"/>
      <c r="T251" s="305"/>
      <c r="U251" s="305"/>
      <c r="V251" s="305"/>
      <c r="W251" s="305"/>
      <c r="X251" s="305"/>
      <c r="Y251" s="305"/>
      <c r="Z251" s="305"/>
    </row>
    <row r="252" spans="1:26" ht="15.75" customHeight="1" x14ac:dyDescent="0.25">
      <c r="A252" s="305"/>
      <c r="B252" s="305"/>
      <c r="C252" s="305"/>
      <c r="D252" s="305"/>
      <c r="E252" s="305"/>
      <c r="F252" s="305"/>
      <c r="G252" s="305"/>
      <c r="H252" s="305"/>
      <c r="I252" s="305"/>
      <c r="J252" s="305"/>
      <c r="K252" s="305"/>
      <c r="L252" s="305"/>
      <c r="M252" s="305"/>
      <c r="N252" s="305"/>
      <c r="O252" s="305"/>
      <c r="P252" s="305"/>
      <c r="Q252" s="305"/>
      <c r="R252" s="305"/>
      <c r="S252" s="305"/>
      <c r="T252" s="305"/>
      <c r="U252" s="305"/>
      <c r="V252" s="305"/>
      <c r="W252" s="305"/>
      <c r="X252" s="305"/>
      <c r="Y252" s="305"/>
      <c r="Z252" s="305"/>
    </row>
    <row r="253" spans="1:26" ht="15.75" customHeight="1" x14ac:dyDescent="0.25">
      <c r="A253" s="305"/>
      <c r="B253" s="305"/>
      <c r="C253" s="305"/>
      <c r="D253" s="305"/>
      <c r="E253" s="305"/>
      <c r="F253" s="305"/>
      <c r="G253" s="305"/>
      <c r="H253" s="305"/>
      <c r="I253" s="305"/>
      <c r="J253" s="305"/>
      <c r="K253" s="305"/>
      <c r="L253" s="305"/>
      <c r="M253" s="305"/>
      <c r="N253" s="305"/>
      <c r="O253" s="305"/>
      <c r="P253" s="305"/>
      <c r="Q253" s="305"/>
      <c r="R253" s="305"/>
      <c r="S253" s="305"/>
      <c r="T253" s="305"/>
      <c r="U253" s="305"/>
      <c r="V253" s="305"/>
      <c r="W253" s="305"/>
      <c r="X253" s="305"/>
      <c r="Y253" s="305"/>
      <c r="Z253" s="305"/>
    </row>
    <row r="254" spans="1:26" ht="15.75" customHeight="1" x14ac:dyDescent="0.25">
      <c r="A254" s="305"/>
      <c r="B254" s="305"/>
      <c r="C254" s="305"/>
      <c r="D254" s="305"/>
      <c r="E254" s="305"/>
      <c r="F254" s="305"/>
      <c r="G254" s="305"/>
      <c r="H254" s="305"/>
      <c r="I254" s="305"/>
      <c r="J254" s="305"/>
      <c r="K254" s="305"/>
      <c r="L254" s="305"/>
      <c r="M254" s="305"/>
      <c r="N254" s="305"/>
      <c r="O254" s="305"/>
      <c r="P254" s="305"/>
      <c r="Q254" s="305"/>
      <c r="R254" s="305"/>
      <c r="S254" s="305"/>
      <c r="T254" s="305"/>
      <c r="U254" s="305"/>
      <c r="V254" s="305"/>
      <c r="W254" s="305"/>
      <c r="X254" s="305"/>
      <c r="Y254" s="305"/>
      <c r="Z254" s="305"/>
    </row>
    <row r="255" spans="1:26" ht="15.75" customHeight="1" x14ac:dyDescent="0.25">
      <c r="A255" s="305"/>
      <c r="B255" s="305"/>
      <c r="C255" s="305"/>
      <c r="D255" s="305"/>
      <c r="E255" s="305"/>
      <c r="F255" s="305"/>
      <c r="G255" s="305"/>
      <c r="H255" s="305"/>
      <c r="I255" s="305"/>
      <c r="J255" s="305"/>
      <c r="K255" s="305"/>
      <c r="L255" s="305"/>
      <c r="M255" s="305"/>
      <c r="N255" s="305"/>
      <c r="O255" s="305"/>
      <c r="P255" s="305"/>
      <c r="Q255" s="305"/>
      <c r="R255" s="305"/>
      <c r="S255" s="305"/>
      <c r="T255" s="305"/>
      <c r="U255" s="305"/>
      <c r="V255" s="305"/>
      <c r="W255" s="305"/>
      <c r="X255" s="305"/>
      <c r="Y255" s="305"/>
      <c r="Z255" s="305"/>
    </row>
    <row r="256" spans="1:26" ht="15.75" customHeight="1" x14ac:dyDescent="0.25">
      <c r="A256" s="305"/>
      <c r="B256" s="305"/>
      <c r="C256" s="305"/>
      <c r="D256" s="305"/>
      <c r="E256" s="305"/>
      <c r="F256" s="305"/>
      <c r="G256" s="305"/>
      <c r="H256" s="305"/>
      <c r="I256" s="305"/>
      <c r="J256" s="305"/>
      <c r="K256" s="305"/>
      <c r="L256" s="305"/>
      <c r="M256" s="305"/>
      <c r="N256" s="305"/>
      <c r="O256" s="305"/>
      <c r="P256" s="305"/>
      <c r="Q256" s="305"/>
      <c r="R256" s="305"/>
      <c r="S256" s="305"/>
      <c r="T256" s="305"/>
      <c r="U256" s="305"/>
      <c r="V256" s="305"/>
      <c r="W256" s="305"/>
      <c r="X256" s="305"/>
      <c r="Y256" s="305"/>
      <c r="Z256" s="305"/>
    </row>
    <row r="257" spans="1:26" ht="15.75" customHeight="1" x14ac:dyDescent="0.25">
      <c r="A257" s="305"/>
      <c r="B257" s="305"/>
      <c r="C257" s="305"/>
      <c r="D257" s="305"/>
      <c r="E257" s="305"/>
      <c r="F257" s="305"/>
      <c r="G257" s="305"/>
      <c r="H257" s="305"/>
      <c r="I257" s="305"/>
      <c r="J257" s="305"/>
      <c r="K257" s="305"/>
      <c r="L257" s="305"/>
      <c r="M257" s="305"/>
      <c r="N257" s="305"/>
      <c r="O257" s="305"/>
      <c r="P257" s="305"/>
      <c r="Q257" s="305"/>
      <c r="R257" s="305"/>
      <c r="S257" s="305"/>
      <c r="T257" s="305"/>
      <c r="U257" s="305"/>
      <c r="V257" s="305"/>
      <c r="W257" s="305"/>
      <c r="X257" s="305"/>
      <c r="Y257" s="305"/>
      <c r="Z257" s="305"/>
    </row>
    <row r="258" spans="1:26" ht="15.75" customHeight="1" x14ac:dyDescent="0.25">
      <c r="A258" s="305"/>
      <c r="B258" s="305"/>
      <c r="C258" s="305"/>
      <c r="D258" s="305"/>
      <c r="E258" s="305"/>
      <c r="F258" s="305"/>
      <c r="G258" s="305"/>
      <c r="H258" s="305"/>
      <c r="I258" s="305"/>
      <c r="J258" s="305"/>
      <c r="K258" s="305"/>
      <c r="L258" s="305"/>
      <c r="M258" s="305"/>
      <c r="N258" s="305"/>
      <c r="O258" s="305"/>
      <c r="P258" s="305"/>
      <c r="Q258" s="305"/>
      <c r="R258" s="305"/>
      <c r="S258" s="305"/>
      <c r="T258" s="305"/>
      <c r="U258" s="305"/>
      <c r="V258" s="305"/>
      <c r="W258" s="305"/>
      <c r="X258" s="305"/>
      <c r="Y258" s="305"/>
      <c r="Z258" s="305"/>
    </row>
    <row r="259" spans="1:26" ht="15.75" customHeight="1" x14ac:dyDescent="0.25">
      <c r="A259" s="305"/>
      <c r="B259" s="305"/>
      <c r="C259" s="305"/>
      <c r="D259" s="305"/>
      <c r="E259" s="305"/>
      <c r="F259" s="305"/>
      <c r="G259" s="305"/>
      <c r="H259" s="305"/>
      <c r="I259" s="305"/>
      <c r="J259" s="305"/>
      <c r="K259" s="305"/>
      <c r="L259" s="305"/>
      <c r="M259" s="305"/>
      <c r="N259" s="305"/>
      <c r="O259" s="305"/>
      <c r="P259" s="305"/>
      <c r="Q259" s="305"/>
      <c r="R259" s="305"/>
      <c r="S259" s="305"/>
      <c r="T259" s="305"/>
      <c r="U259" s="305"/>
      <c r="V259" s="305"/>
      <c r="W259" s="305"/>
      <c r="X259" s="305"/>
      <c r="Y259" s="305"/>
      <c r="Z259" s="305"/>
    </row>
    <row r="260" spans="1:26" ht="15.75" customHeight="1" x14ac:dyDescent="0.25">
      <c r="A260" s="305"/>
      <c r="B260" s="305"/>
      <c r="C260" s="305"/>
      <c r="D260" s="305"/>
      <c r="E260" s="305"/>
      <c r="F260" s="305"/>
      <c r="G260" s="305"/>
      <c r="H260" s="305"/>
      <c r="I260" s="305"/>
      <c r="J260" s="305"/>
      <c r="K260" s="305"/>
      <c r="L260" s="305"/>
      <c r="M260" s="305"/>
      <c r="N260" s="305"/>
      <c r="O260" s="305"/>
      <c r="P260" s="305"/>
      <c r="Q260" s="305"/>
      <c r="R260" s="305"/>
      <c r="S260" s="305"/>
      <c r="T260" s="305"/>
      <c r="U260" s="305"/>
      <c r="V260" s="305"/>
      <c r="W260" s="305"/>
      <c r="X260" s="305"/>
      <c r="Y260" s="305"/>
      <c r="Z260" s="305"/>
    </row>
    <row r="261" spans="1:26" ht="15.75" customHeight="1" x14ac:dyDescent="0.25">
      <c r="A261" s="305"/>
      <c r="B261" s="305"/>
      <c r="C261" s="305"/>
      <c r="D261" s="305"/>
      <c r="E261" s="305"/>
      <c r="F261" s="305"/>
      <c r="G261" s="305"/>
      <c r="H261" s="305"/>
      <c r="I261" s="305"/>
      <c r="J261" s="305"/>
      <c r="K261" s="305"/>
      <c r="L261" s="305"/>
      <c r="M261" s="305"/>
      <c r="N261" s="305"/>
      <c r="O261" s="305"/>
      <c r="P261" s="305"/>
      <c r="Q261" s="305"/>
      <c r="R261" s="305"/>
      <c r="S261" s="305"/>
      <c r="T261" s="305"/>
      <c r="U261" s="305"/>
      <c r="V261" s="305"/>
      <c r="W261" s="305"/>
      <c r="X261" s="305"/>
      <c r="Y261" s="305"/>
      <c r="Z261" s="305"/>
    </row>
    <row r="262" spans="1:26" ht="15.75" customHeight="1" x14ac:dyDescent="0.25">
      <c r="A262" s="305"/>
      <c r="B262" s="305"/>
      <c r="C262" s="305"/>
      <c r="D262" s="305"/>
      <c r="E262" s="305"/>
      <c r="F262" s="305"/>
      <c r="G262" s="305"/>
      <c r="H262" s="305"/>
      <c r="I262" s="305"/>
      <c r="J262" s="305"/>
      <c r="K262" s="305"/>
      <c r="L262" s="305"/>
      <c r="M262" s="305"/>
      <c r="N262" s="305"/>
      <c r="O262" s="305"/>
      <c r="P262" s="305"/>
      <c r="Q262" s="305"/>
      <c r="R262" s="305"/>
      <c r="S262" s="305"/>
      <c r="T262" s="305"/>
      <c r="U262" s="305"/>
      <c r="V262" s="305"/>
      <c r="W262" s="305"/>
      <c r="X262" s="305"/>
      <c r="Y262" s="305"/>
      <c r="Z262" s="305"/>
    </row>
    <row r="263" spans="1:26" ht="15.75" customHeight="1" x14ac:dyDescent="0.25">
      <c r="A263" s="305"/>
      <c r="B263" s="305"/>
      <c r="C263" s="305"/>
      <c r="D263" s="305"/>
      <c r="E263" s="305"/>
      <c r="F263" s="305"/>
      <c r="G263" s="305"/>
      <c r="H263" s="305"/>
      <c r="I263" s="305"/>
      <c r="J263" s="305"/>
      <c r="K263" s="305"/>
      <c r="L263" s="305"/>
      <c r="M263" s="305"/>
      <c r="N263" s="305"/>
      <c r="O263" s="305"/>
      <c r="P263" s="305"/>
      <c r="Q263" s="305"/>
      <c r="R263" s="305"/>
      <c r="S263" s="305"/>
      <c r="T263" s="305"/>
      <c r="U263" s="305"/>
      <c r="V263" s="305"/>
      <c r="W263" s="305"/>
      <c r="X263" s="305"/>
      <c r="Y263" s="305"/>
      <c r="Z263" s="305"/>
    </row>
    <row r="264" spans="1:26" ht="15.75" customHeight="1" x14ac:dyDescent="0.25">
      <c r="A264" s="305"/>
      <c r="B264" s="305"/>
      <c r="C264" s="305"/>
      <c r="D264" s="305"/>
      <c r="E264" s="305"/>
      <c r="F264" s="305"/>
      <c r="G264" s="305"/>
      <c r="H264" s="305"/>
      <c r="I264" s="305"/>
      <c r="J264" s="305"/>
      <c r="K264" s="305"/>
      <c r="L264" s="305"/>
      <c r="M264" s="305"/>
      <c r="N264" s="305"/>
      <c r="O264" s="305"/>
      <c r="P264" s="305"/>
      <c r="Q264" s="305"/>
      <c r="R264" s="305"/>
      <c r="S264" s="305"/>
      <c r="T264" s="305"/>
      <c r="U264" s="305"/>
      <c r="V264" s="305"/>
      <c r="W264" s="305"/>
      <c r="X264" s="305"/>
      <c r="Y264" s="305"/>
      <c r="Z264" s="305"/>
    </row>
    <row r="265" spans="1:26" ht="15.75" customHeight="1" x14ac:dyDescent="0.25">
      <c r="A265" s="305"/>
      <c r="B265" s="305"/>
      <c r="C265" s="305"/>
      <c r="D265" s="305"/>
      <c r="E265" s="305"/>
      <c r="F265" s="305"/>
      <c r="G265" s="305"/>
      <c r="H265" s="305"/>
      <c r="I265" s="305"/>
      <c r="J265" s="305"/>
      <c r="K265" s="305"/>
      <c r="L265" s="305"/>
      <c r="M265" s="305"/>
      <c r="N265" s="305"/>
      <c r="O265" s="305"/>
      <c r="P265" s="305"/>
      <c r="Q265" s="305"/>
      <c r="R265" s="305"/>
      <c r="S265" s="305"/>
      <c r="T265" s="305"/>
      <c r="U265" s="305"/>
      <c r="V265" s="305"/>
      <c r="W265" s="305"/>
      <c r="X265" s="305"/>
      <c r="Y265" s="305"/>
      <c r="Z265" s="305"/>
    </row>
    <row r="266" spans="1:26" ht="15.75" customHeight="1" x14ac:dyDescent="0.25">
      <c r="A266" s="305"/>
      <c r="B266" s="305"/>
      <c r="C266" s="305"/>
      <c r="D266" s="305"/>
      <c r="E266" s="305"/>
      <c r="F266" s="305"/>
      <c r="G266" s="305"/>
      <c r="H266" s="305"/>
      <c r="I266" s="305"/>
      <c r="J266" s="305"/>
      <c r="K266" s="305"/>
      <c r="L266" s="305"/>
      <c r="M266" s="305"/>
      <c r="N266" s="305"/>
      <c r="O266" s="305"/>
      <c r="P266" s="305"/>
      <c r="Q266" s="305"/>
      <c r="R266" s="305"/>
      <c r="S266" s="305"/>
      <c r="T266" s="305"/>
      <c r="U266" s="305"/>
      <c r="V266" s="305"/>
      <c r="W266" s="305"/>
      <c r="X266" s="305"/>
      <c r="Y266" s="305"/>
      <c r="Z266" s="305"/>
    </row>
    <row r="267" spans="1:26" ht="15.75" customHeight="1" x14ac:dyDescent="0.25">
      <c r="A267" s="305"/>
      <c r="B267" s="305"/>
      <c r="C267" s="305"/>
      <c r="D267" s="305"/>
      <c r="E267" s="305"/>
      <c r="F267" s="305"/>
      <c r="G267" s="305"/>
      <c r="H267" s="305"/>
      <c r="I267" s="305"/>
      <c r="J267" s="305"/>
      <c r="K267" s="305"/>
      <c r="L267" s="305"/>
      <c r="M267" s="305"/>
      <c r="N267" s="305"/>
      <c r="O267" s="305"/>
      <c r="P267" s="305"/>
      <c r="Q267" s="305"/>
      <c r="R267" s="305"/>
      <c r="S267" s="305"/>
      <c r="T267" s="305"/>
      <c r="U267" s="305"/>
      <c r="V267" s="305"/>
      <c r="W267" s="305"/>
      <c r="X267" s="305"/>
      <c r="Y267" s="305"/>
      <c r="Z267" s="305"/>
    </row>
    <row r="268" spans="1:26" ht="15.75" customHeight="1" x14ac:dyDescent="0.25">
      <c r="A268" s="305"/>
      <c r="B268" s="305"/>
      <c r="C268" s="305"/>
      <c r="D268" s="305"/>
      <c r="E268" s="305"/>
      <c r="F268" s="305"/>
      <c r="G268" s="305"/>
      <c r="H268" s="305"/>
      <c r="I268" s="305"/>
      <c r="J268" s="305"/>
      <c r="K268" s="305"/>
      <c r="L268" s="305"/>
      <c r="M268" s="305"/>
      <c r="N268" s="305"/>
      <c r="O268" s="305"/>
      <c r="P268" s="305"/>
      <c r="Q268" s="305"/>
      <c r="R268" s="305"/>
      <c r="S268" s="305"/>
      <c r="T268" s="305"/>
      <c r="U268" s="305"/>
      <c r="V268" s="305"/>
      <c r="W268" s="305"/>
      <c r="X268" s="305"/>
      <c r="Y268" s="305"/>
      <c r="Z268" s="305"/>
    </row>
    <row r="269" spans="1:26" ht="15.75" customHeight="1" x14ac:dyDescent="0.25">
      <c r="A269" s="305"/>
      <c r="B269" s="305"/>
      <c r="C269" s="305"/>
      <c r="D269" s="305"/>
      <c r="E269" s="305"/>
      <c r="F269" s="305"/>
      <c r="G269" s="305"/>
      <c r="H269" s="305"/>
      <c r="I269" s="305"/>
      <c r="J269" s="305"/>
      <c r="K269" s="305"/>
      <c r="L269" s="305"/>
      <c r="M269" s="305"/>
      <c r="N269" s="305"/>
      <c r="O269" s="305"/>
      <c r="P269" s="305"/>
      <c r="Q269" s="305"/>
      <c r="R269" s="305"/>
      <c r="S269" s="305"/>
      <c r="T269" s="305"/>
      <c r="U269" s="305"/>
      <c r="V269" s="305"/>
      <c r="W269" s="305"/>
      <c r="X269" s="305"/>
      <c r="Y269" s="305"/>
      <c r="Z269" s="305"/>
    </row>
    <row r="270" spans="1:26" ht="15.75" customHeight="1" x14ac:dyDescent="0.25">
      <c r="A270" s="305"/>
      <c r="B270" s="305"/>
      <c r="C270" s="305"/>
      <c r="D270" s="305"/>
      <c r="E270" s="305"/>
      <c r="F270" s="305"/>
      <c r="G270" s="305"/>
      <c r="H270" s="305"/>
      <c r="I270" s="305"/>
      <c r="J270" s="305"/>
      <c r="K270" s="305"/>
      <c r="L270" s="305"/>
      <c r="M270" s="305"/>
      <c r="N270" s="305"/>
      <c r="O270" s="305"/>
      <c r="P270" s="305"/>
      <c r="Q270" s="305"/>
      <c r="R270" s="305"/>
      <c r="S270" s="305"/>
      <c r="T270" s="305"/>
      <c r="U270" s="305"/>
      <c r="V270" s="305"/>
      <c r="W270" s="305"/>
      <c r="X270" s="305"/>
      <c r="Y270" s="305"/>
      <c r="Z270" s="305"/>
    </row>
    <row r="271" spans="1:26" ht="15.75" customHeight="1" x14ac:dyDescent="0.25">
      <c r="A271" s="305"/>
      <c r="B271" s="305"/>
      <c r="C271" s="305"/>
      <c r="D271" s="305"/>
      <c r="E271" s="305"/>
      <c r="F271" s="305"/>
      <c r="G271" s="305"/>
      <c r="H271" s="305"/>
      <c r="I271" s="305"/>
      <c r="J271" s="305"/>
      <c r="K271" s="305"/>
      <c r="L271" s="305"/>
      <c r="M271" s="305"/>
      <c r="N271" s="305"/>
      <c r="O271" s="305"/>
      <c r="P271" s="305"/>
      <c r="Q271" s="305"/>
      <c r="R271" s="305"/>
      <c r="S271" s="305"/>
      <c r="T271" s="305"/>
      <c r="U271" s="305"/>
      <c r="V271" s="305"/>
      <c r="W271" s="305"/>
      <c r="X271" s="305"/>
      <c r="Y271" s="305"/>
      <c r="Z271" s="305"/>
    </row>
    <row r="272" spans="1:26" ht="15.75" customHeight="1" x14ac:dyDescent="0.25">
      <c r="A272" s="305"/>
      <c r="B272" s="305"/>
      <c r="C272" s="305"/>
      <c r="D272" s="305"/>
      <c r="E272" s="305"/>
      <c r="F272" s="305"/>
      <c r="G272" s="305"/>
      <c r="H272" s="305"/>
      <c r="I272" s="305"/>
      <c r="J272" s="305"/>
      <c r="K272" s="305"/>
      <c r="L272" s="305"/>
      <c r="M272" s="305"/>
      <c r="N272" s="305"/>
      <c r="O272" s="305"/>
      <c r="P272" s="305"/>
      <c r="Q272" s="305"/>
      <c r="R272" s="305"/>
      <c r="S272" s="305"/>
      <c r="T272" s="305"/>
      <c r="U272" s="305"/>
      <c r="V272" s="305"/>
      <c r="W272" s="305"/>
      <c r="X272" s="305"/>
      <c r="Y272" s="305"/>
      <c r="Z272" s="305"/>
    </row>
    <row r="273" spans="1:26" ht="15.75" customHeight="1" x14ac:dyDescent="0.25">
      <c r="A273" s="305"/>
      <c r="B273" s="305"/>
      <c r="C273" s="305"/>
      <c r="D273" s="305"/>
      <c r="E273" s="305"/>
      <c r="F273" s="305"/>
      <c r="G273" s="305"/>
      <c r="H273" s="305"/>
      <c r="I273" s="305"/>
      <c r="J273" s="305"/>
      <c r="K273" s="305"/>
      <c r="L273" s="305"/>
      <c r="M273" s="305"/>
      <c r="N273" s="305"/>
      <c r="O273" s="305"/>
      <c r="P273" s="305"/>
      <c r="Q273" s="305"/>
      <c r="R273" s="305"/>
      <c r="S273" s="305"/>
      <c r="T273" s="305"/>
      <c r="U273" s="305"/>
      <c r="V273" s="305"/>
      <c r="W273" s="305"/>
      <c r="X273" s="305"/>
      <c r="Y273" s="305"/>
      <c r="Z273" s="305"/>
    </row>
    <row r="274" spans="1:26" ht="15.75" customHeight="1" x14ac:dyDescent="0.25">
      <c r="A274" s="305"/>
      <c r="B274" s="305"/>
      <c r="C274" s="305"/>
      <c r="D274" s="305"/>
      <c r="E274" s="305"/>
      <c r="F274" s="305"/>
      <c r="G274" s="305"/>
      <c r="H274" s="305"/>
      <c r="I274" s="305"/>
      <c r="J274" s="305"/>
      <c r="K274" s="305"/>
      <c r="L274" s="305"/>
      <c r="M274" s="305"/>
      <c r="N274" s="305"/>
      <c r="O274" s="305"/>
      <c r="P274" s="305"/>
      <c r="Q274" s="305"/>
      <c r="R274" s="305"/>
      <c r="S274" s="305"/>
      <c r="T274" s="305"/>
      <c r="U274" s="305"/>
      <c r="V274" s="305"/>
      <c r="W274" s="305"/>
      <c r="X274" s="305"/>
      <c r="Y274" s="305"/>
      <c r="Z274" s="305"/>
    </row>
    <row r="275" spans="1:26" ht="15.75" customHeight="1" x14ac:dyDescent="0.25">
      <c r="A275" s="305"/>
      <c r="B275" s="305"/>
      <c r="C275" s="305"/>
      <c r="D275" s="305"/>
      <c r="E275" s="305"/>
      <c r="F275" s="305"/>
      <c r="G275" s="305"/>
      <c r="H275" s="305"/>
      <c r="I275" s="305"/>
      <c r="J275" s="305"/>
      <c r="K275" s="305"/>
      <c r="L275" s="305"/>
      <c r="M275" s="305"/>
      <c r="N275" s="305"/>
      <c r="O275" s="305"/>
      <c r="P275" s="305"/>
      <c r="Q275" s="305"/>
      <c r="R275" s="305"/>
      <c r="S275" s="305"/>
      <c r="T275" s="305"/>
      <c r="U275" s="305"/>
      <c r="V275" s="305"/>
      <c r="W275" s="305"/>
      <c r="X275" s="305"/>
      <c r="Y275" s="305"/>
      <c r="Z275" s="305"/>
    </row>
    <row r="276" spans="1:26" ht="15.75" customHeight="1" x14ac:dyDescent="0.25">
      <c r="A276" s="305"/>
      <c r="B276" s="305"/>
      <c r="C276" s="305"/>
      <c r="D276" s="305"/>
      <c r="E276" s="305"/>
      <c r="F276" s="305"/>
      <c r="G276" s="305"/>
      <c r="H276" s="305"/>
      <c r="I276" s="305"/>
      <c r="J276" s="305"/>
      <c r="K276" s="305"/>
      <c r="L276" s="305"/>
      <c r="M276" s="305"/>
      <c r="N276" s="305"/>
      <c r="O276" s="305"/>
      <c r="P276" s="305"/>
      <c r="Q276" s="305"/>
      <c r="R276" s="305"/>
      <c r="S276" s="305"/>
      <c r="T276" s="305"/>
      <c r="U276" s="305"/>
      <c r="V276" s="305"/>
      <c r="W276" s="305"/>
      <c r="X276" s="305"/>
      <c r="Y276" s="305"/>
      <c r="Z276" s="305"/>
    </row>
    <row r="277" spans="1:26" ht="15.75" customHeight="1" x14ac:dyDescent="0.25">
      <c r="A277" s="305"/>
      <c r="B277" s="305"/>
      <c r="C277" s="305"/>
      <c r="D277" s="305"/>
      <c r="E277" s="305"/>
      <c r="F277" s="305"/>
      <c r="G277" s="305"/>
      <c r="H277" s="305"/>
      <c r="I277" s="305"/>
      <c r="J277" s="305"/>
      <c r="K277" s="305"/>
      <c r="L277" s="305"/>
      <c r="M277" s="305"/>
      <c r="N277" s="305"/>
      <c r="O277" s="305"/>
      <c r="P277" s="305"/>
      <c r="Q277" s="305"/>
      <c r="R277" s="305"/>
      <c r="S277" s="305"/>
      <c r="T277" s="305"/>
      <c r="U277" s="305"/>
      <c r="V277" s="305"/>
      <c r="W277" s="305"/>
      <c r="X277" s="305"/>
      <c r="Y277" s="305"/>
      <c r="Z277" s="305"/>
    </row>
    <row r="278" spans="1:26" ht="15.75" customHeight="1" x14ac:dyDescent="0.25">
      <c r="A278" s="305"/>
      <c r="B278" s="305"/>
      <c r="C278" s="305"/>
      <c r="D278" s="305"/>
      <c r="E278" s="305"/>
      <c r="F278" s="305"/>
      <c r="G278" s="305"/>
      <c r="H278" s="305"/>
      <c r="I278" s="305"/>
      <c r="J278" s="305"/>
      <c r="K278" s="305"/>
      <c r="L278" s="305"/>
      <c r="M278" s="305"/>
      <c r="N278" s="305"/>
      <c r="O278" s="305"/>
      <c r="P278" s="305"/>
      <c r="Q278" s="305"/>
      <c r="R278" s="305"/>
      <c r="S278" s="305"/>
      <c r="T278" s="305"/>
      <c r="U278" s="305"/>
      <c r="V278" s="305"/>
      <c r="W278" s="305"/>
      <c r="X278" s="305"/>
      <c r="Y278" s="305"/>
      <c r="Z278" s="305"/>
    </row>
    <row r="279" spans="1:26" ht="15.75" customHeight="1" x14ac:dyDescent="0.25">
      <c r="A279" s="305"/>
      <c r="B279" s="305"/>
      <c r="C279" s="305"/>
      <c r="D279" s="305"/>
      <c r="E279" s="305"/>
      <c r="F279" s="305"/>
      <c r="G279" s="305"/>
      <c r="H279" s="305"/>
      <c r="I279" s="305"/>
      <c r="J279" s="305"/>
      <c r="K279" s="305"/>
      <c r="L279" s="305"/>
      <c r="M279" s="305"/>
      <c r="N279" s="305"/>
      <c r="O279" s="305"/>
      <c r="P279" s="305"/>
      <c r="Q279" s="305"/>
      <c r="R279" s="305"/>
      <c r="S279" s="305"/>
      <c r="T279" s="305"/>
      <c r="U279" s="305"/>
      <c r="V279" s="305"/>
      <c r="W279" s="305"/>
      <c r="X279" s="305"/>
      <c r="Y279" s="305"/>
      <c r="Z279" s="305"/>
    </row>
    <row r="280" spans="1:26" ht="15.75" customHeight="1" x14ac:dyDescent="0.25">
      <c r="A280" s="305"/>
      <c r="B280" s="305"/>
      <c r="C280" s="305"/>
      <c r="D280" s="305"/>
      <c r="E280" s="305"/>
      <c r="F280" s="305"/>
      <c r="G280" s="305"/>
      <c r="H280" s="305"/>
      <c r="I280" s="305"/>
      <c r="J280" s="305"/>
      <c r="K280" s="305"/>
      <c r="L280" s="305"/>
      <c r="M280" s="305"/>
      <c r="N280" s="305"/>
      <c r="O280" s="305"/>
      <c r="P280" s="305"/>
      <c r="Q280" s="305"/>
      <c r="R280" s="305"/>
      <c r="S280" s="305"/>
      <c r="T280" s="305"/>
      <c r="U280" s="305"/>
      <c r="V280" s="305"/>
      <c r="W280" s="305"/>
      <c r="X280" s="305"/>
      <c r="Y280" s="305"/>
      <c r="Z280" s="305"/>
    </row>
    <row r="281" spans="1:26" ht="15.75" customHeight="1" x14ac:dyDescent="0.25">
      <c r="A281" s="305"/>
      <c r="B281" s="305"/>
      <c r="C281" s="305"/>
      <c r="D281" s="305"/>
      <c r="E281" s="305"/>
      <c r="F281" s="305"/>
      <c r="G281" s="305"/>
      <c r="H281" s="305"/>
      <c r="I281" s="305"/>
      <c r="J281" s="305"/>
      <c r="K281" s="305"/>
      <c r="L281" s="305"/>
      <c r="M281" s="305"/>
      <c r="N281" s="305"/>
      <c r="O281" s="305"/>
      <c r="P281" s="305"/>
      <c r="Q281" s="305"/>
      <c r="R281" s="305"/>
      <c r="S281" s="305"/>
      <c r="T281" s="305"/>
      <c r="U281" s="305"/>
      <c r="V281" s="305"/>
      <c r="W281" s="305"/>
      <c r="X281" s="305"/>
      <c r="Y281" s="305"/>
      <c r="Z281" s="305"/>
    </row>
    <row r="282" spans="1:26" ht="15.75" customHeight="1" x14ac:dyDescent="0.25">
      <c r="A282" s="305"/>
      <c r="B282" s="305"/>
      <c r="C282" s="305"/>
      <c r="D282" s="305"/>
      <c r="E282" s="305"/>
      <c r="F282" s="305"/>
      <c r="G282" s="305"/>
      <c r="H282" s="305"/>
      <c r="I282" s="305"/>
      <c r="J282" s="305"/>
      <c r="K282" s="305"/>
      <c r="L282" s="305"/>
      <c r="M282" s="305"/>
      <c r="N282" s="305"/>
      <c r="O282" s="305"/>
      <c r="P282" s="305"/>
      <c r="Q282" s="305"/>
      <c r="R282" s="305"/>
      <c r="S282" s="305"/>
      <c r="T282" s="305"/>
      <c r="U282" s="305"/>
      <c r="V282" s="305"/>
      <c r="W282" s="305"/>
      <c r="X282" s="305"/>
      <c r="Y282" s="305"/>
      <c r="Z282" s="305"/>
    </row>
    <row r="283" spans="1:26" ht="15.75" customHeight="1" x14ac:dyDescent="0.25">
      <c r="A283" s="305"/>
      <c r="B283" s="305"/>
      <c r="C283" s="305"/>
      <c r="D283" s="305"/>
      <c r="E283" s="305"/>
      <c r="F283" s="305"/>
      <c r="G283" s="305"/>
      <c r="H283" s="305"/>
      <c r="I283" s="305"/>
      <c r="J283" s="305"/>
      <c r="K283" s="305"/>
      <c r="L283" s="305"/>
      <c r="M283" s="305"/>
      <c r="N283" s="305"/>
      <c r="O283" s="305"/>
      <c r="P283" s="305"/>
      <c r="Q283" s="305"/>
      <c r="R283" s="305"/>
      <c r="S283" s="305"/>
      <c r="T283" s="305"/>
      <c r="U283" s="305"/>
      <c r="V283" s="305"/>
      <c r="W283" s="305"/>
      <c r="X283" s="305"/>
      <c r="Y283" s="305"/>
      <c r="Z283" s="305"/>
    </row>
    <row r="284" spans="1:26" ht="15.75" customHeight="1" x14ac:dyDescent="0.25">
      <c r="A284" s="305"/>
      <c r="B284" s="305"/>
      <c r="C284" s="305"/>
      <c r="D284" s="305"/>
      <c r="E284" s="305"/>
      <c r="F284" s="305"/>
      <c r="G284" s="305"/>
      <c r="H284" s="305"/>
      <c r="I284" s="305"/>
      <c r="J284" s="305"/>
      <c r="K284" s="305"/>
      <c r="L284" s="305"/>
      <c r="M284" s="305"/>
      <c r="N284" s="305"/>
      <c r="O284" s="305"/>
      <c r="P284" s="305"/>
      <c r="Q284" s="305"/>
      <c r="R284" s="305"/>
      <c r="S284" s="305"/>
      <c r="T284" s="305"/>
      <c r="U284" s="305"/>
      <c r="V284" s="305"/>
      <c r="W284" s="305"/>
      <c r="X284" s="305"/>
      <c r="Y284" s="305"/>
      <c r="Z284" s="305"/>
    </row>
    <row r="285" spans="1:26" ht="15.75" customHeight="1" x14ac:dyDescent="0.25">
      <c r="A285" s="305"/>
      <c r="B285" s="305"/>
      <c r="C285" s="305"/>
      <c r="D285" s="305"/>
      <c r="E285" s="305"/>
      <c r="F285" s="305"/>
      <c r="G285" s="305"/>
      <c r="H285" s="305"/>
      <c r="I285" s="305"/>
      <c r="J285" s="305"/>
      <c r="K285" s="305"/>
      <c r="L285" s="305"/>
      <c r="M285" s="305"/>
      <c r="N285" s="305"/>
      <c r="O285" s="305"/>
      <c r="P285" s="305"/>
      <c r="Q285" s="305"/>
      <c r="R285" s="305"/>
      <c r="S285" s="305"/>
      <c r="T285" s="305"/>
      <c r="U285" s="305"/>
      <c r="V285" s="305"/>
      <c r="W285" s="305"/>
      <c r="X285" s="305"/>
      <c r="Y285" s="305"/>
      <c r="Z285" s="305"/>
    </row>
    <row r="286" spans="1:26" ht="15.75" customHeight="1" x14ac:dyDescent="0.25">
      <c r="A286" s="305"/>
      <c r="B286" s="305"/>
      <c r="C286" s="305"/>
      <c r="D286" s="305"/>
      <c r="E286" s="305"/>
      <c r="F286" s="305"/>
      <c r="G286" s="305"/>
      <c r="H286" s="305"/>
      <c r="I286" s="305"/>
      <c r="J286" s="305"/>
      <c r="K286" s="305"/>
      <c r="L286" s="305"/>
      <c r="M286" s="305"/>
      <c r="N286" s="305"/>
      <c r="O286" s="305"/>
      <c r="P286" s="305"/>
      <c r="Q286" s="305"/>
      <c r="R286" s="305"/>
      <c r="S286" s="305"/>
      <c r="T286" s="305"/>
      <c r="U286" s="305"/>
      <c r="V286" s="305"/>
      <c r="W286" s="305"/>
      <c r="X286" s="305"/>
      <c r="Y286" s="305"/>
      <c r="Z286" s="305"/>
    </row>
    <row r="287" spans="1:26" ht="15.75" customHeight="1" x14ac:dyDescent="0.25">
      <c r="A287" s="305"/>
      <c r="B287" s="305"/>
      <c r="C287" s="305"/>
      <c r="D287" s="305"/>
      <c r="E287" s="305"/>
      <c r="F287" s="305"/>
      <c r="G287" s="305"/>
      <c r="H287" s="305"/>
      <c r="I287" s="305"/>
      <c r="J287" s="305"/>
      <c r="K287" s="305"/>
      <c r="L287" s="305"/>
      <c r="M287" s="305"/>
      <c r="N287" s="305"/>
      <c r="O287" s="305"/>
      <c r="P287" s="305"/>
      <c r="Q287" s="305"/>
      <c r="R287" s="305"/>
      <c r="S287" s="305"/>
      <c r="T287" s="305"/>
      <c r="U287" s="305"/>
      <c r="V287" s="305"/>
      <c r="W287" s="305"/>
      <c r="X287" s="305"/>
      <c r="Y287" s="305"/>
      <c r="Z287" s="305"/>
    </row>
    <row r="288" spans="1:26" ht="15.75" customHeight="1" x14ac:dyDescent="0.25">
      <c r="A288" s="305"/>
      <c r="B288" s="305"/>
      <c r="C288" s="305"/>
      <c r="D288" s="305"/>
      <c r="E288" s="305"/>
      <c r="F288" s="305"/>
      <c r="G288" s="305"/>
      <c r="H288" s="305"/>
      <c r="I288" s="305"/>
      <c r="J288" s="305"/>
      <c r="K288" s="305"/>
      <c r="L288" s="305"/>
      <c r="M288" s="305"/>
      <c r="N288" s="305"/>
      <c r="O288" s="305"/>
      <c r="P288" s="305"/>
      <c r="Q288" s="305"/>
      <c r="R288" s="305"/>
      <c r="S288" s="305"/>
      <c r="T288" s="305"/>
      <c r="U288" s="305"/>
      <c r="V288" s="305"/>
      <c r="W288" s="305"/>
      <c r="X288" s="305"/>
      <c r="Y288" s="305"/>
      <c r="Z288" s="305"/>
    </row>
    <row r="289" spans="1:26" ht="15.75" customHeight="1" x14ac:dyDescent="0.25">
      <c r="A289" s="305"/>
      <c r="B289" s="305"/>
      <c r="C289" s="305"/>
      <c r="D289" s="305"/>
      <c r="E289" s="305"/>
      <c r="F289" s="305"/>
      <c r="G289" s="305"/>
      <c r="H289" s="305"/>
      <c r="I289" s="305"/>
      <c r="J289" s="305"/>
      <c r="K289" s="305"/>
      <c r="L289" s="305"/>
      <c r="M289" s="305"/>
      <c r="N289" s="305"/>
      <c r="O289" s="305"/>
      <c r="P289" s="305"/>
      <c r="Q289" s="305"/>
      <c r="R289" s="305"/>
      <c r="S289" s="305"/>
      <c r="T289" s="305"/>
      <c r="U289" s="305"/>
      <c r="V289" s="305"/>
      <c r="W289" s="305"/>
      <c r="X289" s="305"/>
      <c r="Y289" s="305"/>
      <c r="Z289" s="305"/>
    </row>
    <row r="290" spans="1:26" ht="15.75" customHeight="1" x14ac:dyDescent="0.25">
      <c r="A290" s="305"/>
      <c r="B290" s="305"/>
      <c r="C290" s="305"/>
      <c r="D290" s="305"/>
      <c r="E290" s="305"/>
      <c r="F290" s="305"/>
      <c r="G290" s="305"/>
      <c r="H290" s="305"/>
      <c r="I290" s="305"/>
      <c r="J290" s="305"/>
      <c r="K290" s="305"/>
      <c r="L290" s="305"/>
      <c r="M290" s="305"/>
      <c r="N290" s="305"/>
      <c r="O290" s="305"/>
      <c r="P290" s="305"/>
      <c r="Q290" s="305"/>
      <c r="R290" s="305"/>
      <c r="S290" s="305"/>
      <c r="T290" s="305"/>
      <c r="U290" s="305"/>
      <c r="V290" s="305"/>
      <c r="W290" s="305"/>
      <c r="X290" s="305"/>
      <c r="Y290" s="305"/>
      <c r="Z290" s="305"/>
    </row>
    <row r="291" spans="1:26" ht="15.75" customHeight="1" x14ac:dyDescent="0.25">
      <c r="A291" s="305"/>
      <c r="B291" s="305"/>
      <c r="C291" s="305"/>
      <c r="D291" s="305"/>
      <c r="E291" s="305"/>
      <c r="F291" s="305"/>
      <c r="G291" s="305"/>
      <c r="H291" s="305"/>
      <c r="I291" s="305"/>
      <c r="J291" s="305"/>
      <c r="K291" s="305"/>
      <c r="L291" s="305"/>
      <c r="M291" s="305"/>
      <c r="N291" s="305"/>
      <c r="O291" s="305"/>
      <c r="P291" s="305"/>
      <c r="Q291" s="305"/>
      <c r="R291" s="305"/>
      <c r="S291" s="305"/>
      <c r="T291" s="305"/>
      <c r="U291" s="305"/>
      <c r="V291" s="305"/>
      <c r="W291" s="305"/>
      <c r="X291" s="305"/>
      <c r="Y291" s="305"/>
      <c r="Z291" s="305"/>
    </row>
    <row r="292" spans="1:26" ht="15.75" customHeight="1" x14ac:dyDescent="0.25">
      <c r="A292" s="305"/>
      <c r="B292" s="305"/>
      <c r="C292" s="305"/>
      <c r="D292" s="305"/>
      <c r="E292" s="305"/>
      <c r="F292" s="305"/>
      <c r="G292" s="305"/>
      <c r="H292" s="305"/>
      <c r="I292" s="305"/>
      <c r="J292" s="305"/>
      <c r="K292" s="305"/>
      <c r="L292" s="305"/>
      <c r="M292" s="305"/>
      <c r="N292" s="305"/>
      <c r="O292" s="305"/>
      <c r="P292" s="305"/>
      <c r="Q292" s="305"/>
      <c r="R292" s="305"/>
      <c r="S292" s="305"/>
      <c r="T292" s="305"/>
      <c r="U292" s="305"/>
      <c r="V292" s="305"/>
      <c r="W292" s="305"/>
      <c r="X292" s="305"/>
      <c r="Y292" s="305"/>
      <c r="Z292" s="305"/>
    </row>
    <row r="293" spans="1:26" ht="15.75" customHeight="1" x14ac:dyDescent="0.25">
      <c r="A293" s="305"/>
      <c r="B293" s="305"/>
      <c r="C293" s="305"/>
      <c r="D293" s="305"/>
      <c r="E293" s="305"/>
      <c r="F293" s="305"/>
      <c r="G293" s="305"/>
      <c r="H293" s="305"/>
      <c r="I293" s="305"/>
      <c r="J293" s="305"/>
      <c r="K293" s="305"/>
      <c r="L293" s="305"/>
      <c r="M293" s="305"/>
      <c r="N293" s="305"/>
      <c r="O293" s="305"/>
      <c r="P293" s="305"/>
      <c r="Q293" s="305"/>
      <c r="R293" s="305"/>
      <c r="S293" s="305"/>
      <c r="T293" s="305"/>
      <c r="U293" s="305"/>
      <c r="V293" s="305"/>
      <c r="W293" s="305"/>
      <c r="X293" s="305"/>
      <c r="Y293" s="305"/>
      <c r="Z293" s="305"/>
    </row>
    <row r="294" spans="1:26" ht="15.75" customHeight="1" x14ac:dyDescent="0.25">
      <c r="A294" s="305"/>
      <c r="B294" s="305"/>
      <c r="C294" s="305"/>
      <c r="D294" s="305"/>
      <c r="E294" s="305"/>
      <c r="F294" s="305"/>
      <c r="G294" s="305"/>
      <c r="H294" s="305"/>
      <c r="I294" s="305"/>
      <c r="J294" s="305"/>
      <c r="K294" s="305"/>
      <c r="L294" s="305"/>
      <c r="M294" s="305"/>
      <c r="N294" s="305"/>
      <c r="O294" s="305"/>
      <c r="P294" s="305"/>
      <c r="Q294" s="305"/>
      <c r="R294" s="305"/>
      <c r="S294" s="305"/>
      <c r="T294" s="305"/>
      <c r="U294" s="305"/>
      <c r="V294" s="305"/>
      <c r="W294" s="305"/>
      <c r="X294" s="305"/>
      <c r="Y294" s="305"/>
      <c r="Z294" s="305"/>
    </row>
    <row r="295" spans="1:26" ht="15.75" customHeight="1" x14ac:dyDescent="0.25">
      <c r="A295" s="305"/>
      <c r="B295" s="305"/>
      <c r="C295" s="305"/>
      <c r="D295" s="305"/>
      <c r="E295" s="305"/>
      <c r="F295" s="305"/>
      <c r="G295" s="305"/>
      <c r="H295" s="305"/>
      <c r="I295" s="305"/>
      <c r="J295" s="305"/>
      <c r="K295" s="305"/>
      <c r="L295" s="305"/>
      <c r="M295" s="305"/>
      <c r="N295" s="305"/>
      <c r="O295" s="305"/>
      <c r="P295" s="305"/>
      <c r="Q295" s="305"/>
      <c r="R295" s="305"/>
      <c r="S295" s="305"/>
      <c r="T295" s="305"/>
      <c r="U295" s="305"/>
      <c r="V295" s="305"/>
      <c r="W295" s="305"/>
      <c r="X295" s="305"/>
      <c r="Y295" s="305"/>
      <c r="Z295" s="305"/>
    </row>
    <row r="296" spans="1:26" ht="15.75" customHeight="1" x14ac:dyDescent="0.25">
      <c r="A296" s="305"/>
      <c r="B296" s="305"/>
      <c r="C296" s="305"/>
      <c r="D296" s="305"/>
      <c r="E296" s="305"/>
      <c r="F296" s="305"/>
      <c r="G296" s="305"/>
      <c r="H296" s="305"/>
      <c r="I296" s="305"/>
      <c r="J296" s="305"/>
      <c r="K296" s="305"/>
      <c r="L296" s="305"/>
      <c r="M296" s="305"/>
      <c r="N296" s="305"/>
      <c r="O296" s="305"/>
      <c r="P296" s="305"/>
      <c r="Q296" s="305"/>
      <c r="R296" s="305"/>
      <c r="S296" s="305"/>
      <c r="T296" s="305"/>
      <c r="U296" s="305"/>
      <c r="V296" s="305"/>
      <c r="W296" s="305"/>
      <c r="X296" s="305"/>
      <c r="Y296" s="305"/>
      <c r="Z296" s="305"/>
    </row>
    <row r="297" spans="1:26" ht="15.75" customHeight="1" x14ac:dyDescent="0.25">
      <c r="A297" s="305"/>
      <c r="B297" s="305"/>
      <c r="C297" s="305"/>
      <c r="D297" s="305"/>
      <c r="E297" s="305"/>
      <c r="F297" s="305"/>
      <c r="G297" s="305"/>
      <c r="H297" s="305"/>
      <c r="I297" s="305"/>
      <c r="J297" s="305"/>
      <c r="K297" s="305"/>
      <c r="L297" s="305"/>
      <c r="M297" s="305"/>
      <c r="N297" s="305"/>
      <c r="O297" s="305"/>
      <c r="P297" s="305"/>
      <c r="Q297" s="305"/>
      <c r="R297" s="305"/>
      <c r="S297" s="305"/>
      <c r="T297" s="305"/>
      <c r="U297" s="305"/>
      <c r="V297" s="305"/>
      <c r="W297" s="305"/>
      <c r="X297" s="305"/>
      <c r="Y297" s="305"/>
      <c r="Z297" s="305"/>
    </row>
    <row r="298" spans="1:26" ht="15.75" customHeight="1" x14ac:dyDescent="0.25">
      <c r="A298" s="305"/>
      <c r="B298" s="305"/>
      <c r="C298" s="305"/>
      <c r="D298" s="305"/>
      <c r="E298" s="305"/>
      <c r="F298" s="305"/>
      <c r="G298" s="305"/>
      <c r="H298" s="305"/>
      <c r="I298" s="305"/>
      <c r="J298" s="305"/>
      <c r="K298" s="305"/>
      <c r="L298" s="305"/>
      <c r="M298" s="305"/>
      <c r="N298" s="305"/>
      <c r="O298" s="305"/>
      <c r="P298" s="305"/>
      <c r="Q298" s="305"/>
      <c r="R298" s="305"/>
      <c r="S298" s="305"/>
      <c r="T298" s="305"/>
      <c r="U298" s="305"/>
      <c r="V298" s="305"/>
      <c r="W298" s="305"/>
      <c r="X298" s="305"/>
      <c r="Y298" s="305"/>
      <c r="Z298" s="305"/>
    </row>
    <row r="299" spans="1:26" ht="15.75" customHeight="1" x14ac:dyDescent="0.25">
      <c r="A299" s="305"/>
      <c r="B299" s="305"/>
      <c r="C299" s="305"/>
      <c r="D299" s="305"/>
      <c r="E299" s="305"/>
      <c r="F299" s="305"/>
      <c r="G299" s="305"/>
      <c r="H299" s="305"/>
      <c r="I299" s="305"/>
      <c r="J299" s="305"/>
      <c r="K299" s="305"/>
      <c r="L299" s="305"/>
      <c r="M299" s="305"/>
      <c r="N299" s="305"/>
      <c r="O299" s="305"/>
      <c r="P299" s="305"/>
      <c r="Q299" s="305"/>
      <c r="R299" s="305"/>
      <c r="S299" s="305"/>
      <c r="T299" s="305"/>
      <c r="U299" s="305"/>
      <c r="V299" s="305"/>
      <c r="W299" s="305"/>
      <c r="X299" s="305"/>
      <c r="Y299" s="305"/>
      <c r="Z299" s="305"/>
    </row>
    <row r="300" spans="1:26" ht="15.75" customHeight="1" x14ac:dyDescent="0.25">
      <c r="A300" s="305"/>
      <c r="B300" s="305"/>
      <c r="C300" s="305"/>
      <c r="D300" s="305"/>
      <c r="E300" s="305"/>
      <c r="F300" s="305"/>
      <c r="G300" s="305"/>
      <c r="H300" s="305"/>
      <c r="I300" s="305"/>
      <c r="J300" s="305"/>
      <c r="K300" s="305"/>
      <c r="L300" s="305"/>
      <c r="M300" s="305"/>
      <c r="N300" s="305"/>
      <c r="O300" s="305"/>
      <c r="P300" s="305"/>
      <c r="Q300" s="305"/>
      <c r="R300" s="305"/>
      <c r="S300" s="305"/>
      <c r="T300" s="305"/>
      <c r="U300" s="305"/>
      <c r="V300" s="305"/>
      <c r="W300" s="305"/>
      <c r="X300" s="305"/>
      <c r="Y300" s="305"/>
      <c r="Z300" s="305"/>
    </row>
    <row r="301" spans="1:26" ht="15.75" customHeight="1" x14ac:dyDescent="0.25">
      <c r="A301" s="305"/>
      <c r="B301" s="305"/>
      <c r="C301" s="305"/>
      <c r="D301" s="305"/>
      <c r="E301" s="305"/>
      <c r="F301" s="305"/>
      <c r="G301" s="305"/>
      <c r="H301" s="305"/>
      <c r="I301" s="305"/>
      <c r="J301" s="305"/>
      <c r="K301" s="305"/>
      <c r="L301" s="305"/>
      <c r="M301" s="305"/>
      <c r="N301" s="305"/>
      <c r="O301" s="305"/>
      <c r="P301" s="305"/>
      <c r="Q301" s="305"/>
      <c r="R301" s="305"/>
      <c r="S301" s="305"/>
      <c r="T301" s="305"/>
      <c r="U301" s="305"/>
      <c r="V301" s="305"/>
      <c r="W301" s="305"/>
      <c r="X301" s="305"/>
      <c r="Y301" s="305"/>
      <c r="Z301" s="305"/>
    </row>
    <row r="302" spans="1:26" ht="15.75" customHeight="1" x14ac:dyDescent="0.25">
      <c r="A302" s="305"/>
      <c r="B302" s="305"/>
      <c r="C302" s="305"/>
      <c r="D302" s="305"/>
      <c r="E302" s="305"/>
      <c r="F302" s="305"/>
      <c r="G302" s="305"/>
      <c r="H302" s="305"/>
      <c r="I302" s="305"/>
      <c r="J302" s="305"/>
      <c r="K302" s="305"/>
      <c r="L302" s="305"/>
      <c r="M302" s="305"/>
      <c r="N302" s="305"/>
      <c r="O302" s="305"/>
      <c r="P302" s="305"/>
      <c r="Q302" s="305"/>
      <c r="R302" s="305"/>
      <c r="S302" s="305"/>
      <c r="T302" s="305"/>
      <c r="U302" s="305"/>
      <c r="V302" s="305"/>
      <c r="W302" s="305"/>
      <c r="X302" s="305"/>
      <c r="Y302" s="305"/>
      <c r="Z302" s="305"/>
    </row>
    <row r="303" spans="1:26" ht="15.75" customHeight="1" x14ac:dyDescent="0.25">
      <c r="A303" s="305"/>
      <c r="B303" s="305"/>
      <c r="C303" s="305"/>
      <c r="D303" s="305"/>
      <c r="E303" s="305"/>
      <c r="F303" s="305"/>
      <c r="G303" s="305"/>
      <c r="H303" s="305"/>
      <c r="I303" s="305"/>
      <c r="J303" s="305"/>
      <c r="K303" s="305"/>
      <c r="L303" s="305"/>
      <c r="M303" s="305"/>
      <c r="N303" s="305"/>
      <c r="O303" s="305"/>
      <c r="P303" s="305"/>
      <c r="Q303" s="305"/>
      <c r="R303" s="305"/>
      <c r="S303" s="305"/>
      <c r="T303" s="305"/>
      <c r="U303" s="305"/>
      <c r="V303" s="305"/>
      <c r="W303" s="305"/>
      <c r="X303" s="305"/>
      <c r="Y303" s="305"/>
      <c r="Z303" s="305"/>
    </row>
    <row r="304" spans="1:26" ht="15.75" customHeight="1" x14ac:dyDescent="0.25">
      <c r="A304" s="305"/>
      <c r="B304" s="305"/>
      <c r="C304" s="305"/>
      <c r="D304" s="305"/>
      <c r="E304" s="305"/>
      <c r="F304" s="305"/>
      <c r="G304" s="305"/>
      <c r="H304" s="305"/>
      <c r="I304" s="305"/>
      <c r="J304" s="305"/>
      <c r="K304" s="305"/>
      <c r="L304" s="305"/>
      <c r="M304" s="305"/>
      <c r="N304" s="305"/>
      <c r="O304" s="305"/>
      <c r="P304" s="305"/>
      <c r="Q304" s="305"/>
      <c r="R304" s="305"/>
      <c r="S304" s="305"/>
      <c r="T304" s="305"/>
      <c r="U304" s="305"/>
      <c r="V304" s="305"/>
      <c r="W304" s="305"/>
      <c r="X304" s="305"/>
      <c r="Y304" s="305"/>
      <c r="Z304" s="305"/>
    </row>
    <row r="305" spans="1:26" ht="15.75" customHeight="1" x14ac:dyDescent="0.25">
      <c r="A305" s="305"/>
      <c r="B305" s="305"/>
      <c r="C305" s="305"/>
      <c r="D305" s="305"/>
      <c r="E305" s="305"/>
      <c r="F305" s="305"/>
      <c r="G305" s="305"/>
      <c r="H305" s="305"/>
      <c r="I305" s="305"/>
      <c r="J305" s="305"/>
      <c r="K305" s="305"/>
      <c r="L305" s="305"/>
      <c r="M305" s="305"/>
      <c r="N305" s="305"/>
      <c r="O305" s="305"/>
      <c r="P305" s="305"/>
      <c r="Q305" s="305"/>
      <c r="R305" s="305"/>
      <c r="S305" s="305"/>
      <c r="T305" s="305"/>
      <c r="U305" s="305"/>
      <c r="V305" s="305"/>
      <c r="W305" s="305"/>
      <c r="X305" s="305"/>
      <c r="Y305" s="305"/>
      <c r="Z305" s="305"/>
    </row>
    <row r="306" spans="1:26" ht="15.75" customHeight="1" x14ac:dyDescent="0.25">
      <c r="A306" s="305"/>
      <c r="B306" s="305"/>
      <c r="C306" s="305"/>
      <c r="D306" s="305"/>
      <c r="E306" s="305"/>
      <c r="F306" s="305"/>
      <c r="G306" s="305"/>
      <c r="H306" s="305"/>
      <c r="I306" s="305"/>
      <c r="J306" s="305"/>
      <c r="K306" s="305"/>
      <c r="L306" s="305"/>
      <c r="M306" s="305"/>
      <c r="N306" s="305"/>
      <c r="O306" s="305"/>
      <c r="P306" s="305"/>
      <c r="Q306" s="305"/>
      <c r="R306" s="305"/>
      <c r="S306" s="305"/>
      <c r="T306" s="305"/>
      <c r="U306" s="305"/>
      <c r="V306" s="305"/>
      <c r="W306" s="305"/>
      <c r="X306" s="305"/>
      <c r="Y306" s="305"/>
      <c r="Z306" s="305"/>
    </row>
    <row r="307" spans="1:26" ht="15.75" customHeight="1" x14ac:dyDescent="0.25">
      <c r="A307" s="305"/>
      <c r="B307" s="305"/>
      <c r="C307" s="305"/>
      <c r="D307" s="305"/>
      <c r="E307" s="305"/>
      <c r="F307" s="305"/>
      <c r="G307" s="305"/>
      <c r="H307" s="305"/>
      <c r="I307" s="305"/>
      <c r="J307" s="305"/>
      <c r="K307" s="305"/>
      <c r="L307" s="305"/>
      <c r="M307" s="305"/>
      <c r="N307" s="305"/>
      <c r="O307" s="305"/>
      <c r="P307" s="305"/>
      <c r="Q307" s="305"/>
      <c r="R307" s="305"/>
      <c r="S307" s="305"/>
      <c r="T307" s="305"/>
      <c r="U307" s="305"/>
      <c r="V307" s="305"/>
      <c r="W307" s="305"/>
      <c r="X307" s="305"/>
      <c r="Y307" s="305"/>
      <c r="Z307" s="305"/>
    </row>
    <row r="308" spans="1:26" ht="15.75" customHeight="1" x14ac:dyDescent="0.25">
      <c r="A308" s="305"/>
      <c r="B308" s="305"/>
      <c r="C308" s="305"/>
      <c r="D308" s="305"/>
      <c r="E308" s="305"/>
      <c r="F308" s="305"/>
      <c r="G308" s="305"/>
      <c r="H308" s="305"/>
      <c r="I308" s="305"/>
      <c r="J308" s="305"/>
      <c r="K308" s="305"/>
      <c r="L308" s="305"/>
      <c r="M308" s="305"/>
      <c r="N308" s="305"/>
      <c r="O308" s="305"/>
      <c r="P308" s="305"/>
      <c r="Q308" s="305"/>
      <c r="R308" s="305"/>
      <c r="S308" s="305"/>
      <c r="T308" s="305"/>
      <c r="U308" s="305"/>
      <c r="V308" s="305"/>
      <c r="W308" s="305"/>
      <c r="X308" s="305"/>
      <c r="Y308" s="305"/>
      <c r="Z308" s="305"/>
    </row>
    <row r="309" spans="1:26" ht="15.75" customHeight="1" x14ac:dyDescent="0.25">
      <c r="A309" s="305"/>
      <c r="B309" s="305"/>
      <c r="C309" s="305"/>
      <c r="D309" s="305"/>
      <c r="E309" s="305"/>
      <c r="F309" s="305"/>
      <c r="G309" s="305"/>
      <c r="H309" s="305"/>
      <c r="I309" s="305"/>
      <c r="J309" s="305"/>
      <c r="K309" s="305"/>
      <c r="L309" s="305"/>
      <c r="M309" s="305"/>
      <c r="N309" s="305"/>
      <c r="O309" s="305"/>
      <c r="P309" s="305"/>
      <c r="Q309" s="305"/>
      <c r="R309" s="305"/>
      <c r="S309" s="305"/>
      <c r="T309" s="305"/>
      <c r="U309" s="305"/>
      <c r="V309" s="305"/>
      <c r="W309" s="305"/>
      <c r="X309" s="305"/>
      <c r="Y309" s="305"/>
      <c r="Z309" s="305"/>
    </row>
    <row r="310" spans="1:26" ht="15.75" customHeight="1" x14ac:dyDescent="0.25">
      <c r="A310" s="305"/>
      <c r="B310" s="305"/>
      <c r="C310" s="305"/>
      <c r="D310" s="305"/>
      <c r="E310" s="305"/>
      <c r="F310" s="305"/>
      <c r="G310" s="305"/>
      <c r="H310" s="305"/>
      <c r="I310" s="305"/>
      <c r="J310" s="305"/>
      <c r="K310" s="305"/>
      <c r="L310" s="305"/>
      <c r="M310" s="305"/>
      <c r="N310" s="305"/>
      <c r="O310" s="305"/>
      <c r="P310" s="305"/>
      <c r="Q310" s="305"/>
      <c r="R310" s="305"/>
      <c r="S310" s="305"/>
      <c r="T310" s="305"/>
      <c r="U310" s="305"/>
      <c r="V310" s="305"/>
      <c r="W310" s="305"/>
      <c r="X310" s="305"/>
      <c r="Y310" s="305"/>
      <c r="Z310" s="305"/>
    </row>
    <row r="311" spans="1:26" ht="15.75" customHeight="1" x14ac:dyDescent="0.25">
      <c r="A311" s="305"/>
      <c r="B311" s="305"/>
      <c r="C311" s="305"/>
      <c r="D311" s="305"/>
      <c r="E311" s="305"/>
      <c r="F311" s="305"/>
      <c r="G311" s="305"/>
      <c r="H311" s="305"/>
      <c r="I311" s="305"/>
      <c r="J311" s="305"/>
      <c r="K311" s="305"/>
      <c r="L311" s="305"/>
      <c r="M311" s="305"/>
      <c r="N311" s="305"/>
      <c r="O311" s="305"/>
      <c r="P311" s="305"/>
      <c r="Q311" s="305"/>
      <c r="R311" s="305"/>
      <c r="S311" s="305"/>
      <c r="T311" s="305"/>
      <c r="U311" s="305"/>
      <c r="V311" s="305"/>
      <c r="W311" s="305"/>
      <c r="X311" s="305"/>
      <c r="Y311" s="305"/>
      <c r="Z311" s="305"/>
    </row>
    <row r="312" spans="1:26" ht="15.75" customHeight="1" x14ac:dyDescent="0.25">
      <c r="A312" s="305"/>
      <c r="B312" s="305"/>
      <c r="C312" s="305"/>
      <c r="D312" s="305"/>
      <c r="E312" s="305"/>
      <c r="F312" s="305"/>
      <c r="G312" s="305"/>
      <c r="H312" s="305"/>
      <c r="I312" s="305"/>
      <c r="J312" s="305"/>
      <c r="K312" s="305"/>
      <c r="L312" s="305"/>
      <c r="M312" s="305"/>
      <c r="N312" s="305"/>
      <c r="O312" s="305"/>
      <c r="P312" s="305"/>
      <c r="Q312" s="305"/>
      <c r="R312" s="305"/>
      <c r="S312" s="305"/>
      <c r="T312" s="305"/>
      <c r="U312" s="305"/>
      <c r="V312" s="305"/>
      <c r="W312" s="305"/>
      <c r="X312" s="305"/>
      <c r="Y312" s="305"/>
      <c r="Z312" s="305"/>
    </row>
    <row r="313" spans="1:26" ht="15.75" customHeight="1" x14ac:dyDescent="0.25">
      <c r="A313" s="305"/>
      <c r="B313" s="305"/>
      <c r="C313" s="305"/>
      <c r="D313" s="305"/>
      <c r="E313" s="305"/>
      <c r="F313" s="305"/>
      <c r="G313" s="305"/>
      <c r="H313" s="305"/>
      <c r="I313" s="305"/>
      <c r="J313" s="305"/>
      <c r="K313" s="305"/>
      <c r="L313" s="305"/>
      <c r="M313" s="305"/>
      <c r="N313" s="305"/>
      <c r="O313" s="305"/>
      <c r="P313" s="305"/>
      <c r="Q313" s="305"/>
      <c r="R313" s="305"/>
      <c r="S313" s="305"/>
      <c r="T313" s="305"/>
      <c r="U313" s="305"/>
      <c r="V313" s="305"/>
      <c r="W313" s="305"/>
      <c r="X313" s="305"/>
      <c r="Y313" s="305"/>
      <c r="Z313" s="305"/>
    </row>
    <row r="314" spans="1:26" ht="15.75" customHeight="1" x14ac:dyDescent="0.25">
      <c r="A314" s="305"/>
      <c r="B314" s="305"/>
      <c r="C314" s="305"/>
      <c r="D314" s="305"/>
      <c r="E314" s="305"/>
      <c r="F314" s="305"/>
      <c r="G314" s="305"/>
      <c r="H314" s="305"/>
      <c r="I314" s="305"/>
      <c r="J314" s="305"/>
      <c r="K314" s="305"/>
      <c r="L314" s="305"/>
      <c r="M314" s="305"/>
      <c r="N314" s="305"/>
      <c r="O314" s="305"/>
      <c r="P314" s="305"/>
      <c r="Q314" s="305"/>
      <c r="R314" s="305"/>
      <c r="S314" s="305"/>
      <c r="T314" s="305"/>
      <c r="U314" s="305"/>
      <c r="V314" s="305"/>
      <c r="W314" s="305"/>
      <c r="X314" s="305"/>
      <c r="Y314" s="305"/>
      <c r="Z314" s="305"/>
    </row>
    <row r="315" spans="1:26" ht="15.75" customHeight="1" x14ac:dyDescent="0.25">
      <c r="A315" s="305"/>
      <c r="B315" s="305"/>
      <c r="C315" s="305"/>
      <c r="D315" s="305"/>
      <c r="E315" s="305"/>
      <c r="F315" s="305"/>
      <c r="G315" s="305"/>
      <c r="H315" s="305"/>
      <c r="I315" s="305"/>
      <c r="J315" s="305"/>
      <c r="K315" s="305"/>
      <c r="L315" s="305"/>
      <c r="M315" s="305"/>
      <c r="N315" s="305"/>
      <c r="O315" s="305"/>
      <c r="P315" s="305"/>
      <c r="Q315" s="305"/>
      <c r="R315" s="305"/>
      <c r="S315" s="305"/>
      <c r="T315" s="305"/>
      <c r="U315" s="305"/>
      <c r="V315" s="305"/>
      <c r="W315" s="305"/>
      <c r="X315" s="305"/>
      <c r="Y315" s="305"/>
      <c r="Z315" s="305"/>
    </row>
    <row r="316" spans="1:26" ht="15.75" customHeight="1" x14ac:dyDescent="0.25">
      <c r="A316" s="305"/>
      <c r="B316" s="305"/>
      <c r="C316" s="305"/>
      <c r="D316" s="305"/>
      <c r="E316" s="305"/>
      <c r="F316" s="305"/>
      <c r="G316" s="305"/>
      <c r="H316" s="305"/>
      <c r="I316" s="305"/>
      <c r="J316" s="305"/>
      <c r="K316" s="305"/>
      <c r="L316" s="305"/>
      <c r="M316" s="305"/>
      <c r="N316" s="305"/>
      <c r="O316" s="305"/>
      <c r="P316" s="305"/>
      <c r="Q316" s="305"/>
      <c r="R316" s="305"/>
      <c r="S316" s="305"/>
      <c r="T316" s="305"/>
      <c r="U316" s="305"/>
      <c r="V316" s="305"/>
      <c r="W316" s="305"/>
      <c r="X316" s="305"/>
      <c r="Y316" s="305"/>
      <c r="Z316" s="305"/>
    </row>
    <row r="317" spans="1:26" ht="15.75" customHeight="1" x14ac:dyDescent="0.25">
      <c r="A317" s="305"/>
      <c r="B317" s="305"/>
      <c r="C317" s="305"/>
      <c r="D317" s="305"/>
      <c r="E317" s="305"/>
      <c r="F317" s="305"/>
      <c r="G317" s="305"/>
      <c r="H317" s="305"/>
      <c r="I317" s="305"/>
      <c r="J317" s="305"/>
      <c r="K317" s="305"/>
      <c r="L317" s="305"/>
      <c r="M317" s="305"/>
      <c r="N317" s="305"/>
      <c r="O317" s="305"/>
      <c r="P317" s="305"/>
      <c r="Q317" s="305"/>
      <c r="R317" s="305"/>
      <c r="S317" s="305"/>
      <c r="T317" s="305"/>
      <c r="U317" s="305"/>
      <c r="V317" s="305"/>
      <c r="W317" s="305"/>
      <c r="X317" s="305"/>
      <c r="Y317" s="305"/>
      <c r="Z317" s="305"/>
    </row>
    <row r="318" spans="1:26" ht="15.75" customHeight="1" x14ac:dyDescent="0.25">
      <c r="A318" s="305"/>
      <c r="B318" s="305"/>
      <c r="C318" s="305"/>
      <c r="D318" s="305"/>
      <c r="E318" s="305"/>
      <c r="F318" s="305"/>
      <c r="G318" s="305"/>
      <c r="H318" s="305"/>
      <c r="I318" s="305"/>
      <c r="J318" s="305"/>
      <c r="K318" s="305"/>
      <c r="L318" s="305"/>
      <c r="M318" s="305"/>
      <c r="N318" s="305"/>
      <c r="O318" s="305"/>
      <c r="P318" s="305"/>
      <c r="Q318" s="305"/>
      <c r="R318" s="305"/>
      <c r="S318" s="305"/>
      <c r="T318" s="305"/>
      <c r="U318" s="305"/>
      <c r="V318" s="305"/>
      <c r="W318" s="305"/>
      <c r="X318" s="305"/>
      <c r="Y318" s="305"/>
      <c r="Z318" s="305"/>
    </row>
    <row r="319" spans="1:26" ht="15.75" customHeight="1" x14ac:dyDescent="0.25">
      <c r="A319" s="305"/>
      <c r="B319" s="305"/>
      <c r="C319" s="305"/>
      <c r="D319" s="305"/>
      <c r="E319" s="305"/>
      <c r="F319" s="305"/>
      <c r="G319" s="305"/>
      <c r="H319" s="305"/>
      <c r="I319" s="305"/>
      <c r="J319" s="305"/>
      <c r="K319" s="305"/>
      <c r="L319" s="305"/>
      <c r="M319" s="305"/>
      <c r="N319" s="305"/>
      <c r="O319" s="305"/>
      <c r="P319" s="305"/>
      <c r="Q319" s="305"/>
      <c r="R319" s="305"/>
      <c r="S319" s="305"/>
      <c r="T319" s="305"/>
      <c r="U319" s="305"/>
      <c r="V319" s="305"/>
      <c r="W319" s="305"/>
      <c r="X319" s="305"/>
      <c r="Y319" s="305"/>
      <c r="Z319" s="305"/>
    </row>
    <row r="320" spans="1:26" ht="15.75" customHeight="1" x14ac:dyDescent="0.25">
      <c r="A320" s="305"/>
      <c r="B320" s="305"/>
      <c r="C320" s="305"/>
      <c r="D320" s="305"/>
      <c r="E320" s="305"/>
      <c r="F320" s="305"/>
      <c r="G320" s="305"/>
      <c r="H320" s="305"/>
      <c r="I320" s="305"/>
      <c r="J320" s="305"/>
      <c r="K320" s="305"/>
      <c r="L320" s="305"/>
      <c r="M320" s="305"/>
      <c r="N320" s="305"/>
      <c r="O320" s="305"/>
      <c r="P320" s="305"/>
      <c r="Q320" s="305"/>
      <c r="R320" s="305"/>
      <c r="S320" s="305"/>
      <c r="T320" s="305"/>
      <c r="U320" s="305"/>
      <c r="V320" s="305"/>
      <c r="W320" s="305"/>
      <c r="X320" s="305"/>
      <c r="Y320" s="305"/>
      <c r="Z320" s="305"/>
    </row>
    <row r="321" spans="1:26" ht="15.75" customHeight="1" x14ac:dyDescent="0.25">
      <c r="A321" s="305"/>
      <c r="B321" s="305"/>
      <c r="C321" s="305"/>
      <c r="D321" s="305"/>
      <c r="E321" s="305"/>
      <c r="F321" s="305"/>
      <c r="G321" s="305"/>
      <c r="H321" s="305"/>
      <c r="I321" s="305"/>
      <c r="J321" s="305"/>
      <c r="K321" s="305"/>
      <c r="L321" s="305"/>
      <c r="M321" s="305"/>
      <c r="N321" s="305"/>
      <c r="O321" s="305"/>
      <c r="P321" s="305"/>
      <c r="Q321" s="305"/>
      <c r="R321" s="305"/>
      <c r="S321" s="305"/>
      <c r="T321" s="305"/>
      <c r="U321" s="305"/>
      <c r="V321" s="305"/>
      <c r="W321" s="305"/>
      <c r="X321" s="305"/>
      <c r="Y321" s="305"/>
      <c r="Z321" s="305"/>
    </row>
    <row r="322" spans="1:26" ht="15.75" customHeight="1" x14ac:dyDescent="0.25">
      <c r="A322" s="305"/>
      <c r="B322" s="305"/>
      <c r="C322" s="305"/>
      <c r="D322" s="305"/>
      <c r="E322" s="305"/>
      <c r="F322" s="305"/>
      <c r="G322" s="305"/>
      <c r="H322" s="305"/>
      <c r="I322" s="305"/>
      <c r="J322" s="305"/>
      <c r="K322" s="305"/>
      <c r="L322" s="305"/>
      <c r="M322" s="305"/>
      <c r="N322" s="305"/>
      <c r="O322" s="305"/>
      <c r="P322" s="305"/>
      <c r="Q322" s="305"/>
      <c r="R322" s="305"/>
      <c r="S322" s="305"/>
      <c r="T322" s="305"/>
      <c r="U322" s="305"/>
      <c r="V322" s="305"/>
      <c r="W322" s="305"/>
      <c r="X322" s="305"/>
      <c r="Y322" s="305"/>
      <c r="Z322" s="305"/>
    </row>
    <row r="323" spans="1:26" ht="15.75" customHeight="1" x14ac:dyDescent="0.25">
      <c r="A323" s="305"/>
      <c r="B323" s="305"/>
      <c r="C323" s="305"/>
      <c r="D323" s="305"/>
      <c r="E323" s="305"/>
      <c r="F323" s="305"/>
      <c r="G323" s="305"/>
      <c r="H323" s="305"/>
      <c r="I323" s="305"/>
      <c r="J323" s="305"/>
      <c r="K323" s="305"/>
      <c r="L323" s="305"/>
      <c r="M323" s="305"/>
      <c r="N323" s="305"/>
      <c r="O323" s="305"/>
      <c r="P323" s="305"/>
      <c r="Q323" s="305"/>
      <c r="R323" s="305"/>
      <c r="S323" s="305"/>
      <c r="T323" s="305"/>
      <c r="U323" s="305"/>
      <c r="V323" s="305"/>
      <c r="W323" s="305"/>
      <c r="X323" s="305"/>
      <c r="Y323" s="305"/>
      <c r="Z323" s="305"/>
    </row>
    <row r="324" spans="1:26" ht="15.75" customHeight="1" x14ac:dyDescent="0.25">
      <c r="A324" s="305"/>
      <c r="B324" s="305"/>
      <c r="C324" s="305"/>
      <c r="D324" s="305"/>
      <c r="E324" s="305"/>
      <c r="F324" s="305"/>
      <c r="G324" s="305"/>
      <c r="H324" s="305"/>
      <c r="I324" s="305"/>
      <c r="J324" s="305"/>
      <c r="K324" s="305"/>
      <c r="L324" s="305"/>
      <c r="M324" s="305"/>
      <c r="N324" s="305"/>
      <c r="O324" s="305"/>
      <c r="P324" s="305"/>
      <c r="Q324" s="305"/>
      <c r="R324" s="305"/>
      <c r="S324" s="305"/>
      <c r="T324" s="305"/>
      <c r="U324" s="305"/>
      <c r="V324" s="305"/>
      <c r="W324" s="305"/>
      <c r="X324" s="305"/>
      <c r="Y324" s="305"/>
      <c r="Z324" s="305"/>
    </row>
    <row r="325" spans="1:26" ht="15.75" customHeight="1" x14ac:dyDescent="0.25">
      <c r="A325" s="305"/>
      <c r="B325" s="305"/>
      <c r="C325" s="305"/>
      <c r="D325" s="305"/>
      <c r="E325" s="305"/>
      <c r="F325" s="305"/>
      <c r="G325" s="305"/>
      <c r="H325" s="305"/>
      <c r="I325" s="305"/>
      <c r="J325" s="305"/>
      <c r="K325" s="305"/>
      <c r="L325" s="305"/>
      <c r="M325" s="305"/>
      <c r="N325" s="305"/>
      <c r="O325" s="305"/>
      <c r="P325" s="305"/>
      <c r="Q325" s="305"/>
      <c r="R325" s="305"/>
      <c r="S325" s="305"/>
      <c r="T325" s="305"/>
      <c r="U325" s="305"/>
      <c r="V325" s="305"/>
      <c r="W325" s="305"/>
      <c r="X325" s="305"/>
      <c r="Y325" s="305"/>
      <c r="Z325" s="305"/>
    </row>
    <row r="326" spans="1:26" ht="15.75" customHeight="1" x14ac:dyDescent="0.25">
      <c r="A326" s="305"/>
      <c r="B326" s="305"/>
      <c r="C326" s="305"/>
      <c r="D326" s="305"/>
      <c r="E326" s="305"/>
      <c r="F326" s="305"/>
      <c r="G326" s="305"/>
      <c r="H326" s="305"/>
      <c r="I326" s="305"/>
      <c r="J326" s="305"/>
      <c r="K326" s="305"/>
      <c r="L326" s="305"/>
      <c r="M326" s="305"/>
      <c r="N326" s="305"/>
      <c r="O326" s="305"/>
      <c r="P326" s="305"/>
      <c r="Q326" s="305"/>
      <c r="R326" s="305"/>
      <c r="S326" s="305"/>
      <c r="T326" s="305"/>
      <c r="U326" s="305"/>
      <c r="V326" s="305"/>
      <c r="W326" s="305"/>
      <c r="X326" s="305"/>
      <c r="Y326" s="305"/>
      <c r="Z326" s="305"/>
    </row>
    <row r="327" spans="1:26" ht="15.75" customHeight="1" x14ac:dyDescent="0.25">
      <c r="A327" s="305"/>
      <c r="B327" s="305"/>
      <c r="C327" s="305"/>
      <c r="D327" s="305"/>
      <c r="E327" s="305"/>
      <c r="F327" s="305"/>
      <c r="G327" s="305"/>
      <c r="H327" s="305"/>
      <c r="I327" s="305"/>
      <c r="J327" s="305"/>
      <c r="K327" s="305"/>
      <c r="L327" s="305"/>
      <c r="M327" s="305"/>
      <c r="N327" s="305"/>
      <c r="O327" s="305"/>
      <c r="P327" s="305"/>
      <c r="Q327" s="305"/>
      <c r="R327" s="305"/>
      <c r="S327" s="305"/>
      <c r="T327" s="305"/>
      <c r="U327" s="305"/>
      <c r="V327" s="305"/>
      <c r="W327" s="305"/>
      <c r="X327" s="305"/>
      <c r="Y327" s="305"/>
      <c r="Z327" s="305"/>
    </row>
    <row r="328" spans="1:26" ht="15.75" customHeight="1" x14ac:dyDescent="0.25">
      <c r="A328" s="305"/>
      <c r="B328" s="305"/>
      <c r="C328" s="305"/>
      <c r="D328" s="305"/>
      <c r="E328" s="305"/>
      <c r="F328" s="305"/>
      <c r="G328" s="305"/>
      <c r="H328" s="305"/>
      <c r="I328" s="305"/>
      <c r="J328" s="305"/>
      <c r="K328" s="305"/>
      <c r="L328" s="305"/>
      <c r="M328" s="305"/>
      <c r="N328" s="305"/>
      <c r="O328" s="305"/>
      <c r="P328" s="305"/>
      <c r="Q328" s="305"/>
      <c r="R328" s="305"/>
      <c r="S328" s="305"/>
      <c r="T328" s="305"/>
      <c r="U328" s="305"/>
      <c r="V328" s="305"/>
      <c r="W328" s="305"/>
      <c r="X328" s="305"/>
      <c r="Y328" s="305"/>
      <c r="Z328" s="305"/>
    </row>
    <row r="329" spans="1:26" ht="15.75" customHeight="1" x14ac:dyDescent="0.25">
      <c r="A329" s="305"/>
      <c r="B329" s="305"/>
      <c r="C329" s="305"/>
      <c r="D329" s="305"/>
      <c r="E329" s="305"/>
      <c r="F329" s="305"/>
      <c r="G329" s="305"/>
      <c r="H329" s="305"/>
      <c r="I329" s="305"/>
      <c r="J329" s="305"/>
      <c r="K329" s="305"/>
      <c r="L329" s="305"/>
      <c r="M329" s="305"/>
      <c r="N329" s="305"/>
      <c r="O329" s="305"/>
      <c r="P329" s="305"/>
      <c r="Q329" s="305"/>
      <c r="R329" s="305"/>
      <c r="S329" s="305"/>
      <c r="T329" s="305"/>
      <c r="U329" s="305"/>
      <c r="V329" s="305"/>
      <c r="W329" s="305"/>
      <c r="X329" s="305"/>
      <c r="Y329" s="305"/>
      <c r="Z329" s="305"/>
    </row>
    <row r="330" spans="1:26" ht="15.75" customHeight="1" x14ac:dyDescent="0.25">
      <c r="A330" s="305"/>
      <c r="B330" s="305"/>
      <c r="C330" s="305"/>
      <c r="D330" s="305"/>
      <c r="E330" s="305"/>
      <c r="F330" s="305"/>
      <c r="G330" s="305"/>
      <c r="H330" s="305"/>
      <c r="I330" s="305"/>
      <c r="J330" s="305"/>
      <c r="K330" s="305"/>
      <c r="L330" s="305"/>
      <c r="M330" s="305"/>
      <c r="N330" s="305"/>
      <c r="O330" s="305"/>
      <c r="P330" s="305"/>
      <c r="Q330" s="305"/>
      <c r="R330" s="305"/>
      <c r="S330" s="305"/>
      <c r="T330" s="305"/>
      <c r="U330" s="305"/>
      <c r="V330" s="305"/>
      <c r="W330" s="305"/>
      <c r="X330" s="305"/>
      <c r="Y330" s="305"/>
      <c r="Z330" s="305"/>
    </row>
    <row r="331" spans="1:26" ht="15.75" customHeight="1" x14ac:dyDescent="0.25">
      <c r="A331" s="305"/>
      <c r="B331" s="305"/>
      <c r="C331" s="305"/>
      <c r="D331" s="305"/>
      <c r="E331" s="305"/>
      <c r="F331" s="305"/>
      <c r="G331" s="305"/>
      <c r="H331" s="305"/>
      <c r="I331" s="305"/>
      <c r="J331" s="305"/>
      <c r="K331" s="305"/>
      <c r="L331" s="305"/>
      <c r="M331" s="305"/>
      <c r="N331" s="305"/>
      <c r="O331" s="305"/>
      <c r="P331" s="305"/>
      <c r="Q331" s="305"/>
      <c r="R331" s="305"/>
      <c r="S331" s="305"/>
      <c r="T331" s="305"/>
      <c r="U331" s="305"/>
      <c r="V331" s="305"/>
      <c r="W331" s="305"/>
      <c r="X331" s="305"/>
      <c r="Y331" s="305"/>
      <c r="Z331" s="305"/>
    </row>
    <row r="332" spans="1:26" ht="15.75" customHeight="1" x14ac:dyDescent="0.25">
      <c r="A332" s="305"/>
      <c r="B332" s="305"/>
      <c r="C332" s="305"/>
      <c r="D332" s="305"/>
      <c r="E332" s="305"/>
      <c r="F332" s="305"/>
      <c r="G332" s="305"/>
      <c r="H332" s="305"/>
      <c r="I332" s="305"/>
      <c r="J332" s="305"/>
      <c r="K332" s="305"/>
      <c r="L332" s="305"/>
      <c r="M332" s="305"/>
      <c r="N332" s="305"/>
      <c r="O332" s="305"/>
      <c r="P332" s="305"/>
      <c r="Q332" s="305"/>
      <c r="R332" s="305"/>
      <c r="S332" s="305"/>
      <c r="T332" s="305"/>
      <c r="U332" s="305"/>
      <c r="V332" s="305"/>
      <c r="W332" s="305"/>
      <c r="X332" s="305"/>
      <c r="Y332" s="305"/>
      <c r="Z332" s="305"/>
    </row>
    <row r="333" spans="1:26" ht="15.75" customHeight="1" x14ac:dyDescent="0.25">
      <c r="A333" s="305"/>
      <c r="B333" s="305"/>
      <c r="C333" s="305"/>
      <c r="D333" s="305"/>
      <c r="E333" s="305"/>
      <c r="F333" s="305"/>
      <c r="G333" s="305"/>
      <c r="H333" s="305"/>
      <c r="I333" s="305"/>
      <c r="J333" s="305"/>
      <c r="K333" s="305"/>
      <c r="L333" s="305"/>
      <c r="M333" s="305"/>
      <c r="N333" s="305"/>
      <c r="O333" s="305"/>
      <c r="P333" s="305"/>
      <c r="Q333" s="305"/>
      <c r="R333" s="305"/>
      <c r="S333" s="305"/>
      <c r="T333" s="305"/>
      <c r="U333" s="305"/>
      <c r="V333" s="305"/>
      <c r="W333" s="305"/>
      <c r="X333" s="305"/>
      <c r="Y333" s="305"/>
      <c r="Z333" s="305"/>
    </row>
    <row r="334" spans="1:26" ht="15.75" customHeight="1" x14ac:dyDescent="0.25">
      <c r="A334" s="305"/>
      <c r="B334" s="305"/>
      <c r="C334" s="305"/>
      <c r="D334" s="305"/>
      <c r="E334" s="305"/>
      <c r="F334" s="305"/>
      <c r="G334" s="305"/>
      <c r="H334" s="305"/>
      <c r="I334" s="305"/>
      <c r="J334" s="305"/>
      <c r="K334" s="305"/>
      <c r="L334" s="305"/>
      <c r="M334" s="305"/>
      <c r="N334" s="305"/>
      <c r="O334" s="305"/>
      <c r="P334" s="305"/>
      <c r="Q334" s="305"/>
      <c r="R334" s="305"/>
      <c r="S334" s="305"/>
      <c r="T334" s="305"/>
      <c r="U334" s="305"/>
      <c r="V334" s="305"/>
      <c r="W334" s="305"/>
      <c r="X334" s="305"/>
      <c r="Y334" s="305"/>
      <c r="Z334" s="305"/>
    </row>
    <row r="335" spans="1:26" ht="15.75" customHeight="1" x14ac:dyDescent="0.25">
      <c r="A335" s="305"/>
      <c r="B335" s="305"/>
      <c r="C335" s="305"/>
      <c r="D335" s="305"/>
      <c r="E335" s="305"/>
      <c r="F335" s="305"/>
      <c r="G335" s="305"/>
      <c r="H335" s="305"/>
      <c r="I335" s="305"/>
      <c r="J335" s="305"/>
      <c r="K335" s="305"/>
      <c r="L335" s="305"/>
      <c r="M335" s="305"/>
      <c r="N335" s="305"/>
      <c r="O335" s="305"/>
      <c r="P335" s="305"/>
      <c r="Q335" s="305"/>
      <c r="R335" s="305"/>
      <c r="S335" s="305"/>
      <c r="T335" s="305"/>
      <c r="U335" s="305"/>
      <c r="V335" s="305"/>
      <c r="W335" s="305"/>
      <c r="X335" s="305"/>
      <c r="Y335" s="305"/>
      <c r="Z335" s="305"/>
    </row>
    <row r="336" spans="1:26" ht="15.75" customHeight="1" x14ac:dyDescent="0.25">
      <c r="A336" s="305"/>
      <c r="B336" s="305"/>
      <c r="C336" s="305"/>
      <c r="D336" s="305"/>
      <c r="E336" s="305"/>
      <c r="F336" s="305"/>
      <c r="G336" s="305"/>
      <c r="H336" s="305"/>
      <c r="I336" s="305"/>
      <c r="J336" s="305"/>
      <c r="K336" s="305"/>
      <c r="L336" s="305"/>
      <c r="M336" s="305"/>
      <c r="N336" s="305"/>
      <c r="O336" s="305"/>
      <c r="P336" s="305"/>
      <c r="Q336" s="305"/>
      <c r="R336" s="305"/>
      <c r="S336" s="305"/>
      <c r="T336" s="305"/>
      <c r="U336" s="305"/>
      <c r="V336" s="305"/>
      <c r="W336" s="305"/>
      <c r="X336" s="305"/>
      <c r="Y336" s="305"/>
      <c r="Z336" s="305"/>
    </row>
    <row r="337" spans="1:26" ht="15.75" customHeight="1" x14ac:dyDescent="0.25">
      <c r="A337" s="305"/>
      <c r="B337" s="305"/>
      <c r="C337" s="305"/>
      <c r="D337" s="305"/>
      <c r="E337" s="305"/>
      <c r="F337" s="305"/>
      <c r="G337" s="305"/>
      <c r="H337" s="305"/>
      <c r="I337" s="305"/>
      <c r="J337" s="305"/>
      <c r="K337" s="305"/>
      <c r="L337" s="305"/>
      <c r="M337" s="305"/>
      <c r="N337" s="305"/>
      <c r="O337" s="305"/>
      <c r="P337" s="305"/>
      <c r="Q337" s="305"/>
      <c r="R337" s="305"/>
      <c r="S337" s="305"/>
      <c r="T337" s="305"/>
      <c r="U337" s="305"/>
      <c r="V337" s="305"/>
      <c r="W337" s="305"/>
      <c r="X337" s="305"/>
      <c r="Y337" s="305"/>
      <c r="Z337" s="305"/>
    </row>
    <row r="338" spans="1:26" ht="15.75" customHeight="1" x14ac:dyDescent="0.25">
      <c r="A338" s="305"/>
      <c r="B338" s="305"/>
      <c r="C338" s="305"/>
      <c r="D338" s="305"/>
      <c r="E338" s="305"/>
      <c r="F338" s="305"/>
      <c r="G338" s="305"/>
      <c r="H338" s="305"/>
      <c r="I338" s="305"/>
      <c r="J338" s="305"/>
      <c r="K338" s="305"/>
      <c r="L338" s="305"/>
      <c r="M338" s="305"/>
      <c r="N338" s="305"/>
      <c r="O338" s="305"/>
      <c r="P338" s="305"/>
      <c r="Q338" s="305"/>
      <c r="R338" s="305"/>
      <c r="S338" s="305"/>
      <c r="T338" s="305"/>
      <c r="U338" s="305"/>
      <c r="V338" s="305"/>
      <c r="W338" s="305"/>
      <c r="X338" s="305"/>
      <c r="Y338" s="305"/>
      <c r="Z338" s="305"/>
    </row>
    <row r="339" spans="1:26" ht="15.75" customHeight="1" x14ac:dyDescent="0.25">
      <c r="A339" s="305"/>
      <c r="B339" s="305"/>
      <c r="C339" s="305"/>
      <c r="D339" s="305"/>
      <c r="E339" s="305"/>
      <c r="F339" s="305"/>
      <c r="G339" s="305"/>
      <c r="H339" s="305"/>
      <c r="I339" s="305"/>
      <c r="J339" s="305"/>
      <c r="K339" s="305"/>
      <c r="L339" s="305"/>
      <c r="M339" s="305"/>
      <c r="N339" s="305"/>
      <c r="O339" s="305"/>
      <c r="P339" s="305"/>
      <c r="Q339" s="305"/>
      <c r="R339" s="305"/>
      <c r="S339" s="305"/>
      <c r="T339" s="305"/>
      <c r="U339" s="305"/>
      <c r="V339" s="305"/>
      <c r="W339" s="305"/>
      <c r="X339" s="305"/>
      <c r="Y339" s="305"/>
      <c r="Z339" s="305"/>
    </row>
    <row r="340" spans="1:26" ht="15.75" customHeight="1" x14ac:dyDescent="0.25">
      <c r="A340" s="305"/>
      <c r="B340" s="305"/>
      <c r="C340" s="305"/>
      <c r="D340" s="305"/>
      <c r="E340" s="305"/>
      <c r="F340" s="305"/>
      <c r="G340" s="305"/>
      <c r="H340" s="305"/>
      <c r="I340" s="305"/>
      <c r="J340" s="305"/>
      <c r="K340" s="305"/>
      <c r="L340" s="305"/>
      <c r="M340" s="305"/>
      <c r="N340" s="305"/>
      <c r="O340" s="305"/>
      <c r="P340" s="305"/>
      <c r="Q340" s="305"/>
      <c r="R340" s="305"/>
      <c r="S340" s="305"/>
      <c r="T340" s="305"/>
      <c r="U340" s="305"/>
      <c r="V340" s="305"/>
      <c r="W340" s="305"/>
      <c r="X340" s="305"/>
      <c r="Y340" s="305"/>
      <c r="Z340" s="305"/>
    </row>
    <row r="341" spans="1:26" ht="15.75" customHeight="1" x14ac:dyDescent="0.25">
      <c r="A341" s="305"/>
      <c r="B341" s="305"/>
      <c r="C341" s="305"/>
      <c r="D341" s="305"/>
      <c r="E341" s="305"/>
      <c r="F341" s="305"/>
      <c r="G341" s="305"/>
      <c r="H341" s="305"/>
      <c r="I341" s="305"/>
      <c r="J341" s="305"/>
      <c r="K341" s="305"/>
      <c r="L341" s="305"/>
      <c r="M341" s="305"/>
      <c r="N341" s="305"/>
      <c r="O341" s="305"/>
      <c r="P341" s="305"/>
      <c r="Q341" s="305"/>
      <c r="R341" s="305"/>
      <c r="S341" s="305"/>
      <c r="T341" s="305"/>
      <c r="U341" s="305"/>
      <c r="V341" s="305"/>
      <c r="W341" s="305"/>
      <c r="X341" s="305"/>
      <c r="Y341" s="305"/>
      <c r="Z341" s="305"/>
    </row>
    <row r="342" spans="1:26" ht="15.75" customHeight="1" x14ac:dyDescent="0.25">
      <c r="A342" s="305"/>
      <c r="B342" s="305"/>
      <c r="C342" s="305"/>
      <c r="D342" s="305"/>
      <c r="E342" s="305"/>
      <c r="F342" s="305"/>
      <c r="G342" s="305"/>
      <c r="H342" s="305"/>
      <c r="I342" s="305"/>
      <c r="J342" s="305"/>
      <c r="K342" s="305"/>
      <c r="L342" s="305"/>
      <c r="M342" s="305"/>
      <c r="N342" s="305"/>
      <c r="O342" s="305"/>
      <c r="P342" s="305"/>
      <c r="Q342" s="305"/>
      <c r="R342" s="305"/>
      <c r="S342" s="305"/>
      <c r="T342" s="305"/>
      <c r="U342" s="305"/>
      <c r="V342" s="305"/>
      <c r="W342" s="305"/>
      <c r="X342" s="305"/>
      <c r="Y342" s="305"/>
      <c r="Z342" s="305"/>
    </row>
    <row r="343" spans="1:26" ht="15.75" customHeight="1" x14ac:dyDescent="0.25">
      <c r="A343" s="305"/>
      <c r="B343" s="305"/>
      <c r="C343" s="305"/>
      <c r="D343" s="305"/>
      <c r="E343" s="305"/>
      <c r="F343" s="305"/>
      <c r="G343" s="305"/>
      <c r="H343" s="305"/>
      <c r="I343" s="305"/>
      <c r="J343" s="305"/>
      <c r="K343" s="305"/>
      <c r="L343" s="305"/>
      <c r="M343" s="305"/>
      <c r="N343" s="305"/>
      <c r="O343" s="305"/>
      <c r="P343" s="305"/>
      <c r="Q343" s="305"/>
      <c r="R343" s="305"/>
      <c r="S343" s="305"/>
      <c r="T343" s="305"/>
      <c r="U343" s="305"/>
      <c r="V343" s="305"/>
      <c r="W343" s="305"/>
      <c r="X343" s="305"/>
      <c r="Y343" s="305"/>
      <c r="Z343" s="305"/>
    </row>
    <row r="344" spans="1:26" ht="15.75" customHeight="1" x14ac:dyDescent="0.25">
      <c r="A344" s="305"/>
      <c r="B344" s="305"/>
      <c r="C344" s="305"/>
      <c r="D344" s="305"/>
      <c r="E344" s="305"/>
      <c r="F344" s="305"/>
      <c r="G344" s="305"/>
      <c r="H344" s="305"/>
      <c r="I344" s="305"/>
      <c r="J344" s="305"/>
      <c r="K344" s="305"/>
      <c r="L344" s="305"/>
      <c r="M344" s="305"/>
      <c r="N344" s="305"/>
      <c r="O344" s="305"/>
      <c r="P344" s="305"/>
      <c r="Q344" s="305"/>
      <c r="R344" s="305"/>
      <c r="S344" s="305"/>
      <c r="T344" s="305"/>
      <c r="U344" s="305"/>
      <c r="V344" s="305"/>
      <c r="W344" s="305"/>
      <c r="X344" s="305"/>
      <c r="Y344" s="305"/>
      <c r="Z344" s="305"/>
    </row>
    <row r="345" spans="1:26" ht="15.75" customHeight="1" x14ac:dyDescent="0.25">
      <c r="A345" s="305"/>
      <c r="B345" s="305"/>
      <c r="C345" s="305"/>
      <c r="D345" s="305"/>
      <c r="E345" s="305"/>
      <c r="F345" s="305"/>
      <c r="G345" s="305"/>
      <c r="H345" s="305"/>
      <c r="I345" s="305"/>
      <c r="J345" s="305"/>
      <c r="K345" s="305"/>
      <c r="L345" s="305"/>
      <c r="M345" s="305"/>
      <c r="N345" s="305"/>
      <c r="O345" s="305"/>
      <c r="P345" s="305"/>
      <c r="Q345" s="305"/>
      <c r="R345" s="305"/>
      <c r="S345" s="305"/>
      <c r="T345" s="305"/>
      <c r="U345" s="305"/>
      <c r="V345" s="305"/>
      <c r="W345" s="305"/>
      <c r="X345" s="305"/>
      <c r="Y345" s="305"/>
      <c r="Z345" s="305"/>
    </row>
    <row r="346" spans="1:26" ht="15.75" customHeight="1" x14ac:dyDescent="0.25">
      <c r="A346" s="305"/>
      <c r="B346" s="305"/>
      <c r="C346" s="305"/>
      <c r="D346" s="305"/>
      <c r="E346" s="305"/>
      <c r="F346" s="305"/>
      <c r="G346" s="305"/>
      <c r="H346" s="305"/>
      <c r="I346" s="305"/>
      <c r="J346" s="305"/>
      <c r="K346" s="305"/>
      <c r="L346" s="305"/>
      <c r="M346" s="305"/>
      <c r="N346" s="305"/>
      <c r="O346" s="305"/>
      <c r="P346" s="305"/>
      <c r="Q346" s="305"/>
      <c r="R346" s="305"/>
      <c r="S346" s="305"/>
      <c r="T346" s="305"/>
      <c r="U346" s="305"/>
      <c r="V346" s="305"/>
      <c r="W346" s="305"/>
      <c r="X346" s="305"/>
      <c r="Y346" s="305"/>
      <c r="Z346" s="305"/>
    </row>
    <row r="347" spans="1:26" ht="15.75" customHeight="1" x14ac:dyDescent="0.25">
      <c r="A347" s="305"/>
      <c r="B347" s="305"/>
      <c r="C347" s="305"/>
      <c r="D347" s="305"/>
      <c r="E347" s="305"/>
      <c r="F347" s="305"/>
      <c r="G347" s="305"/>
      <c r="H347" s="305"/>
      <c r="I347" s="305"/>
      <c r="J347" s="305"/>
      <c r="K347" s="305"/>
      <c r="L347" s="305"/>
      <c r="M347" s="305"/>
      <c r="N347" s="305"/>
      <c r="O347" s="305"/>
      <c r="P347" s="305"/>
      <c r="Q347" s="305"/>
      <c r="R347" s="305"/>
      <c r="S347" s="305"/>
      <c r="T347" s="305"/>
      <c r="U347" s="305"/>
      <c r="V347" s="305"/>
      <c r="W347" s="305"/>
      <c r="X347" s="305"/>
      <c r="Y347" s="305"/>
      <c r="Z347" s="305"/>
    </row>
    <row r="348" spans="1:26" ht="15.75" customHeight="1" x14ac:dyDescent="0.25">
      <c r="A348" s="305"/>
      <c r="B348" s="305"/>
      <c r="C348" s="305"/>
      <c r="D348" s="305"/>
      <c r="E348" s="305"/>
      <c r="F348" s="305"/>
      <c r="G348" s="305"/>
      <c r="H348" s="305"/>
      <c r="I348" s="305"/>
      <c r="J348" s="305"/>
      <c r="K348" s="305"/>
      <c r="L348" s="305"/>
      <c r="M348" s="305"/>
      <c r="N348" s="305"/>
      <c r="O348" s="305"/>
      <c r="P348" s="305"/>
      <c r="Q348" s="305"/>
      <c r="R348" s="305"/>
      <c r="S348" s="305"/>
      <c r="T348" s="305"/>
      <c r="U348" s="305"/>
      <c r="V348" s="305"/>
      <c r="W348" s="305"/>
      <c r="X348" s="305"/>
      <c r="Y348" s="305"/>
      <c r="Z348" s="305"/>
    </row>
    <row r="349" spans="1:26" ht="15.75" customHeight="1" x14ac:dyDescent="0.25">
      <c r="A349" s="305"/>
      <c r="B349" s="305"/>
      <c r="C349" s="305"/>
      <c r="D349" s="305"/>
      <c r="E349" s="305"/>
      <c r="F349" s="305"/>
      <c r="G349" s="305"/>
      <c r="H349" s="305"/>
      <c r="I349" s="305"/>
      <c r="J349" s="305"/>
      <c r="K349" s="305"/>
      <c r="L349" s="305"/>
      <c r="M349" s="305"/>
      <c r="N349" s="305"/>
      <c r="O349" s="305"/>
      <c r="P349" s="305"/>
      <c r="Q349" s="305"/>
      <c r="R349" s="305"/>
      <c r="S349" s="305"/>
      <c r="T349" s="305"/>
      <c r="U349" s="305"/>
      <c r="V349" s="305"/>
      <c r="W349" s="305"/>
      <c r="X349" s="305"/>
      <c r="Y349" s="305"/>
      <c r="Z349" s="305"/>
    </row>
    <row r="350" spans="1:26" ht="15.75" customHeight="1" x14ac:dyDescent="0.25">
      <c r="A350" s="305"/>
      <c r="B350" s="305"/>
      <c r="C350" s="305"/>
      <c r="D350" s="305"/>
      <c r="E350" s="305"/>
      <c r="F350" s="305"/>
      <c r="G350" s="305"/>
      <c r="H350" s="305"/>
      <c r="I350" s="305"/>
      <c r="J350" s="305"/>
      <c r="K350" s="305"/>
      <c r="L350" s="305"/>
      <c r="M350" s="305"/>
      <c r="N350" s="305"/>
      <c r="O350" s="305"/>
      <c r="P350" s="305"/>
      <c r="Q350" s="305"/>
      <c r="R350" s="305"/>
      <c r="S350" s="305"/>
      <c r="T350" s="305"/>
      <c r="U350" s="305"/>
      <c r="V350" s="305"/>
      <c r="W350" s="305"/>
      <c r="X350" s="305"/>
      <c r="Y350" s="305"/>
      <c r="Z350" s="305"/>
    </row>
    <row r="351" spans="1:26" ht="15.75" customHeight="1" x14ac:dyDescent="0.25">
      <c r="A351" s="305"/>
      <c r="B351" s="305"/>
      <c r="C351" s="305"/>
      <c r="D351" s="305"/>
      <c r="E351" s="305"/>
      <c r="F351" s="305"/>
      <c r="G351" s="305"/>
      <c r="H351" s="305"/>
      <c r="I351" s="305"/>
      <c r="J351" s="305"/>
      <c r="K351" s="305"/>
      <c r="L351" s="305"/>
      <c r="M351" s="305"/>
      <c r="N351" s="305"/>
      <c r="O351" s="305"/>
      <c r="P351" s="305"/>
      <c r="Q351" s="305"/>
      <c r="R351" s="305"/>
      <c r="S351" s="305"/>
      <c r="T351" s="305"/>
      <c r="U351" s="305"/>
      <c r="V351" s="305"/>
      <c r="W351" s="305"/>
      <c r="X351" s="305"/>
      <c r="Y351" s="305"/>
      <c r="Z351" s="305"/>
    </row>
    <row r="352" spans="1:26" ht="15.75" customHeight="1" x14ac:dyDescent="0.25">
      <c r="A352" s="305"/>
      <c r="B352" s="305"/>
      <c r="C352" s="305"/>
      <c r="D352" s="305"/>
      <c r="E352" s="305"/>
      <c r="F352" s="305"/>
      <c r="G352" s="305"/>
      <c r="H352" s="305"/>
      <c r="I352" s="305"/>
      <c r="J352" s="305"/>
      <c r="K352" s="305"/>
      <c r="L352" s="305"/>
      <c r="M352" s="305"/>
      <c r="N352" s="305"/>
      <c r="O352" s="305"/>
      <c r="P352" s="305"/>
      <c r="Q352" s="305"/>
      <c r="R352" s="305"/>
      <c r="S352" s="305"/>
      <c r="T352" s="305"/>
      <c r="U352" s="305"/>
      <c r="V352" s="305"/>
      <c r="W352" s="305"/>
      <c r="X352" s="305"/>
      <c r="Y352" s="305"/>
      <c r="Z352" s="305"/>
    </row>
    <row r="353" spans="1:26" ht="15.75" customHeight="1" x14ac:dyDescent="0.25">
      <c r="A353" s="305"/>
      <c r="B353" s="305"/>
      <c r="C353" s="305"/>
      <c r="D353" s="305"/>
      <c r="E353" s="305"/>
      <c r="F353" s="305"/>
      <c r="G353" s="305"/>
      <c r="H353" s="305"/>
      <c r="I353" s="305"/>
      <c r="J353" s="305"/>
      <c r="K353" s="305"/>
      <c r="L353" s="305"/>
      <c r="M353" s="305"/>
      <c r="N353" s="305"/>
      <c r="O353" s="305"/>
      <c r="P353" s="305"/>
      <c r="Q353" s="305"/>
      <c r="R353" s="305"/>
      <c r="S353" s="305"/>
      <c r="T353" s="305"/>
      <c r="U353" s="305"/>
      <c r="V353" s="305"/>
      <c r="W353" s="305"/>
      <c r="X353" s="305"/>
      <c r="Y353" s="305"/>
      <c r="Z353" s="305"/>
    </row>
    <row r="354" spans="1:26" ht="15.75" customHeight="1" x14ac:dyDescent="0.25">
      <c r="A354" s="305"/>
      <c r="B354" s="305"/>
      <c r="C354" s="305"/>
      <c r="D354" s="305"/>
      <c r="E354" s="305"/>
      <c r="F354" s="305"/>
      <c r="G354" s="305"/>
      <c r="H354" s="305"/>
      <c r="I354" s="305"/>
      <c r="J354" s="305"/>
      <c r="K354" s="305"/>
      <c r="L354" s="305"/>
      <c r="M354" s="305"/>
      <c r="N354" s="305"/>
      <c r="O354" s="305"/>
      <c r="P354" s="305"/>
      <c r="Q354" s="305"/>
      <c r="R354" s="305"/>
      <c r="S354" s="305"/>
      <c r="T354" s="305"/>
      <c r="U354" s="305"/>
      <c r="V354" s="305"/>
      <c r="W354" s="305"/>
      <c r="X354" s="305"/>
      <c r="Y354" s="305"/>
      <c r="Z354" s="305"/>
    </row>
    <row r="355" spans="1:26" ht="15.75" customHeight="1" x14ac:dyDescent="0.25">
      <c r="A355" s="305"/>
      <c r="B355" s="305"/>
      <c r="C355" s="305"/>
      <c r="D355" s="305"/>
      <c r="E355" s="305"/>
      <c r="F355" s="305"/>
      <c r="G355" s="305"/>
      <c r="H355" s="305"/>
      <c r="I355" s="305"/>
      <c r="J355" s="305"/>
      <c r="K355" s="305"/>
      <c r="L355" s="305"/>
      <c r="M355" s="305"/>
      <c r="N355" s="305"/>
      <c r="O355" s="305"/>
      <c r="P355" s="305"/>
      <c r="Q355" s="305"/>
      <c r="R355" s="305"/>
      <c r="S355" s="305"/>
      <c r="T355" s="305"/>
      <c r="U355" s="305"/>
      <c r="V355" s="305"/>
      <c r="W355" s="305"/>
      <c r="X355" s="305"/>
      <c r="Y355" s="305"/>
      <c r="Z355" s="305"/>
    </row>
    <row r="356" spans="1:26" ht="15.75" customHeight="1" x14ac:dyDescent="0.25">
      <c r="A356" s="305"/>
      <c r="B356" s="305"/>
      <c r="C356" s="305"/>
      <c r="D356" s="305"/>
      <c r="E356" s="305"/>
      <c r="F356" s="305"/>
      <c r="G356" s="305"/>
      <c r="H356" s="305"/>
      <c r="I356" s="305"/>
      <c r="J356" s="305"/>
      <c r="K356" s="305"/>
      <c r="L356" s="305"/>
      <c r="M356" s="305"/>
      <c r="N356" s="305"/>
      <c r="O356" s="305"/>
      <c r="P356" s="305"/>
      <c r="Q356" s="305"/>
      <c r="R356" s="305"/>
      <c r="S356" s="305"/>
      <c r="T356" s="305"/>
      <c r="U356" s="305"/>
      <c r="V356" s="305"/>
      <c r="W356" s="305"/>
      <c r="X356" s="305"/>
      <c r="Y356" s="305"/>
      <c r="Z356" s="305"/>
    </row>
    <row r="357" spans="1:26" ht="15.75" customHeight="1" x14ac:dyDescent="0.25">
      <c r="A357" s="305"/>
      <c r="B357" s="305"/>
      <c r="C357" s="305"/>
      <c r="D357" s="305"/>
      <c r="E357" s="305"/>
      <c r="F357" s="305"/>
      <c r="G357" s="305"/>
      <c r="H357" s="305"/>
      <c r="I357" s="305"/>
      <c r="J357" s="305"/>
      <c r="K357" s="305"/>
      <c r="L357" s="305"/>
      <c r="M357" s="305"/>
      <c r="N357" s="305"/>
      <c r="O357" s="305"/>
      <c r="P357" s="305"/>
      <c r="Q357" s="305"/>
      <c r="R357" s="305"/>
      <c r="S357" s="305"/>
      <c r="T357" s="305"/>
      <c r="U357" s="305"/>
      <c r="V357" s="305"/>
      <c r="W357" s="305"/>
      <c r="X357" s="305"/>
      <c r="Y357" s="305"/>
      <c r="Z357" s="305"/>
    </row>
    <row r="358" spans="1:26" ht="15.75" customHeight="1" x14ac:dyDescent="0.25">
      <c r="A358" s="305"/>
      <c r="B358" s="305"/>
      <c r="C358" s="305"/>
      <c r="D358" s="305"/>
      <c r="E358" s="305"/>
      <c r="F358" s="305"/>
      <c r="G358" s="305"/>
      <c r="H358" s="305"/>
      <c r="I358" s="305"/>
      <c r="J358" s="305"/>
      <c r="K358" s="305"/>
      <c r="L358" s="305"/>
      <c r="M358" s="305"/>
      <c r="N358" s="305"/>
      <c r="O358" s="305"/>
      <c r="P358" s="305"/>
      <c r="Q358" s="305"/>
      <c r="R358" s="305"/>
      <c r="S358" s="305"/>
      <c r="T358" s="305"/>
      <c r="U358" s="305"/>
      <c r="V358" s="305"/>
      <c r="W358" s="305"/>
      <c r="X358" s="305"/>
      <c r="Y358" s="305"/>
      <c r="Z358" s="305"/>
    </row>
    <row r="359" spans="1:26" ht="15.75" customHeight="1" x14ac:dyDescent="0.25">
      <c r="A359" s="305"/>
      <c r="B359" s="305"/>
      <c r="C359" s="305"/>
      <c r="D359" s="305"/>
      <c r="E359" s="305"/>
      <c r="F359" s="305"/>
      <c r="G359" s="305"/>
      <c r="H359" s="305"/>
      <c r="I359" s="305"/>
      <c r="J359" s="305"/>
      <c r="K359" s="305"/>
      <c r="L359" s="305"/>
      <c r="M359" s="305"/>
      <c r="N359" s="305"/>
      <c r="O359" s="305"/>
      <c r="P359" s="305"/>
      <c r="Q359" s="305"/>
      <c r="R359" s="305"/>
      <c r="S359" s="305"/>
      <c r="T359" s="305"/>
      <c r="U359" s="305"/>
      <c r="V359" s="305"/>
      <c r="W359" s="305"/>
      <c r="X359" s="305"/>
      <c r="Y359" s="305"/>
      <c r="Z359" s="305"/>
    </row>
    <row r="360" spans="1:26" ht="15.75" customHeight="1" x14ac:dyDescent="0.25">
      <c r="A360" s="305"/>
      <c r="B360" s="305"/>
      <c r="C360" s="305"/>
      <c r="D360" s="305"/>
      <c r="E360" s="305"/>
      <c r="F360" s="305"/>
      <c r="G360" s="305"/>
      <c r="H360" s="305"/>
      <c r="I360" s="305"/>
      <c r="J360" s="305"/>
      <c r="K360" s="305"/>
      <c r="L360" s="305"/>
      <c r="M360" s="305"/>
      <c r="N360" s="305"/>
      <c r="O360" s="305"/>
      <c r="P360" s="305"/>
      <c r="Q360" s="305"/>
      <c r="R360" s="305"/>
      <c r="S360" s="305"/>
      <c r="T360" s="305"/>
      <c r="U360" s="305"/>
      <c r="V360" s="305"/>
      <c r="W360" s="305"/>
      <c r="X360" s="305"/>
      <c r="Y360" s="305"/>
      <c r="Z360" s="305"/>
    </row>
    <row r="361" spans="1:26" ht="15.75" customHeight="1" x14ac:dyDescent="0.25">
      <c r="A361" s="305"/>
      <c r="B361" s="305"/>
      <c r="C361" s="305"/>
      <c r="D361" s="305"/>
      <c r="E361" s="305"/>
      <c r="F361" s="305"/>
      <c r="G361" s="305"/>
      <c r="H361" s="305"/>
      <c r="I361" s="305"/>
      <c r="J361" s="305"/>
      <c r="K361" s="305"/>
      <c r="L361" s="305"/>
      <c r="M361" s="305"/>
      <c r="N361" s="305"/>
      <c r="O361" s="305"/>
      <c r="P361" s="305"/>
      <c r="Q361" s="305"/>
      <c r="R361" s="305"/>
      <c r="S361" s="305"/>
      <c r="T361" s="305"/>
      <c r="U361" s="305"/>
      <c r="V361" s="305"/>
      <c r="W361" s="305"/>
      <c r="X361" s="305"/>
      <c r="Y361" s="305"/>
      <c r="Z361" s="305"/>
    </row>
    <row r="362" spans="1:26" ht="15.75" customHeight="1" x14ac:dyDescent="0.25">
      <c r="A362" s="305"/>
      <c r="B362" s="305"/>
      <c r="C362" s="305"/>
      <c r="D362" s="305"/>
      <c r="E362" s="305"/>
      <c r="F362" s="305"/>
      <c r="G362" s="305"/>
      <c r="H362" s="305"/>
      <c r="I362" s="305"/>
      <c r="J362" s="305"/>
      <c r="K362" s="305"/>
      <c r="L362" s="305"/>
      <c r="M362" s="305"/>
      <c r="N362" s="305"/>
      <c r="O362" s="305"/>
      <c r="P362" s="305"/>
      <c r="Q362" s="305"/>
      <c r="R362" s="305"/>
      <c r="S362" s="305"/>
      <c r="T362" s="305"/>
      <c r="U362" s="305"/>
      <c r="V362" s="305"/>
      <c r="W362" s="305"/>
      <c r="X362" s="305"/>
      <c r="Y362" s="305"/>
      <c r="Z362" s="305"/>
    </row>
    <row r="363" spans="1:26" ht="15.75" customHeight="1" x14ac:dyDescent="0.25">
      <c r="A363" s="305"/>
      <c r="B363" s="305"/>
      <c r="C363" s="305"/>
      <c r="D363" s="305"/>
      <c r="E363" s="305"/>
      <c r="F363" s="305"/>
      <c r="G363" s="305"/>
      <c r="H363" s="305"/>
      <c r="I363" s="305"/>
      <c r="J363" s="305"/>
      <c r="K363" s="305"/>
      <c r="L363" s="305"/>
      <c r="M363" s="305"/>
      <c r="N363" s="305"/>
      <c r="O363" s="305"/>
      <c r="P363" s="305"/>
      <c r="Q363" s="305"/>
      <c r="R363" s="305"/>
      <c r="S363" s="305"/>
      <c r="T363" s="305"/>
      <c r="U363" s="305"/>
      <c r="V363" s="305"/>
      <c r="W363" s="305"/>
      <c r="X363" s="305"/>
      <c r="Y363" s="305"/>
      <c r="Z363" s="305"/>
    </row>
    <row r="364" spans="1:26" ht="15.75" customHeight="1" x14ac:dyDescent="0.25">
      <c r="A364" s="305"/>
      <c r="B364" s="305"/>
      <c r="C364" s="305"/>
      <c r="D364" s="305"/>
      <c r="E364" s="305"/>
      <c r="F364" s="305"/>
      <c r="G364" s="305"/>
      <c r="H364" s="305"/>
      <c r="I364" s="305"/>
      <c r="J364" s="305"/>
      <c r="K364" s="305"/>
      <c r="L364" s="305"/>
      <c r="M364" s="305"/>
      <c r="N364" s="305"/>
      <c r="O364" s="305"/>
      <c r="P364" s="305"/>
      <c r="Q364" s="305"/>
      <c r="R364" s="305"/>
      <c r="S364" s="305"/>
      <c r="T364" s="305"/>
      <c r="U364" s="305"/>
      <c r="V364" s="305"/>
      <c r="W364" s="305"/>
      <c r="X364" s="305"/>
      <c r="Y364" s="305"/>
      <c r="Z364" s="305"/>
    </row>
    <row r="365" spans="1:26" ht="15.75" customHeight="1" x14ac:dyDescent="0.25">
      <c r="A365" s="305"/>
      <c r="B365" s="305"/>
      <c r="C365" s="305"/>
      <c r="D365" s="305"/>
      <c r="E365" s="305"/>
      <c r="F365" s="305"/>
      <c r="G365" s="305"/>
      <c r="H365" s="305"/>
      <c r="I365" s="305"/>
      <c r="J365" s="305"/>
      <c r="K365" s="305"/>
      <c r="L365" s="305"/>
      <c r="M365" s="305"/>
      <c r="N365" s="305"/>
      <c r="O365" s="305"/>
      <c r="P365" s="305"/>
      <c r="Q365" s="305"/>
      <c r="R365" s="305"/>
      <c r="S365" s="305"/>
      <c r="T365" s="305"/>
      <c r="U365" s="305"/>
      <c r="V365" s="305"/>
      <c r="W365" s="305"/>
      <c r="X365" s="305"/>
      <c r="Y365" s="305"/>
      <c r="Z365" s="305"/>
    </row>
    <row r="366" spans="1:26" ht="15.75" customHeight="1" x14ac:dyDescent="0.25">
      <c r="A366" s="305"/>
      <c r="B366" s="305"/>
      <c r="C366" s="305"/>
      <c r="D366" s="305"/>
      <c r="E366" s="305"/>
      <c r="F366" s="305"/>
      <c r="G366" s="305"/>
      <c r="H366" s="305"/>
      <c r="I366" s="305"/>
      <c r="J366" s="305"/>
      <c r="K366" s="305"/>
      <c r="L366" s="305"/>
      <c r="M366" s="305"/>
      <c r="N366" s="305"/>
      <c r="O366" s="305"/>
      <c r="P366" s="305"/>
      <c r="Q366" s="305"/>
      <c r="R366" s="305"/>
      <c r="S366" s="305"/>
      <c r="T366" s="305"/>
      <c r="U366" s="305"/>
      <c r="V366" s="305"/>
      <c r="W366" s="305"/>
      <c r="X366" s="305"/>
      <c r="Y366" s="305"/>
      <c r="Z366" s="305"/>
    </row>
    <row r="367" spans="1:26" ht="15.75" customHeight="1" x14ac:dyDescent="0.25">
      <c r="A367" s="305"/>
      <c r="B367" s="305"/>
      <c r="C367" s="305"/>
      <c r="D367" s="305"/>
      <c r="E367" s="305"/>
      <c r="F367" s="305"/>
      <c r="G367" s="305"/>
      <c r="H367" s="305"/>
      <c r="I367" s="305"/>
      <c r="J367" s="305"/>
      <c r="K367" s="305"/>
      <c r="L367" s="305"/>
      <c r="M367" s="305"/>
      <c r="N367" s="305"/>
      <c r="O367" s="305"/>
      <c r="P367" s="305"/>
      <c r="Q367" s="305"/>
      <c r="R367" s="305"/>
      <c r="S367" s="305"/>
      <c r="T367" s="305"/>
      <c r="U367" s="305"/>
      <c r="V367" s="305"/>
      <c r="W367" s="305"/>
      <c r="X367" s="305"/>
      <c r="Y367" s="305"/>
      <c r="Z367" s="305"/>
    </row>
    <row r="368" spans="1:26" ht="15.75" customHeight="1" x14ac:dyDescent="0.25">
      <c r="A368" s="305"/>
      <c r="B368" s="305"/>
      <c r="C368" s="305"/>
      <c r="D368" s="305"/>
      <c r="E368" s="305"/>
      <c r="F368" s="305"/>
      <c r="G368" s="305"/>
      <c r="H368" s="305"/>
      <c r="I368" s="305"/>
      <c r="J368" s="305"/>
      <c r="K368" s="305"/>
      <c r="L368" s="305"/>
      <c r="M368" s="305"/>
      <c r="N368" s="305"/>
      <c r="O368" s="305"/>
      <c r="P368" s="305"/>
      <c r="Q368" s="305"/>
      <c r="R368" s="305"/>
      <c r="S368" s="305"/>
      <c r="T368" s="305"/>
      <c r="U368" s="305"/>
      <c r="V368" s="305"/>
      <c r="W368" s="305"/>
      <c r="X368" s="305"/>
      <c r="Y368" s="305"/>
      <c r="Z368" s="305"/>
    </row>
    <row r="369" spans="1:26" ht="15.75" customHeight="1" x14ac:dyDescent="0.25">
      <c r="A369" s="305"/>
      <c r="B369" s="305"/>
      <c r="C369" s="305"/>
      <c r="D369" s="305"/>
      <c r="E369" s="305"/>
      <c r="F369" s="305"/>
      <c r="G369" s="305"/>
      <c r="H369" s="305"/>
      <c r="I369" s="305"/>
      <c r="J369" s="305"/>
      <c r="K369" s="305"/>
      <c r="L369" s="305"/>
      <c r="M369" s="305"/>
      <c r="N369" s="305"/>
      <c r="O369" s="305"/>
      <c r="P369" s="305"/>
      <c r="Q369" s="305"/>
      <c r="R369" s="305"/>
      <c r="S369" s="305"/>
      <c r="T369" s="305"/>
      <c r="U369" s="305"/>
      <c r="V369" s="305"/>
      <c r="W369" s="305"/>
      <c r="X369" s="305"/>
      <c r="Y369" s="305"/>
      <c r="Z369" s="305"/>
    </row>
    <row r="370" spans="1:26" ht="15.75" customHeight="1" x14ac:dyDescent="0.25">
      <c r="A370" s="305"/>
      <c r="B370" s="305"/>
      <c r="C370" s="305"/>
      <c r="D370" s="305"/>
      <c r="E370" s="305"/>
      <c r="F370" s="305"/>
      <c r="G370" s="305"/>
      <c r="H370" s="305"/>
      <c r="I370" s="305"/>
      <c r="J370" s="305"/>
      <c r="K370" s="305"/>
      <c r="L370" s="305"/>
      <c r="M370" s="305"/>
      <c r="N370" s="305"/>
      <c r="O370" s="305"/>
      <c r="P370" s="305"/>
      <c r="Q370" s="305"/>
      <c r="R370" s="305"/>
      <c r="S370" s="305"/>
      <c r="T370" s="305"/>
      <c r="U370" s="305"/>
      <c r="V370" s="305"/>
      <c r="W370" s="305"/>
      <c r="X370" s="305"/>
      <c r="Y370" s="305"/>
      <c r="Z370" s="305"/>
    </row>
    <row r="371" spans="1:26" ht="15.75" customHeight="1" x14ac:dyDescent="0.25">
      <c r="A371" s="305"/>
      <c r="B371" s="305"/>
      <c r="C371" s="305"/>
      <c r="D371" s="305"/>
      <c r="E371" s="305"/>
      <c r="F371" s="305"/>
      <c r="G371" s="305"/>
      <c r="H371" s="305"/>
      <c r="I371" s="305"/>
      <c r="J371" s="305"/>
      <c r="K371" s="305"/>
      <c r="L371" s="305"/>
      <c r="M371" s="305"/>
      <c r="N371" s="305"/>
      <c r="O371" s="305"/>
      <c r="P371" s="305"/>
      <c r="Q371" s="305"/>
      <c r="R371" s="305"/>
      <c r="S371" s="305"/>
      <c r="T371" s="305"/>
      <c r="U371" s="305"/>
      <c r="V371" s="305"/>
      <c r="W371" s="305"/>
      <c r="X371" s="305"/>
      <c r="Y371" s="305"/>
      <c r="Z371" s="305"/>
    </row>
    <row r="372" spans="1:26" ht="15.75" customHeight="1" x14ac:dyDescent="0.25">
      <c r="A372" s="305"/>
      <c r="B372" s="305"/>
      <c r="C372" s="305"/>
      <c r="D372" s="305"/>
      <c r="E372" s="305"/>
      <c r="F372" s="305"/>
      <c r="G372" s="305"/>
      <c r="H372" s="305"/>
      <c r="I372" s="305"/>
      <c r="J372" s="305"/>
      <c r="K372" s="305"/>
      <c r="L372" s="305"/>
      <c r="M372" s="305"/>
      <c r="N372" s="305"/>
      <c r="O372" s="305"/>
      <c r="P372" s="305"/>
      <c r="Q372" s="305"/>
      <c r="R372" s="305"/>
      <c r="S372" s="305"/>
      <c r="T372" s="305"/>
      <c r="U372" s="305"/>
      <c r="V372" s="305"/>
      <c r="W372" s="305"/>
      <c r="X372" s="305"/>
      <c r="Y372" s="305"/>
      <c r="Z372" s="305"/>
    </row>
    <row r="373" spans="1:26" ht="15.75" customHeight="1" x14ac:dyDescent="0.25">
      <c r="A373" s="305"/>
      <c r="B373" s="305"/>
      <c r="C373" s="305"/>
      <c r="D373" s="305"/>
      <c r="E373" s="305"/>
      <c r="F373" s="305"/>
      <c r="G373" s="305"/>
      <c r="H373" s="305"/>
      <c r="I373" s="305"/>
      <c r="J373" s="305"/>
      <c r="K373" s="305"/>
      <c r="L373" s="305"/>
      <c r="M373" s="305"/>
      <c r="N373" s="305"/>
      <c r="O373" s="305"/>
      <c r="P373" s="305"/>
      <c r="Q373" s="305"/>
      <c r="R373" s="305"/>
      <c r="S373" s="305"/>
      <c r="T373" s="305"/>
      <c r="U373" s="305"/>
      <c r="V373" s="305"/>
      <c r="W373" s="305"/>
      <c r="X373" s="305"/>
      <c r="Y373" s="305"/>
      <c r="Z373" s="305"/>
    </row>
    <row r="374" spans="1:26" ht="15.75" customHeight="1" x14ac:dyDescent="0.25">
      <c r="A374" s="305"/>
      <c r="B374" s="305"/>
      <c r="C374" s="305"/>
      <c r="D374" s="305"/>
      <c r="E374" s="305"/>
      <c r="F374" s="305"/>
      <c r="G374" s="305"/>
      <c r="H374" s="305"/>
      <c r="I374" s="305"/>
      <c r="J374" s="305"/>
      <c r="K374" s="305"/>
      <c r="L374" s="305"/>
      <c r="M374" s="305"/>
      <c r="N374" s="305"/>
      <c r="O374" s="305"/>
      <c r="P374" s="305"/>
      <c r="Q374" s="305"/>
      <c r="R374" s="305"/>
      <c r="S374" s="305"/>
      <c r="T374" s="305"/>
      <c r="U374" s="305"/>
      <c r="V374" s="305"/>
      <c r="W374" s="305"/>
      <c r="X374" s="305"/>
      <c r="Y374" s="305"/>
      <c r="Z374" s="305"/>
    </row>
    <row r="375" spans="1:26" ht="15.75" customHeight="1" x14ac:dyDescent="0.25">
      <c r="A375" s="305"/>
      <c r="B375" s="305"/>
      <c r="C375" s="305"/>
      <c r="D375" s="305"/>
      <c r="E375" s="305"/>
      <c r="F375" s="305"/>
      <c r="G375" s="305"/>
      <c r="H375" s="305"/>
      <c r="I375" s="305"/>
      <c r="J375" s="305"/>
      <c r="K375" s="305"/>
      <c r="L375" s="305"/>
      <c r="M375" s="305"/>
      <c r="N375" s="305"/>
      <c r="O375" s="305"/>
      <c r="P375" s="305"/>
      <c r="Q375" s="305"/>
      <c r="R375" s="305"/>
      <c r="S375" s="305"/>
      <c r="T375" s="305"/>
      <c r="U375" s="305"/>
      <c r="V375" s="305"/>
      <c r="W375" s="305"/>
      <c r="X375" s="305"/>
      <c r="Y375" s="305"/>
      <c r="Z375" s="305"/>
    </row>
    <row r="376" spans="1:26" ht="15.75" customHeight="1" x14ac:dyDescent="0.25">
      <c r="A376" s="305"/>
      <c r="B376" s="305"/>
      <c r="C376" s="305"/>
      <c r="D376" s="305"/>
      <c r="E376" s="305"/>
      <c r="F376" s="305"/>
      <c r="G376" s="305"/>
      <c r="H376" s="305"/>
      <c r="I376" s="305"/>
      <c r="J376" s="305"/>
      <c r="K376" s="305"/>
      <c r="L376" s="305"/>
      <c r="M376" s="305"/>
      <c r="N376" s="305"/>
      <c r="O376" s="305"/>
      <c r="P376" s="305"/>
      <c r="Q376" s="305"/>
      <c r="R376" s="305"/>
      <c r="S376" s="305"/>
      <c r="T376" s="305"/>
      <c r="U376" s="305"/>
      <c r="V376" s="305"/>
      <c r="W376" s="305"/>
      <c r="X376" s="305"/>
      <c r="Y376" s="305"/>
      <c r="Z376" s="305"/>
    </row>
    <row r="377" spans="1:26" ht="15.75" customHeight="1" x14ac:dyDescent="0.25">
      <c r="A377" s="305"/>
      <c r="B377" s="305"/>
      <c r="C377" s="305"/>
      <c r="D377" s="305"/>
      <c r="E377" s="305"/>
      <c r="F377" s="305"/>
      <c r="G377" s="305"/>
      <c r="H377" s="305"/>
      <c r="I377" s="305"/>
      <c r="J377" s="305"/>
      <c r="K377" s="305"/>
      <c r="L377" s="305"/>
      <c r="M377" s="305"/>
      <c r="N377" s="305"/>
      <c r="O377" s="305"/>
      <c r="P377" s="305"/>
      <c r="Q377" s="305"/>
      <c r="R377" s="305"/>
      <c r="S377" s="305"/>
      <c r="T377" s="305"/>
      <c r="U377" s="305"/>
      <c r="V377" s="305"/>
      <c r="W377" s="305"/>
      <c r="X377" s="305"/>
      <c r="Y377" s="305"/>
      <c r="Z377" s="305"/>
    </row>
    <row r="378" spans="1:26" ht="15.75" customHeight="1" x14ac:dyDescent="0.25">
      <c r="A378" s="305"/>
      <c r="B378" s="305"/>
      <c r="C378" s="305"/>
      <c r="D378" s="305"/>
      <c r="E378" s="305"/>
      <c r="F378" s="305"/>
      <c r="G378" s="305"/>
      <c r="H378" s="305"/>
      <c r="I378" s="305"/>
      <c r="J378" s="305"/>
      <c r="K378" s="305"/>
      <c r="L378" s="305"/>
      <c r="M378" s="305"/>
      <c r="N378" s="305"/>
      <c r="O378" s="305"/>
      <c r="P378" s="305"/>
      <c r="Q378" s="305"/>
      <c r="R378" s="305"/>
      <c r="S378" s="305"/>
      <c r="T378" s="305"/>
      <c r="U378" s="305"/>
      <c r="V378" s="305"/>
      <c r="W378" s="305"/>
      <c r="X378" s="305"/>
      <c r="Y378" s="305"/>
      <c r="Z378" s="305"/>
    </row>
    <row r="379" spans="1:26" ht="15.75" customHeight="1" x14ac:dyDescent="0.25">
      <c r="A379" s="305"/>
      <c r="B379" s="305"/>
      <c r="C379" s="305"/>
      <c r="D379" s="305"/>
      <c r="E379" s="305"/>
      <c r="F379" s="305"/>
      <c r="G379" s="305"/>
      <c r="H379" s="305"/>
      <c r="I379" s="305"/>
      <c r="J379" s="305"/>
      <c r="K379" s="305"/>
      <c r="L379" s="305"/>
      <c r="M379" s="305"/>
      <c r="N379" s="305"/>
      <c r="O379" s="305"/>
      <c r="P379" s="305"/>
      <c r="Q379" s="305"/>
      <c r="R379" s="305"/>
      <c r="S379" s="305"/>
      <c r="T379" s="305"/>
      <c r="U379" s="305"/>
      <c r="V379" s="305"/>
      <c r="W379" s="305"/>
      <c r="X379" s="305"/>
      <c r="Y379" s="305"/>
      <c r="Z379" s="305"/>
    </row>
    <row r="380" spans="1:26" ht="15.75" customHeight="1" x14ac:dyDescent="0.25">
      <c r="A380" s="305"/>
      <c r="B380" s="305"/>
      <c r="C380" s="305"/>
      <c r="D380" s="305"/>
      <c r="E380" s="305"/>
      <c r="F380" s="305"/>
      <c r="G380" s="305"/>
      <c r="H380" s="305"/>
      <c r="I380" s="305"/>
      <c r="J380" s="305"/>
      <c r="K380" s="305"/>
      <c r="L380" s="305"/>
      <c r="M380" s="305"/>
      <c r="N380" s="305"/>
      <c r="O380" s="305"/>
      <c r="P380" s="305"/>
      <c r="Q380" s="305"/>
      <c r="R380" s="305"/>
      <c r="S380" s="305"/>
      <c r="T380" s="305"/>
      <c r="U380" s="305"/>
      <c r="V380" s="305"/>
      <c r="W380" s="305"/>
      <c r="X380" s="305"/>
      <c r="Y380" s="305"/>
      <c r="Z380" s="305"/>
    </row>
    <row r="381" spans="1:26" ht="15.75" customHeight="1" x14ac:dyDescent="0.25">
      <c r="A381" s="305"/>
      <c r="B381" s="305"/>
      <c r="C381" s="305"/>
      <c r="D381" s="305"/>
      <c r="E381" s="305"/>
      <c r="F381" s="305"/>
      <c r="G381" s="305"/>
      <c r="H381" s="305"/>
      <c r="I381" s="305"/>
      <c r="J381" s="305"/>
      <c r="K381" s="305"/>
      <c r="L381" s="305"/>
      <c r="M381" s="305"/>
      <c r="N381" s="305"/>
      <c r="O381" s="305"/>
      <c r="P381" s="305"/>
      <c r="Q381" s="305"/>
      <c r="R381" s="305"/>
      <c r="S381" s="305"/>
      <c r="T381" s="305"/>
      <c r="U381" s="305"/>
      <c r="V381" s="305"/>
      <c r="W381" s="305"/>
      <c r="X381" s="305"/>
      <c r="Y381" s="305"/>
      <c r="Z381" s="305"/>
    </row>
    <row r="382" spans="1:26" ht="15.75" customHeight="1" x14ac:dyDescent="0.25">
      <c r="A382" s="305"/>
      <c r="B382" s="305"/>
      <c r="C382" s="305"/>
      <c r="D382" s="305"/>
      <c r="E382" s="305"/>
      <c r="F382" s="305"/>
      <c r="G382" s="305"/>
      <c r="H382" s="305"/>
      <c r="I382" s="305"/>
      <c r="J382" s="305"/>
      <c r="K382" s="305"/>
      <c r="L382" s="305"/>
      <c r="M382" s="305"/>
      <c r="N382" s="305"/>
      <c r="O382" s="305"/>
      <c r="P382" s="305"/>
      <c r="Q382" s="305"/>
      <c r="R382" s="305"/>
      <c r="S382" s="305"/>
      <c r="T382" s="305"/>
      <c r="U382" s="305"/>
      <c r="V382" s="305"/>
      <c r="W382" s="305"/>
      <c r="X382" s="305"/>
      <c r="Y382" s="305"/>
      <c r="Z382" s="305"/>
    </row>
    <row r="383" spans="1:26" ht="15.75" customHeight="1" x14ac:dyDescent="0.25">
      <c r="A383" s="305"/>
      <c r="B383" s="305"/>
      <c r="C383" s="305"/>
      <c r="D383" s="305"/>
      <c r="E383" s="305"/>
      <c r="F383" s="305"/>
      <c r="G383" s="305"/>
      <c r="H383" s="305"/>
      <c r="I383" s="305"/>
      <c r="J383" s="305"/>
      <c r="K383" s="305"/>
      <c r="L383" s="305"/>
      <c r="M383" s="305"/>
      <c r="N383" s="305"/>
      <c r="O383" s="305"/>
      <c r="P383" s="305"/>
      <c r="Q383" s="305"/>
      <c r="R383" s="305"/>
      <c r="S383" s="305"/>
      <c r="T383" s="305"/>
      <c r="U383" s="305"/>
      <c r="V383" s="305"/>
      <c r="W383" s="305"/>
      <c r="X383" s="305"/>
      <c r="Y383" s="305"/>
      <c r="Z383" s="305"/>
    </row>
    <row r="384" spans="1:26" ht="15.75" customHeight="1" x14ac:dyDescent="0.25">
      <c r="A384" s="305"/>
      <c r="B384" s="305"/>
      <c r="C384" s="305"/>
      <c r="D384" s="305"/>
      <c r="E384" s="305"/>
      <c r="F384" s="305"/>
      <c r="G384" s="305"/>
      <c r="H384" s="305"/>
      <c r="I384" s="305"/>
      <c r="J384" s="305"/>
      <c r="K384" s="305"/>
      <c r="L384" s="305"/>
      <c r="M384" s="305"/>
      <c r="N384" s="305"/>
      <c r="O384" s="305"/>
      <c r="P384" s="305"/>
      <c r="Q384" s="305"/>
      <c r="R384" s="305"/>
      <c r="S384" s="305"/>
      <c r="T384" s="305"/>
      <c r="U384" s="305"/>
      <c r="V384" s="305"/>
      <c r="W384" s="305"/>
      <c r="X384" s="305"/>
      <c r="Y384" s="305"/>
      <c r="Z384" s="305"/>
    </row>
    <row r="385" spans="1:26" ht="15.75" customHeight="1" x14ac:dyDescent="0.25">
      <c r="A385" s="305"/>
      <c r="B385" s="305"/>
      <c r="C385" s="305"/>
      <c r="D385" s="305"/>
      <c r="E385" s="305"/>
      <c r="F385" s="305"/>
      <c r="G385" s="305"/>
      <c r="H385" s="305"/>
      <c r="I385" s="305"/>
      <c r="J385" s="305"/>
      <c r="K385" s="305"/>
      <c r="L385" s="305"/>
      <c r="M385" s="305"/>
      <c r="N385" s="305"/>
      <c r="O385" s="305"/>
      <c r="P385" s="305"/>
      <c r="Q385" s="305"/>
      <c r="R385" s="305"/>
      <c r="S385" s="305"/>
      <c r="T385" s="305"/>
      <c r="U385" s="305"/>
      <c r="V385" s="305"/>
      <c r="W385" s="305"/>
      <c r="X385" s="305"/>
      <c r="Y385" s="305"/>
      <c r="Z385" s="305"/>
    </row>
    <row r="386" spans="1:26" ht="15.75" customHeight="1" x14ac:dyDescent="0.25">
      <c r="A386" s="305"/>
      <c r="B386" s="305"/>
      <c r="C386" s="305"/>
      <c r="D386" s="305"/>
      <c r="E386" s="305"/>
      <c r="F386" s="305"/>
      <c r="G386" s="305"/>
      <c r="H386" s="305"/>
      <c r="I386" s="305"/>
      <c r="J386" s="305"/>
      <c r="K386" s="305"/>
      <c r="L386" s="305"/>
      <c r="M386" s="305"/>
      <c r="N386" s="305"/>
      <c r="O386" s="305"/>
      <c r="P386" s="305"/>
      <c r="Q386" s="305"/>
      <c r="R386" s="305"/>
      <c r="S386" s="305"/>
      <c r="T386" s="305"/>
      <c r="U386" s="305"/>
      <c r="V386" s="305"/>
      <c r="W386" s="305"/>
      <c r="X386" s="305"/>
      <c r="Y386" s="305"/>
      <c r="Z386" s="305"/>
    </row>
    <row r="387" spans="1:26" ht="15.75" customHeight="1" x14ac:dyDescent="0.25">
      <c r="A387" s="305"/>
      <c r="B387" s="305"/>
      <c r="C387" s="305"/>
      <c r="D387" s="305"/>
      <c r="E387" s="305"/>
      <c r="F387" s="305"/>
      <c r="G387" s="305"/>
      <c r="H387" s="305"/>
      <c r="I387" s="305"/>
      <c r="J387" s="305"/>
      <c r="K387" s="305"/>
      <c r="L387" s="305"/>
      <c r="M387" s="305"/>
      <c r="N387" s="305"/>
      <c r="O387" s="305"/>
      <c r="P387" s="305"/>
      <c r="Q387" s="305"/>
      <c r="R387" s="305"/>
      <c r="S387" s="305"/>
      <c r="T387" s="305"/>
      <c r="U387" s="305"/>
      <c r="V387" s="305"/>
      <c r="W387" s="305"/>
      <c r="X387" s="305"/>
      <c r="Y387" s="305"/>
      <c r="Z387" s="305"/>
    </row>
    <row r="388" spans="1:26" ht="15.75" customHeight="1" x14ac:dyDescent="0.25">
      <c r="A388" s="305"/>
      <c r="B388" s="305"/>
      <c r="C388" s="305"/>
      <c r="D388" s="305"/>
      <c r="E388" s="305"/>
      <c r="F388" s="305"/>
      <c r="G388" s="305"/>
      <c r="H388" s="305"/>
      <c r="I388" s="305"/>
      <c r="J388" s="305"/>
      <c r="K388" s="305"/>
      <c r="L388" s="305"/>
      <c r="M388" s="305"/>
      <c r="N388" s="305"/>
      <c r="O388" s="305"/>
      <c r="P388" s="305"/>
      <c r="Q388" s="305"/>
      <c r="R388" s="305"/>
      <c r="S388" s="305"/>
      <c r="T388" s="305"/>
      <c r="U388" s="305"/>
      <c r="V388" s="305"/>
      <c r="W388" s="305"/>
      <c r="X388" s="305"/>
      <c r="Y388" s="305"/>
      <c r="Z388" s="305"/>
    </row>
    <row r="389" spans="1:26" ht="15.75" customHeight="1" x14ac:dyDescent="0.25">
      <c r="A389" s="305"/>
      <c r="B389" s="305"/>
      <c r="C389" s="305"/>
      <c r="D389" s="305"/>
      <c r="E389" s="305"/>
      <c r="F389" s="305"/>
      <c r="G389" s="305"/>
      <c r="H389" s="305"/>
      <c r="I389" s="305"/>
      <c r="J389" s="305"/>
      <c r="K389" s="305"/>
      <c r="L389" s="305"/>
      <c r="M389" s="305"/>
      <c r="N389" s="305"/>
      <c r="O389" s="305"/>
      <c r="P389" s="305"/>
      <c r="Q389" s="305"/>
      <c r="R389" s="305"/>
      <c r="S389" s="305"/>
      <c r="T389" s="305"/>
      <c r="U389" s="305"/>
      <c r="V389" s="305"/>
      <c r="W389" s="305"/>
      <c r="X389" s="305"/>
      <c r="Y389" s="305"/>
      <c r="Z389" s="305"/>
    </row>
    <row r="390" spans="1:26" ht="15.75" customHeight="1" x14ac:dyDescent="0.25">
      <c r="A390" s="305"/>
      <c r="B390" s="305"/>
      <c r="C390" s="305"/>
      <c r="D390" s="305"/>
      <c r="E390" s="305"/>
      <c r="F390" s="305"/>
      <c r="G390" s="305"/>
      <c r="H390" s="305"/>
      <c r="I390" s="305"/>
      <c r="J390" s="305"/>
      <c r="K390" s="305"/>
      <c r="L390" s="305"/>
      <c r="M390" s="305"/>
      <c r="N390" s="305"/>
      <c r="O390" s="305"/>
      <c r="P390" s="305"/>
      <c r="Q390" s="305"/>
      <c r="R390" s="305"/>
      <c r="S390" s="305"/>
      <c r="T390" s="305"/>
      <c r="U390" s="305"/>
      <c r="V390" s="305"/>
      <c r="W390" s="305"/>
      <c r="X390" s="305"/>
      <c r="Y390" s="305"/>
      <c r="Z390" s="305"/>
    </row>
    <row r="391" spans="1:26" ht="15.75" customHeight="1" x14ac:dyDescent="0.25">
      <c r="A391" s="305"/>
      <c r="B391" s="305"/>
      <c r="C391" s="305"/>
      <c r="D391" s="305"/>
      <c r="E391" s="305"/>
      <c r="F391" s="305"/>
      <c r="G391" s="305"/>
      <c r="H391" s="305"/>
      <c r="I391" s="305"/>
      <c r="J391" s="305"/>
      <c r="K391" s="305"/>
      <c r="L391" s="305"/>
      <c r="M391" s="305"/>
      <c r="N391" s="305"/>
      <c r="O391" s="305"/>
      <c r="P391" s="305"/>
      <c r="Q391" s="305"/>
      <c r="R391" s="305"/>
      <c r="S391" s="305"/>
      <c r="T391" s="305"/>
      <c r="U391" s="305"/>
      <c r="V391" s="305"/>
      <c r="W391" s="305"/>
      <c r="X391" s="305"/>
      <c r="Y391" s="305"/>
      <c r="Z391" s="305"/>
    </row>
    <row r="392" spans="1:26" ht="15.75" customHeight="1" x14ac:dyDescent="0.25">
      <c r="A392" s="305"/>
      <c r="B392" s="305"/>
      <c r="C392" s="305"/>
      <c r="D392" s="305"/>
      <c r="E392" s="305"/>
      <c r="F392" s="305"/>
      <c r="G392" s="305"/>
      <c r="H392" s="305"/>
      <c r="I392" s="305"/>
      <c r="J392" s="305"/>
      <c r="K392" s="305"/>
      <c r="L392" s="305"/>
      <c r="M392" s="305"/>
      <c r="N392" s="305"/>
      <c r="O392" s="305"/>
      <c r="P392" s="305"/>
      <c r="Q392" s="305"/>
      <c r="R392" s="305"/>
      <c r="S392" s="305"/>
      <c r="T392" s="305"/>
      <c r="U392" s="305"/>
      <c r="V392" s="305"/>
      <c r="W392" s="305"/>
      <c r="X392" s="305"/>
      <c r="Y392" s="305"/>
      <c r="Z392" s="305"/>
    </row>
    <row r="393" spans="1:26" ht="15.75" customHeight="1" x14ac:dyDescent="0.25">
      <c r="A393" s="305"/>
      <c r="B393" s="305"/>
      <c r="C393" s="305"/>
      <c r="D393" s="305"/>
      <c r="E393" s="305"/>
      <c r="F393" s="305"/>
      <c r="G393" s="305"/>
      <c r="H393" s="305"/>
      <c r="I393" s="305"/>
      <c r="J393" s="305"/>
      <c r="K393" s="305"/>
      <c r="L393" s="305"/>
      <c r="M393" s="305"/>
      <c r="N393" s="305"/>
      <c r="O393" s="305"/>
      <c r="P393" s="305"/>
      <c r="Q393" s="305"/>
      <c r="R393" s="305"/>
      <c r="S393" s="305"/>
      <c r="T393" s="305"/>
      <c r="U393" s="305"/>
      <c r="V393" s="305"/>
      <c r="W393" s="305"/>
      <c r="X393" s="305"/>
      <c r="Y393" s="305"/>
      <c r="Z393" s="305"/>
    </row>
    <row r="394" spans="1:26" ht="15.75" customHeight="1" x14ac:dyDescent="0.25">
      <c r="A394" s="305"/>
      <c r="B394" s="305"/>
      <c r="C394" s="305"/>
      <c r="D394" s="305"/>
      <c r="E394" s="305"/>
      <c r="F394" s="305"/>
      <c r="G394" s="305"/>
      <c r="H394" s="305"/>
      <c r="I394" s="305"/>
      <c r="J394" s="305"/>
      <c r="K394" s="305"/>
      <c r="L394" s="305"/>
      <c r="M394" s="305"/>
      <c r="N394" s="305"/>
      <c r="O394" s="305"/>
      <c r="P394" s="305"/>
      <c r="Q394" s="305"/>
      <c r="R394" s="305"/>
      <c r="S394" s="305"/>
      <c r="T394" s="305"/>
      <c r="U394" s="305"/>
      <c r="V394" s="305"/>
      <c r="W394" s="305"/>
      <c r="X394" s="305"/>
      <c r="Y394" s="305"/>
      <c r="Z394" s="305"/>
    </row>
    <row r="395" spans="1:26" ht="15.75" customHeight="1" x14ac:dyDescent="0.25">
      <c r="A395" s="305"/>
      <c r="B395" s="305"/>
      <c r="C395" s="305"/>
      <c r="D395" s="305"/>
      <c r="E395" s="305"/>
      <c r="F395" s="305"/>
      <c r="G395" s="305"/>
      <c r="H395" s="305"/>
      <c r="I395" s="305"/>
      <c r="J395" s="305"/>
      <c r="K395" s="305"/>
      <c r="L395" s="305"/>
      <c r="M395" s="305"/>
      <c r="N395" s="305"/>
      <c r="O395" s="305"/>
      <c r="P395" s="305"/>
      <c r="Q395" s="305"/>
      <c r="R395" s="305"/>
      <c r="S395" s="305"/>
      <c r="T395" s="305"/>
      <c r="U395" s="305"/>
      <c r="V395" s="305"/>
      <c r="W395" s="305"/>
      <c r="X395" s="305"/>
      <c r="Y395" s="305"/>
      <c r="Z395" s="305"/>
    </row>
    <row r="396" spans="1:26" ht="15.75" customHeight="1" x14ac:dyDescent="0.25">
      <c r="A396" s="305"/>
      <c r="B396" s="305"/>
      <c r="C396" s="305"/>
      <c r="D396" s="305"/>
      <c r="E396" s="305"/>
      <c r="F396" s="305"/>
      <c r="G396" s="305"/>
      <c r="H396" s="305"/>
      <c r="I396" s="305"/>
      <c r="J396" s="305"/>
      <c r="K396" s="305"/>
      <c r="L396" s="305"/>
      <c r="M396" s="305"/>
      <c r="N396" s="305"/>
      <c r="O396" s="305"/>
      <c r="P396" s="305"/>
      <c r="Q396" s="305"/>
      <c r="R396" s="305"/>
      <c r="S396" s="305"/>
      <c r="T396" s="305"/>
      <c r="U396" s="305"/>
      <c r="V396" s="305"/>
      <c r="W396" s="305"/>
      <c r="X396" s="305"/>
      <c r="Y396" s="305"/>
      <c r="Z396" s="305"/>
    </row>
    <row r="397" spans="1:26" ht="15.75" customHeight="1" x14ac:dyDescent="0.25">
      <c r="A397" s="305"/>
      <c r="B397" s="305"/>
      <c r="C397" s="305"/>
      <c r="D397" s="305"/>
      <c r="E397" s="305"/>
      <c r="F397" s="305"/>
      <c r="G397" s="305"/>
      <c r="H397" s="305"/>
      <c r="I397" s="305"/>
      <c r="J397" s="305"/>
      <c r="K397" s="305"/>
      <c r="L397" s="305"/>
      <c r="M397" s="305"/>
      <c r="N397" s="305"/>
      <c r="O397" s="305"/>
      <c r="P397" s="305"/>
      <c r="Q397" s="305"/>
      <c r="R397" s="305"/>
      <c r="S397" s="305"/>
      <c r="T397" s="305"/>
      <c r="U397" s="305"/>
      <c r="V397" s="305"/>
      <c r="W397" s="305"/>
      <c r="X397" s="305"/>
      <c r="Y397" s="305"/>
      <c r="Z397" s="305"/>
    </row>
    <row r="398" spans="1:26" ht="15.75" customHeight="1" x14ac:dyDescent="0.25">
      <c r="A398" s="305"/>
      <c r="B398" s="305"/>
      <c r="C398" s="305"/>
      <c r="D398" s="305"/>
      <c r="E398" s="305"/>
      <c r="F398" s="305"/>
      <c r="G398" s="305"/>
      <c r="H398" s="305"/>
      <c r="I398" s="305"/>
      <c r="J398" s="305"/>
      <c r="K398" s="305"/>
      <c r="L398" s="305"/>
      <c r="M398" s="305"/>
      <c r="N398" s="305"/>
      <c r="O398" s="305"/>
      <c r="P398" s="305"/>
      <c r="Q398" s="305"/>
      <c r="R398" s="305"/>
      <c r="S398" s="305"/>
      <c r="T398" s="305"/>
      <c r="U398" s="305"/>
      <c r="V398" s="305"/>
      <c r="W398" s="305"/>
      <c r="X398" s="305"/>
      <c r="Y398" s="305"/>
      <c r="Z398" s="305"/>
    </row>
    <row r="399" spans="1:26" ht="15.75" customHeight="1" x14ac:dyDescent="0.25">
      <c r="A399" s="305"/>
      <c r="B399" s="305"/>
      <c r="C399" s="305"/>
      <c r="D399" s="305"/>
      <c r="E399" s="305"/>
      <c r="F399" s="305"/>
      <c r="G399" s="305"/>
      <c r="H399" s="305"/>
      <c r="I399" s="305"/>
      <c r="J399" s="305"/>
      <c r="K399" s="305"/>
      <c r="L399" s="305"/>
      <c r="M399" s="305"/>
      <c r="N399" s="305"/>
      <c r="O399" s="305"/>
      <c r="P399" s="305"/>
      <c r="Q399" s="305"/>
      <c r="R399" s="305"/>
      <c r="S399" s="305"/>
      <c r="T399" s="305"/>
      <c r="U399" s="305"/>
      <c r="V399" s="305"/>
      <c r="W399" s="305"/>
      <c r="X399" s="305"/>
      <c r="Y399" s="305"/>
      <c r="Z399" s="305"/>
    </row>
    <row r="400" spans="1:26" ht="15.75" customHeight="1" x14ac:dyDescent="0.25">
      <c r="A400" s="305"/>
      <c r="B400" s="305"/>
      <c r="C400" s="305"/>
      <c r="D400" s="305"/>
      <c r="E400" s="305"/>
      <c r="F400" s="305"/>
      <c r="G400" s="305"/>
      <c r="H400" s="305"/>
      <c r="I400" s="305"/>
      <c r="J400" s="305"/>
      <c r="K400" s="305"/>
      <c r="L400" s="305"/>
      <c r="M400" s="305"/>
      <c r="N400" s="305"/>
      <c r="O400" s="305"/>
      <c r="P400" s="305"/>
      <c r="Q400" s="305"/>
      <c r="R400" s="305"/>
      <c r="S400" s="305"/>
      <c r="T400" s="305"/>
      <c r="U400" s="305"/>
      <c r="V400" s="305"/>
      <c r="W400" s="305"/>
      <c r="X400" s="305"/>
      <c r="Y400" s="305"/>
      <c r="Z400" s="305"/>
    </row>
    <row r="401" spans="1:26" ht="15.75" customHeight="1" x14ac:dyDescent="0.25">
      <c r="A401" s="305"/>
      <c r="B401" s="305"/>
      <c r="C401" s="305"/>
      <c r="D401" s="305"/>
      <c r="E401" s="305"/>
      <c r="F401" s="305"/>
      <c r="G401" s="305"/>
      <c r="H401" s="305"/>
      <c r="I401" s="305"/>
      <c r="J401" s="305"/>
      <c r="K401" s="305"/>
      <c r="L401" s="305"/>
      <c r="M401" s="305"/>
      <c r="N401" s="305"/>
      <c r="O401" s="305"/>
      <c r="P401" s="305"/>
      <c r="Q401" s="305"/>
      <c r="R401" s="305"/>
      <c r="S401" s="305"/>
      <c r="T401" s="305"/>
      <c r="U401" s="305"/>
      <c r="V401" s="305"/>
      <c r="W401" s="305"/>
      <c r="X401" s="305"/>
      <c r="Y401" s="305"/>
      <c r="Z401" s="305"/>
    </row>
    <row r="402" spans="1:26" ht="15.75" customHeight="1" x14ac:dyDescent="0.25">
      <c r="A402" s="305"/>
      <c r="B402" s="305"/>
      <c r="C402" s="305"/>
      <c r="D402" s="305"/>
      <c r="E402" s="305"/>
      <c r="F402" s="305"/>
      <c r="G402" s="305"/>
      <c r="H402" s="305"/>
      <c r="I402" s="305"/>
      <c r="J402" s="305"/>
      <c r="K402" s="305"/>
      <c r="L402" s="305"/>
      <c r="M402" s="305"/>
      <c r="N402" s="305"/>
      <c r="O402" s="305"/>
      <c r="P402" s="305"/>
      <c r="Q402" s="305"/>
      <c r="R402" s="305"/>
      <c r="S402" s="305"/>
      <c r="T402" s="305"/>
      <c r="U402" s="305"/>
      <c r="V402" s="305"/>
      <c r="W402" s="305"/>
      <c r="X402" s="305"/>
      <c r="Y402" s="305"/>
      <c r="Z402" s="305"/>
    </row>
    <row r="403" spans="1:26" ht="15.75" customHeight="1" x14ac:dyDescent="0.25">
      <c r="A403" s="305"/>
      <c r="B403" s="305"/>
      <c r="C403" s="305"/>
      <c r="D403" s="305"/>
      <c r="E403" s="305"/>
      <c r="F403" s="305"/>
      <c r="G403" s="305"/>
      <c r="H403" s="305"/>
      <c r="I403" s="305"/>
      <c r="J403" s="305"/>
      <c r="K403" s="305"/>
      <c r="L403" s="305"/>
      <c r="M403" s="305"/>
      <c r="N403" s="305"/>
      <c r="O403" s="305"/>
      <c r="P403" s="305"/>
      <c r="Q403" s="305"/>
      <c r="R403" s="305"/>
      <c r="S403" s="305"/>
      <c r="T403" s="305"/>
      <c r="U403" s="305"/>
      <c r="V403" s="305"/>
      <c r="W403" s="305"/>
      <c r="X403" s="305"/>
      <c r="Y403" s="305"/>
      <c r="Z403" s="305"/>
    </row>
    <row r="404" spans="1:26" ht="15.75" customHeight="1" x14ac:dyDescent="0.25">
      <c r="A404" s="305"/>
      <c r="B404" s="305"/>
      <c r="C404" s="305"/>
      <c r="D404" s="305"/>
      <c r="E404" s="305"/>
      <c r="F404" s="305"/>
      <c r="G404" s="305"/>
      <c r="H404" s="305"/>
      <c r="I404" s="305"/>
      <c r="J404" s="305"/>
      <c r="K404" s="305"/>
      <c r="L404" s="305"/>
      <c r="M404" s="305"/>
      <c r="N404" s="305"/>
      <c r="O404" s="305"/>
      <c r="P404" s="305"/>
      <c r="Q404" s="305"/>
      <c r="R404" s="305"/>
      <c r="S404" s="305"/>
      <c r="T404" s="305"/>
      <c r="U404" s="305"/>
      <c r="V404" s="305"/>
      <c r="W404" s="305"/>
      <c r="X404" s="305"/>
      <c r="Y404" s="305"/>
      <c r="Z404" s="305"/>
    </row>
    <row r="405" spans="1:26" ht="15.75" customHeight="1" x14ac:dyDescent="0.25">
      <c r="A405" s="305"/>
      <c r="B405" s="305"/>
      <c r="C405" s="305"/>
      <c r="D405" s="305"/>
      <c r="E405" s="305"/>
      <c r="F405" s="305"/>
      <c r="G405" s="305"/>
      <c r="H405" s="305"/>
      <c r="I405" s="305"/>
      <c r="J405" s="305"/>
      <c r="K405" s="305"/>
      <c r="L405" s="305"/>
      <c r="M405" s="305"/>
      <c r="N405" s="305"/>
      <c r="O405" s="305"/>
      <c r="P405" s="305"/>
      <c r="Q405" s="305"/>
      <c r="R405" s="305"/>
      <c r="S405" s="305"/>
      <c r="T405" s="305"/>
      <c r="U405" s="305"/>
      <c r="V405" s="305"/>
      <c r="W405" s="305"/>
      <c r="X405" s="305"/>
      <c r="Y405" s="305"/>
      <c r="Z405" s="305"/>
    </row>
    <row r="406" spans="1:26" ht="15.75" customHeight="1" x14ac:dyDescent="0.25">
      <c r="A406" s="305"/>
      <c r="B406" s="305"/>
      <c r="C406" s="305"/>
      <c r="D406" s="305"/>
      <c r="E406" s="305"/>
      <c r="F406" s="305"/>
      <c r="G406" s="305"/>
      <c r="H406" s="305"/>
      <c r="I406" s="305"/>
      <c r="J406" s="305"/>
      <c r="K406" s="305"/>
      <c r="L406" s="305"/>
      <c r="M406" s="305"/>
      <c r="N406" s="305"/>
      <c r="O406" s="305"/>
      <c r="P406" s="305"/>
      <c r="Q406" s="305"/>
      <c r="R406" s="305"/>
      <c r="S406" s="305"/>
      <c r="T406" s="305"/>
      <c r="U406" s="305"/>
      <c r="V406" s="305"/>
      <c r="W406" s="305"/>
      <c r="X406" s="305"/>
      <c r="Y406" s="305"/>
      <c r="Z406" s="305"/>
    </row>
    <row r="407" spans="1:26" ht="15.75" customHeight="1" x14ac:dyDescent="0.25">
      <c r="A407" s="305"/>
      <c r="B407" s="305"/>
      <c r="C407" s="305"/>
      <c r="D407" s="305"/>
      <c r="E407" s="305"/>
      <c r="F407" s="305"/>
      <c r="G407" s="305"/>
      <c r="H407" s="305"/>
      <c r="I407" s="305"/>
      <c r="J407" s="305"/>
      <c r="K407" s="305"/>
      <c r="L407" s="305"/>
      <c r="M407" s="305"/>
      <c r="N407" s="305"/>
      <c r="O407" s="305"/>
      <c r="P407" s="305"/>
      <c r="Q407" s="305"/>
      <c r="R407" s="305"/>
      <c r="S407" s="305"/>
      <c r="T407" s="305"/>
      <c r="U407" s="305"/>
      <c r="V407" s="305"/>
      <c r="W407" s="305"/>
      <c r="X407" s="305"/>
      <c r="Y407" s="305"/>
      <c r="Z407" s="305"/>
    </row>
    <row r="408" spans="1:26" ht="15.75" customHeight="1" x14ac:dyDescent="0.25">
      <c r="A408" s="305"/>
      <c r="B408" s="305"/>
      <c r="C408" s="305"/>
      <c r="D408" s="305"/>
      <c r="E408" s="305"/>
      <c r="F408" s="305"/>
      <c r="G408" s="305"/>
      <c r="H408" s="305"/>
      <c r="I408" s="305"/>
      <c r="J408" s="305"/>
      <c r="K408" s="305"/>
      <c r="L408" s="305"/>
      <c r="M408" s="305"/>
      <c r="N408" s="305"/>
      <c r="O408" s="305"/>
      <c r="P408" s="305"/>
      <c r="Q408" s="305"/>
      <c r="R408" s="305"/>
      <c r="S408" s="305"/>
      <c r="T408" s="305"/>
      <c r="U408" s="305"/>
      <c r="V408" s="305"/>
      <c r="W408" s="305"/>
      <c r="X408" s="305"/>
      <c r="Y408" s="305"/>
      <c r="Z408" s="305"/>
    </row>
    <row r="409" spans="1:26" ht="15.75" customHeight="1" x14ac:dyDescent="0.25">
      <c r="A409" s="305"/>
      <c r="B409" s="305"/>
      <c r="C409" s="305"/>
      <c r="D409" s="305"/>
      <c r="E409" s="305"/>
      <c r="F409" s="305"/>
      <c r="G409" s="305"/>
      <c r="H409" s="305"/>
      <c r="I409" s="305"/>
      <c r="J409" s="305"/>
      <c r="K409" s="305"/>
      <c r="L409" s="305"/>
      <c r="M409" s="305"/>
      <c r="N409" s="305"/>
      <c r="O409" s="305"/>
      <c r="P409" s="305"/>
      <c r="Q409" s="305"/>
      <c r="R409" s="305"/>
      <c r="S409" s="305"/>
      <c r="T409" s="305"/>
      <c r="U409" s="305"/>
      <c r="V409" s="305"/>
      <c r="W409" s="305"/>
      <c r="X409" s="305"/>
      <c r="Y409" s="305"/>
      <c r="Z409" s="305"/>
    </row>
    <row r="410" spans="1:26" ht="15.75" customHeight="1" x14ac:dyDescent="0.25">
      <c r="A410" s="305"/>
      <c r="B410" s="305"/>
      <c r="C410" s="305"/>
      <c r="D410" s="305"/>
      <c r="E410" s="305"/>
      <c r="F410" s="305"/>
      <c r="G410" s="305"/>
      <c r="H410" s="305"/>
      <c r="I410" s="305"/>
      <c r="J410" s="305"/>
      <c r="K410" s="305"/>
      <c r="L410" s="305"/>
      <c r="M410" s="305"/>
      <c r="N410" s="305"/>
      <c r="O410" s="305"/>
      <c r="P410" s="305"/>
      <c r="Q410" s="305"/>
      <c r="R410" s="305"/>
      <c r="S410" s="305"/>
      <c r="T410" s="305"/>
      <c r="U410" s="305"/>
      <c r="V410" s="305"/>
      <c r="W410" s="305"/>
      <c r="X410" s="305"/>
      <c r="Y410" s="305"/>
      <c r="Z410" s="305"/>
    </row>
    <row r="411" spans="1:26" ht="15.75" customHeight="1" x14ac:dyDescent="0.25">
      <c r="A411" s="305"/>
      <c r="B411" s="305"/>
      <c r="C411" s="305"/>
      <c r="D411" s="305"/>
      <c r="E411" s="305"/>
      <c r="F411" s="305"/>
      <c r="G411" s="305"/>
      <c r="H411" s="305"/>
      <c r="I411" s="305"/>
      <c r="J411" s="305"/>
      <c r="K411" s="305"/>
      <c r="L411" s="305"/>
      <c r="M411" s="305"/>
      <c r="N411" s="305"/>
      <c r="O411" s="305"/>
      <c r="P411" s="305"/>
      <c r="Q411" s="305"/>
      <c r="R411" s="305"/>
      <c r="S411" s="305"/>
      <c r="T411" s="305"/>
      <c r="U411" s="305"/>
      <c r="V411" s="305"/>
      <c r="W411" s="305"/>
      <c r="X411" s="305"/>
      <c r="Y411" s="305"/>
      <c r="Z411" s="305"/>
    </row>
    <row r="412" spans="1:26" ht="15.75" customHeight="1" x14ac:dyDescent="0.25">
      <c r="A412" s="305"/>
      <c r="B412" s="305"/>
      <c r="C412" s="305"/>
      <c r="D412" s="305"/>
      <c r="E412" s="305"/>
      <c r="F412" s="305"/>
      <c r="G412" s="305"/>
      <c r="H412" s="305"/>
      <c r="I412" s="305"/>
      <c r="J412" s="305"/>
      <c r="K412" s="305"/>
      <c r="L412" s="305"/>
      <c r="M412" s="305"/>
      <c r="N412" s="305"/>
      <c r="O412" s="305"/>
      <c r="P412" s="305"/>
      <c r="Q412" s="305"/>
      <c r="R412" s="305"/>
      <c r="S412" s="305"/>
      <c r="T412" s="305"/>
      <c r="U412" s="305"/>
      <c r="V412" s="305"/>
      <c r="W412" s="305"/>
      <c r="X412" s="305"/>
      <c r="Y412" s="305"/>
      <c r="Z412" s="305"/>
    </row>
    <row r="413" spans="1:26" ht="15.75" customHeight="1" x14ac:dyDescent="0.25">
      <c r="A413" s="305"/>
      <c r="B413" s="305"/>
      <c r="C413" s="305"/>
      <c r="D413" s="305"/>
      <c r="E413" s="305"/>
      <c r="F413" s="305"/>
      <c r="G413" s="305"/>
      <c r="H413" s="305"/>
      <c r="I413" s="305"/>
      <c r="J413" s="305"/>
      <c r="K413" s="305"/>
      <c r="L413" s="305"/>
      <c r="M413" s="305"/>
      <c r="N413" s="305"/>
      <c r="O413" s="305"/>
      <c r="P413" s="305"/>
      <c r="Q413" s="305"/>
      <c r="R413" s="305"/>
      <c r="S413" s="305"/>
      <c r="T413" s="305"/>
      <c r="U413" s="305"/>
      <c r="V413" s="305"/>
      <c r="W413" s="305"/>
      <c r="X413" s="305"/>
      <c r="Y413" s="305"/>
      <c r="Z413" s="305"/>
    </row>
    <row r="414" spans="1:26" ht="15.75" customHeight="1" x14ac:dyDescent="0.25">
      <c r="A414" s="305"/>
      <c r="B414" s="305"/>
      <c r="C414" s="305"/>
      <c r="D414" s="305"/>
      <c r="E414" s="305"/>
      <c r="F414" s="305"/>
      <c r="G414" s="305"/>
      <c r="H414" s="305"/>
      <c r="I414" s="305"/>
      <c r="J414" s="305"/>
      <c r="K414" s="305"/>
      <c r="L414" s="305"/>
      <c r="M414" s="305"/>
      <c r="N414" s="305"/>
      <c r="O414" s="305"/>
      <c r="P414" s="305"/>
      <c r="Q414" s="305"/>
      <c r="R414" s="305"/>
      <c r="S414" s="305"/>
      <c r="T414" s="305"/>
      <c r="U414" s="305"/>
      <c r="V414" s="305"/>
      <c r="W414" s="305"/>
      <c r="X414" s="305"/>
      <c r="Y414" s="305"/>
      <c r="Z414" s="305"/>
    </row>
    <row r="415" spans="1:26" ht="15.75" customHeight="1" x14ac:dyDescent="0.25">
      <c r="A415" s="305"/>
      <c r="B415" s="305"/>
      <c r="C415" s="305"/>
      <c r="D415" s="305"/>
      <c r="E415" s="305"/>
      <c r="F415" s="305"/>
      <c r="G415" s="305"/>
      <c r="H415" s="305"/>
      <c r="I415" s="305"/>
      <c r="J415" s="305"/>
      <c r="K415" s="305"/>
      <c r="L415" s="305"/>
      <c r="M415" s="305"/>
      <c r="N415" s="305"/>
      <c r="O415" s="305"/>
      <c r="P415" s="305"/>
      <c r="Q415" s="305"/>
      <c r="R415" s="305"/>
      <c r="S415" s="305"/>
      <c r="T415" s="305"/>
      <c r="U415" s="305"/>
      <c r="V415" s="305"/>
      <c r="W415" s="305"/>
      <c r="X415" s="305"/>
      <c r="Y415" s="305"/>
      <c r="Z415" s="305"/>
    </row>
    <row r="416" spans="1:26" ht="15.75" customHeight="1" x14ac:dyDescent="0.25">
      <c r="A416" s="305"/>
      <c r="B416" s="305"/>
      <c r="C416" s="305"/>
      <c r="D416" s="305"/>
      <c r="E416" s="305"/>
      <c r="F416" s="305"/>
      <c r="G416" s="305"/>
      <c r="H416" s="305"/>
      <c r="I416" s="305"/>
      <c r="J416" s="305"/>
      <c r="K416" s="305"/>
      <c r="L416" s="305"/>
      <c r="M416" s="305"/>
      <c r="N416" s="305"/>
      <c r="O416" s="305"/>
      <c r="P416" s="305"/>
      <c r="Q416" s="305"/>
      <c r="R416" s="305"/>
      <c r="S416" s="305"/>
      <c r="T416" s="305"/>
      <c r="U416" s="305"/>
      <c r="V416" s="305"/>
      <c r="W416" s="305"/>
      <c r="X416" s="305"/>
      <c r="Y416" s="305"/>
      <c r="Z416" s="305"/>
    </row>
    <row r="417" spans="1:26" ht="15.75" customHeight="1" x14ac:dyDescent="0.25">
      <c r="A417" s="305"/>
      <c r="B417" s="305"/>
      <c r="C417" s="305"/>
      <c r="D417" s="305"/>
      <c r="E417" s="305"/>
      <c r="F417" s="305"/>
      <c r="G417" s="305"/>
      <c r="H417" s="305"/>
      <c r="I417" s="305"/>
      <c r="J417" s="305"/>
      <c r="K417" s="305"/>
      <c r="L417" s="305"/>
      <c r="M417" s="305"/>
      <c r="N417" s="305"/>
      <c r="O417" s="305"/>
      <c r="P417" s="305"/>
      <c r="Q417" s="305"/>
      <c r="R417" s="305"/>
      <c r="S417" s="305"/>
      <c r="T417" s="305"/>
      <c r="U417" s="305"/>
      <c r="V417" s="305"/>
      <c r="W417" s="305"/>
      <c r="X417" s="305"/>
      <c r="Y417" s="305"/>
      <c r="Z417" s="305"/>
    </row>
    <row r="418" spans="1:26" ht="15.75" customHeight="1" x14ac:dyDescent="0.25">
      <c r="A418" s="305"/>
      <c r="B418" s="305"/>
      <c r="C418" s="305"/>
      <c r="D418" s="305"/>
      <c r="E418" s="305"/>
      <c r="F418" s="305"/>
      <c r="G418" s="305"/>
      <c r="H418" s="305"/>
      <c r="I418" s="305"/>
      <c r="J418" s="305"/>
      <c r="K418" s="305"/>
      <c r="L418" s="305"/>
      <c r="M418" s="305"/>
      <c r="N418" s="305"/>
      <c r="O418" s="305"/>
      <c r="P418" s="305"/>
      <c r="Q418" s="305"/>
      <c r="R418" s="305"/>
      <c r="S418" s="305"/>
      <c r="T418" s="305"/>
      <c r="U418" s="305"/>
      <c r="V418" s="305"/>
      <c r="W418" s="305"/>
      <c r="X418" s="305"/>
      <c r="Y418" s="305"/>
      <c r="Z418" s="305"/>
    </row>
    <row r="419" spans="1:26" ht="15.75" customHeight="1" x14ac:dyDescent="0.25">
      <c r="A419" s="305"/>
      <c r="B419" s="305"/>
      <c r="C419" s="305"/>
      <c r="D419" s="305"/>
      <c r="E419" s="305"/>
      <c r="F419" s="305"/>
      <c r="G419" s="305"/>
      <c r="H419" s="305"/>
      <c r="I419" s="305"/>
      <c r="J419" s="305"/>
      <c r="K419" s="305"/>
      <c r="L419" s="305"/>
      <c r="M419" s="305"/>
      <c r="N419" s="305"/>
      <c r="O419" s="305"/>
      <c r="P419" s="305"/>
      <c r="Q419" s="305"/>
      <c r="R419" s="305"/>
      <c r="S419" s="305"/>
      <c r="T419" s="305"/>
      <c r="U419" s="305"/>
      <c r="V419" s="305"/>
      <c r="W419" s="305"/>
      <c r="X419" s="305"/>
      <c r="Y419" s="305"/>
      <c r="Z419" s="305"/>
    </row>
    <row r="420" spans="1:26" ht="15.75" customHeight="1" x14ac:dyDescent="0.25">
      <c r="A420" s="305"/>
      <c r="B420" s="305"/>
      <c r="C420" s="305"/>
      <c r="D420" s="305"/>
      <c r="E420" s="305"/>
      <c r="F420" s="305"/>
      <c r="G420" s="305"/>
      <c r="H420" s="305"/>
      <c r="I420" s="305"/>
      <c r="J420" s="305"/>
      <c r="K420" s="305"/>
      <c r="L420" s="305"/>
      <c r="M420" s="305"/>
      <c r="N420" s="305"/>
      <c r="O420" s="305"/>
      <c r="P420" s="305"/>
      <c r="Q420" s="305"/>
      <c r="R420" s="305"/>
      <c r="S420" s="305"/>
      <c r="T420" s="305"/>
      <c r="U420" s="305"/>
      <c r="V420" s="305"/>
      <c r="W420" s="305"/>
      <c r="X420" s="305"/>
      <c r="Y420" s="305"/>
      <c r="Z420" s="305"/>
    </row>
    <row r="421" spans="1:26" ht="15.75" customHeight="1" x14ac:dyDescent="0.25">
      <c r="A421" s="305"/>
      <c r="B421" s="305"/>
      <c r="C421" s="305"/>
      <c r="D421" s="305"/>
      <c r="E421" s="305"/>
      <c r="F421" s="305"/>
      <c r="G421" s="305"/>
      <c r="H421" s="305"/>
      <c r="I421" s="305"/>
      <c r="J421" s="305"/>
      <c r="K421" s="305"/>
      <c r="L421" s="305"/>
      <c r="M421" s="305"/>
      <c r="N421" s="305"/>
      <c r="O421" s="305"/>
      <c r="P421" s="305"/>
      <c r="Q421" s="305"/>
      <c r="R421" s="305"/>
      <c r="S421" s="305"/>
      <c r="T421" s="305"/>
      <c r="U421" s="305"/>
      <c r="V421" s="305"/>
      <c r="W421" s="305"/>
      <c r="X421" s="305"/>
      <c r="Y421" s="305"/>
      <c r="Z421" s="305"/>
    </row>
    <row r="422" spans="1:26" ht="15.75" customHeight="1" x14ac:dyDescent="0.25">
      <c r="A422" s="305"/>
      <c r="B422" s="305"/>
      <c r="C422" s="305"/>
      <c r="D422" s="305"/>
      <c r="E422" s="305"/>
      <c r="F422" s="305"/>
      <c r="G422" s="305"/>
      <c r="H422" s="305"/>
      <c r="I422" s="305"/>
      <c r="J422" s="305"/>
      <c r="K422" s="305"/>
      <c r="L422" s="305"/>
      <c r="M422" s="305"/>
      <c r="N422" s="305"/>
      <c r="O422" s="305"/>
      <c r="P422" s="305"/>
      <c r="Q422" s="305"/>
      <c r="R422" s="305"/>
      <c r="S422" s="305"/>
      <c r="T422" s="305"/>
      <c r="U422" s="305"/>
      <c r="V422" s="305"/>
      <c r="W422" s="305"/>
      <c r="X422" s="305"/>
      <c r="Y422" s="305"/>
      <c r="Z422" s="305"/>
    </row>
    <row r="423" spans="1:26" ht="15.75" customHeight="1" x14ac:dyDescent="0.25">
      <c r="A423" s="305"/>
      <c r="B423" s="305"/>
      <c r="C423" s="305"/>
      <c r="D423" s="305"/>
      <c r="E423" s="305"/>
      <c r="F423" s="305"/>
      <c r="G423" s="305"/>
      <c r="H423" s="305"/>
      <c r="I423" s="305"/>
      <c r="J423" s="305"/>
      <c r="K423" s="305"/>
      <c r="L423" s="305"/>
      <c r="M423" s="305"/>
      <c r="N423" s="305"/>
      <c r="O423" s="305"/>
      <c r="P423" s="305"/>
      <c r="Q423" s="305"/>
      <c r="R423" s="305"/>
      <c r="S423" s="305"/>
      <c r="T423" s="305"/>
      <c r="U423" s="305"/>
      <c r="V423" s="305"/>
      <c r="W423" s="305"/>
      <c r="X423" s="305"/>
      <c r="Y423" s="305"/>
      <c r="Z423" s="305"/>
    </row>
    <row r="424" spans="1:26" ht="15.75" customHeight="1" x14ac:dyDescent="0.25">
      <c r="A424" s="305"/>
      <c r="B424" s="305"/>
      <c r="C424" s="305"/>
      <c r="D424" s="305"/>
      <c r="E424" s="305"/>
      <c r="F424" s="305"/>
      <c r="G424" s="305"/>
      <c r="H424" s="305"/>
      <c r="I424" s="305"/>
      <c r="J424" s="305"/>
      <c r="K424" s="305"/>
      <c r="L424" s="305"/>
      <c r="M424" s="305"/>
      <c r="N424" s="305"/>
      <c r="O424" s="305"/>
      <c r="P424" s="305"/>
      <c r="Q424" s="305"/>
      <c r="R424" s="305"/>
      <c r="S424" s="305"/>
      <c r="T424" s="305"/>
      <c r="U424" s="305"/>
      <c r="V424" s="305"/>
      <c r="W424" s="305"/>
      <c r="X424" s="305"/>
      <c r="Y424" s="305"/>
      <c r="Z424" s="305"/>
    </row>
    <row r="425" spans="1:26" ht="15.75" customHeight="1" x14ac:dyDescent="0.25">
      <c r="A425" s="305"/>
      <c r="B425" s="305"/>
      <c r="C425" s="305"/>
      <c r="D425" s="305"/>
      <c r="E425" s="305"/>
      <c r="F425" s="305"/>
      <c r="G425" s="305"/>
      <c r="H425" s="305"/>
      <c r="I425" s="305"/>
      <c r="J425" s="305"/>
      <c r="K425" s="305"/>
      <c r="L425" s="305"/>
      <c r="M425" s="305"/>
      <c r="N425" s="305"/>
      <c r="O425" s="305"/>
      <c r="P425" s="305"/>
      <c r="Q425" s="305"/>
      <c r="R425" s="305"/>
      <c r="S425" s="305"/>
      <c r="T425" s="305"/>
      <c r="U425" s="305"/>
      <c r="V425" s="305"/>
      <c r="W425" s="305"/>
      <c r="X425" s="305"/>
      <c r="Y425" s="305"/>
      <c r="Z425" s="305"/>
    </row>
    <row r="426" spans="1:26" ht="15.75" customHeight="1" x14ac:dyDescent="0.25">
      <c r="A426" s="305"/>
      <c r="B426" s="305"/>
      <c r="C426" s="305"/>
      <c r="D426" s="305"/>
      <c r="E426" s="305"/>
      <c r="F426" s="305"/>
      <c r="G426" s="305"/>
      <c r="H426" s="305"/>
      <c r="I426" s="305"/>
      <c r="J426" s="305"/>
      <c r="K426" s="305"/>
      <c r="L426" s="305"/>
      <c r="M426" s="305"/>
      <c r="N426" s="305"/>
      <c r="O426" s="305"/>
      <c r="P426" s="305"/>
      <c r="Q426" s="305"/>
      <c r="R426" s="305"/>
      <c r="S426" s="305"/>
      <c r="T426" s="305"/>
      <c r="U426" s="305"/>
      <c r="V426" s="305"/>
      <c r="W426" s="305"/>
      <c r="X426" s="305"/>
      <c r="Y426" s="305"/>
      <c r="Z426" s="305"/>
    </row>
    <row r="427" spans="1:26" ht="15.75" customHeight="1" x14ac:dyDescent="0.25">
      <c r="A427" s="305"/>
      <c r="B427" s="305"/>
      <c r="C427" s="305"/>
      <c r="D427" s="305"/>
      <c r="E427" s="305"/>
      <c r="F427" s="305"/>
      <c r="G427" s="305"/>
      <c r="H427" s="305"/>
      <c r="I427" s="305"/>
      <c r="J427" s="305"/>
      <c r="K427" s="305"/>
      <c r="L427" s="305"/>
      <c r="M427" s="305"/>
      <c r="N427" s="305"/>
      <c r="O427" s="305"/>
      <c r="P427" s="305"/>
      <c r="Q427" s="305"/>
      <c r="R427" s="305"/>
      <c r="S427" s="305"/>
      <c r="T427" s="305"/>
      <c r="U427" s="305"/>
      <c r="V427" s="305"/>
      <c r="W427" s="305"/>
      <c r="X427" s="305"/>
      <c r="Y427" s="305"/>
      <c r="Z427" s="305"/>
    </row>
    <row r="428" spans="1:26" ht="15.75" customHeight="1" x14ac:dyDescent="0.25">
      <c r="A428" s="305"/>
      <c r="B428" s="305"/>
      <c r="C428" s="305"/>
      <c r="D428" s="305"/>
      <c r="E428" s="305"/>
      <c r="F428" s="305"/>
      <c r="G428" s="305"/>
      <c r="H428" s="305"/>
      <c r="I428" s="305"/>
      <c r="J428" s="305"/>
      <c r="K428" s="305"/>
      <c r="L428" s="305"/>
      <c r="M428" s="305"/>
      <c r="N428" s="305"/>
      <c r="O428" s="305"/>
      <c r="P428" s="305"/>
      <c r="Q428" s="305"/>
      <c r="R428" s="305"/>
      <c r="S428" s="305"/>
      <c r="T428" s="305"/>
      <c r="U428" s="305"/>
      <c r="V428" s="305"/>
      <c r="W428" s="305"/>
      <c r="X428" s="305"/>
      <c r="Y428" s="305"/>
      <c r="Z428" s="305"/>
    </row>
    <row r="429" spans="1:26" ht="15.75" customHeight="1" x14ac:dyDescent="0.25">
      <c r="A429" s="305"/>
      <c r="B429" s="305"/>
      <c r="C429" s="305"/>
      <c r="D429" s="305"/>
      <c r="E429" s="305"/>
      <c r="F429" s="305"/>
      <c r="G429" s="305"/>
      <c r="H429" s="305"/>
      <c r="I429" s="305"/>
      <c r="J429" s="305"/>
      <c r="K429" s="305"/>
      <c r="L429" s="305"/>
      <c r="M429" s="305"/>
      <c r="N429" s="305"/>
      <c r="O429" s="305"/>
      <c r="P429" s="305"/>
      <c r="Q429" s="305"/>
      <c r="R429" s="305"/>
      <c r="S429" s="305"/>
      <c r="T429" s="305"/>
      <c r="U429" s="305"/>
      <c r="V429" s="305"/>
      <c r="W429" s="305"/>
      <c r="X429" s="305"/>
      <c r="Y429" s="305"/>
      <c r="Z429" s="305"/>
    </row>
    <row r="430" spans="1:26" ht="15.75" customHeight="1" x14ac:dyDescent="0.25">
      <c r="A430" s="305"/>
      <c r="B430" s="305"/>
      <c r="C430" s="305"/>
      <c r="D430" s="305"/>
      <c r="E430" s="305"/>
      <c r="F430" s="305"/>
      <c r="G430" s="305"/>
      <c r="H430" s="305"/>
      <c r="I430" s="305"/>
      <c r="J430" s="305"/>
      <c r="K430" s="305"/>
      <c r="L430" s="305"/>
      <c r="M430" s="305"/>
      <c r="N430" s="305"/>
      <c r="O430" s="305"/>
      <c r="P430" s="305"/>
      <c r="Q430" s="305"/>
      <c r="R430" s="305"/>
      <c r="S430" s="305"/>
      <c r="T430" s="305"/>
      <c r="U430" s="305"/>
      <c r="V430" s="305"/>
      <c r="W430" s="305"/>
      <c r="X430" s="305"/>
      <c r="Y430" s="305"/>
      <c r="Z430" s="305"/>
    </row>
    <row r="431" spans="1:26" ht="15.75" customHeight="1" x14ac:dyDescent="0.25">
      <c r="A431" s="305"/>
      <c r="B431" s="305"/>
      <c r="C431" s="305"/>
      <c r="D431" s="305"/>
      <c r="E431" s="305"/>
      <c r="F431" s="305"/>
      <c r="G431" s="305"/>
      <c r="H431" s="305"/>
      <c r="I431" s="305"/>
      <c r="J431" s="305"/>
      <c r="K431" s="305"/>
      <c r="L431" s="305"/>
      <c r="M431" s="305"/>
      <c r="N431" s="305"/>
      <c r="O431" s="305"/>
      <c r="P431" s="305"/>
      <c r="Q431" s="305"/>
      <c r="R431" s="305"/>
      <c r="S431" s="305"/>
      <c r="T431" s="305"/>
      <c r="U431" s="305"/>
      <c r="V431" s="305"/>
      <c r="W431" s="305"/>
      <c r="X431" s="305"/>
      <c r="Y431" s="305"/>
      <c r="Z431" s="305"/>
    </row>
    <row r="432" spans="1:26" ht="15.75" customHeight="1" x14ac:dyDescent="0.25">
      <c r="A432" s="305"/>
      <c r="B432" s="305"/>
      <c r="C432" s="305"/>
      <c r="D432" s="305"/>
      <c r="E432" s="305"/>
      <c r="F432" s="305"/>
      <c r="G432" s="305"/>
      <c r="H432" s="305"/>
      <c r="I432" s="305"/>
      <c r="J432" s="305"/>
      <c r="K432" s="305"/>
      <c r="L432" s="305"/>
      <c r="M432" s="305"/>
      <c r="N432" s="305"/>
      <c r="O432" s="305"/>
      <c r="P432" s="305"/>
      <c r="Q432" s="305"/>
      <c r="R432" s="305"/>
      <c r="S432" s="305"/>
      <c r="T432" s="305"/>
      <c r="U432" s="305"/>
      <c r="V432" s="305"/>
      <c r="W432" s="305"/>
      <c r="X432" s="305"/>
      <c r="Y432" s="305"/>
      <c r="Z432" s="305"/>
    </row>
    <row r="433" spans="1:26" ht="15.75" customHeight="1" x14ac:dyDescent="0.25">
      <c r="A433" s="305"/>
      <c r="B433" s="305"/>
      <c r="C433" s="305"/>
      <c r="D433" s="305"/>
      <c r="E433" s="305"/>
      <c r="F433" s="305"/>
      <c r="G433" s="305"/>
      <c r="H433" s="305"/>
      <c r="I433" s="305"/>
      <c r="J433" s="305"/>
      <c r="K433" s="305"/>
      <c r="L433" s="305"/>
      <c r="M433" s="305"/>
      <c r="N433" s="305"/>
      <c r="O433" s="305"/>
      <c r="P433" s="305"/>
      <c r="Q433" s="305"/>
      <c r="R433" s="305"/>
      <c r="S433" s="305"/>
      <c r="T433" s="305"/>
      <c r="U433" s="305"/>
      <c r="V433" s="305"/>
      <c r="W433" s="305"/>
      <c r="X433" s="305"/>
      <c r="Y433" s="305"/>
      <c r="Z433" s="305"/>
    </row>
    <row r="434" spans="1:26" ht="15.75" customHeight="1" x14ac:dyDescent="0.25">
      <c r="A434" s="305"/>
      <c r="B434" s="305"/>
      <c r="C434" s="305"/>
      <c r="D434" s="305"/>
      <c r="E434" s="305"/>
      <c r="F434" s="305"/>
      <c r="G434" s="305"/>
      <c r="H434" s="305"/>
      <c r="I434" s="305"/>
      <c r="J434" s="305"/>
      <c r="K434" s="305"/>
      <c r="L434" s="305"/>
      <c r="M434" s="305"/>
      <c r="N434" s="305"/>
      <c r="O434" s="305"/>
      <c r="P434" s="305"/>
      <c r="Q434" s="305"/>
      <c r="R434" s="305"/>
      <c r="S434" s="305"/>
      <c r="T434" s="305"/>
      <c r="U434" s="305"/>
      <c r="V434" s="305"/>
      <c r="W434" s="305"/>
      <c r="X434" s="305"/>
      <c r="Y434" s="305"/>
      <c r="Z434" s="305"/>
    </row>
    <row r="435" spans="1:26" ht="15.75" customHeight="1" x14ac:dyDescent="0.25">
      <c r="A435" s="305"/>
      <c r="B435" s="305"/>
      <c r="C435" s="305"/>
      <c r="D435" s="305"/>
      <c r="E435" s="305"/>
      <c r="F435" s="305"/>
      <c r="G435" s="305"/>
      <c r="H435" s="305"/>
      <c r="I435" s="305"/>
      <c r="J435" s="305"/>
      <c r="K435" s="305"/>
      <c r="L435" s="305"/>
      <c r="M435" s="305"/>
      <c r="N435" s="305"/>
      <c r="O435" s="305"/>
      <c r="P435" s="305"/>
      <c r="Q435" s="305"/>
      <c r="R435" s="305"/>
      <c r="S435" s="305"/>
      <c r="T435" s="305"/>
      <c r="U435" s="305"/>
      <c r="V435" s="305"/>
      <c r="W435" s="305"/>
      <c r="X435" s="305"/>
      <c r="Y435" s="305"/>
      <c r="Z435" s="305"/>
    </row>
    <row r="436" spans="1:26" ht="15.75" customHeight="1" x14ac:dyDescent="0.25">
      <c r="A436" s="305"/>
      <c r="B436" s="305"/>
      <c r="C436" s="305"/>
      <c r="D436" s="305"/>
      <c r="E436" s="305"/>
      <c r="F436" s="305"/>
      <c r="G436" s="305"/>
      <c r="H436" s="305"/>
      <c r="I436" s="305"/>
      <c r="J436" s="305"/>
      <c r="K436" s="305"/>
      <c r="L436" s="305"/>
      <c r="M436" s="305"/>
      <c r="N436" s="305"/>
      <c r="O436" s="305"/>
      <c r="P436" s="305"/>
      <c r="Q436" s="305"/>
      <c r="R436" s="305"/>
      <c r="S436" s="305"/>
      <c r="T436" s="305"/>
      <c r="U436" s="305"/>
      <c r="V436" s="305"/>
      <c r="W436" s="305"/>
      <c r="X436" s="305"/>
      <c r="Y436" s="305"/>
      <c r="Z436" s="305"/>
    </row>
    <row r="437" spans="1:26" ht="15.75" customHeight="1" x14ac:dyDescent="0.25">
      <c r="A437" s="305"/>
      <c r="B437" s="305"/>
      <c r="C437" s="305"/>
      <c r="D437" s="305"/>
      <c r="E437" s="305"/>
      <c r="F437" s="305"/>
      <c r="G437" s="305"/>
      <c r="H437" s="305"/>
      <c r="I437" s="305"/>
      <c r="J437" s="305"/>
      <c r="K437" s="305"/>
      <c r="L437" s="305"/>
      <c r="M437" s="305"/>
      <c r="N437" s="305"/>
      <c r="O437" s="305"/>
      <c r="P437" s="305"/>
      <c r="Q437" s="305"/>
      <c r="R437" s="305"/>
      <c r="S437" s="305"/>
      <c r="T437" s="305"/>
      <c r="U437" s="305"/>
      <c r="V437" s="305"/>
      <c r="W437" s="305"/>
      <c r="X437" s="305"/>
      <c r="Y437" s="305"/>
      <c r="Z437" s="305"/>
    </row>
    <row r="438" spans="1:26" ht="15.75" customHeight="1" x14ac:dyDescent="0.25">
      <c r="A438" s="305"/>
      <c r="B438" s="305"/>
      <c r="C438" s="305"/>
      <c r="D438" s="305"/>
      <c r="E438" s="305"/>
      <c r="F438" s="305"/>
      <c r="G438" s="305"/>
      <c r="H438" s="305"/>
      <c r="I438" s="305"/>
      <c r="J438" s="305"/>
      <c r="K438" s="305"/>
      <c r="L438" s="305"/>
      <c r="M438" s="305"/>
      <c r="N438" s="305"/>
      <c r="O438" s="305"/>
      <c r="P438" s="305"/>
      <c r="Q438" s="305"/>
      <c r="R438" s="305"/>
      <c r="S438" s="305"/>
      <c r="T438" s="305"/>
      <c r="U438" s="305"/>
      <c r="V438" s="305"/>
      <c r="W438" s="305"/>
      <c r="X438" s="305"/>
      <c r="Y438" s="305"/>
      <c r="Z438" s="305"/>
    </row>
    <row r="439" spans="1:26" ht="15.75" customHeight="1" x14ac:dyDescent="0.25">
      <c r="A439" s="305"/>
      <c r="B439" s="305"/>
      <c r="C439" s="305"/>
      <c r="D439" s="305"/>
      <c r="E439" s="305"/>
      <c r="F439" s="305"/>
      <c r="G439" s="305"/>
      <c r="H439" s="305"/>
      <c r="I439" s="305"/>
      <c r="J439" s="305"/>
      <c r="K439" s="305"/>
      <c r="L439" s="305"/>
      <c r="M439" s="305"/>
      <c r="N439" s="305"/>
      <c r="O439" s="305"/>
      <c r="P439" s="305"/>
      <c r="Q439" s="305"/>
      <c r="R439" s="305"/>
      <c r="S439" s="305"/>
      <c r="T439" s="305"/>
      <c r="U439" s="305"/>
      <c r="V439" s="305"/>
      <c r="W439" s="305"/>
      <c r="X439" s="305"/>
      <c r="Y439" s="305"/>
      <c r="Z439" s="305"/>
    </row>
    <row r="440" spans="1:26" ht="15.75" customHeight="1" x14ac:dyDescent="0.25">
      <c r="A440" s="305"/>
      <c r="B440" s="305"/>
      <c r="C440" s="305"/>
      <c r="D440" s="305"/>
      <c r="E440" s="305"/>
      <c r="F440" s="305"/>
      <c r="G440" s="305"/>
      <c r="H440" s="305"/>
      <c r="I440" s="305"/>
      <c r="J440" s="305"/>
      <c r="K440" s="305"/>
      <c r="L440" s="305"/>
      <c r="M440" s="305"/>
      <c r="N440" s="305"/>
      <c r="O440" s="305"/>
      <c r="P440" s="305"/>
      <c r="Q440" s="305"/>
      <c r="R440" s="305"/>
      <c r="S440" s="305"/>
      <c r="T440" s="305"/>
      <c r="U440" s="305"/>
      <c r="V440" s="305"/>
      <c r="W440" s="305"/>
      <c r="X440" s="305"/>
      <c r="Y440" s="305"/>
      <c r="Z440" s="305"/>
    </row>
    <row r="441" spans="1:26" ht="15.75" customHeight="1" x14ac:dyDescent="0.25">
      <c r="A441" s="305"/>
      <c r="B441" s="305"/>
      <c r="C441" s="305"/>
      <c r="D441" s="305"/>
      <c r="E441" s="305"/>
      <c r="F441" s="305"/>
      <c r="G441" s="305"/>
      <c r="H441" s="305"/>
      <c r="I441" s="305"/>
      <c r="J441" s="305"/>
      <c r="K441" s="305"/>
      <c r="L441" s="305"/>
      <c r="M441" s="305"/>
      <c r="N441" s="305"/>
      <c r="O441" s="305"/>
      <c r="P441" s="305"/>
      <c r="Q441" s="305"/>
      <c r="R441" s="305"/>
      <c r="S441" s="305"/>
      <c r="T441" s="305"/>
      <c r="U441" s="305"/>
      <c r="V441" s="305"/>
      <c r="W441" s="305"/>
      <c r="X441" s="305"/>
      <c r="Y441" s="305"/>
      <c r="Z441" s="305"/>
    </row>
    <row r="442" spans="1:26" ht="15.75" customHeight="1" x14ac:dyDescent="0.25">
      <c r="A442" s="305"/>
      <c r="B442" s="305"/>
      <c r="C442" s="305"/>
      <c r="D442" s="305"/>
      <c r="E442" s="305"/>
      <c r="F442" s="305"/>
      <c r="G442" s="305"/>
      <c r="H442" s="305"/>
      <c r="I442" s="305"/>
      <c r="J442" s="305"/>
      <c r="K442" s="305"/>
      <c r="L442" s="305"/>
      <c r="M442" s="305"/>
      <c r="N442" s="305"/>
      <c r="O442" s="305"/>
      <c r="P442" s="305"/>
      <c r="Q442" s="305"/>
      <c r="R442" s="305"/>
      <c r="S442" s="305"/>
      <c r="T442" s="305"/>
      <c r="U442" s="305"/>
      <c r="V442" s="305"/>
      <c r="W442" s="305"/>
      <c r="X442" s="305"/>
      <c r="Y442" s="305"/>
      <c r="Z442" s="305"/>
    </row>
    <row r="443" spans="1:26" ht="15.75" customHeight="1" x14ac:dyDescent="0.25">
      <c r="A443" s="305"/>
      <c r="B443" s="305"/>
      <c r="C443" s="305"/>
      <c r="D443" s="305"/>
      <c r="E443" s="305"/>
      <c r="F443" s="305"/>
      <c r="G443" s="305"/>
      <c r="H443" s="305"/>
      <c r="I443" s="305"/>
      <c r="J443" s="305"/>
      <c r="K443" s="305"/>
      <c r="L443" s="305"/>
      <c r="M443" s="305"/>
      <c r="N443" s="305"/>
      <c r="O443" s="305"/>
      <c r="P443" s="305"/>
      <c r="Q443" s="305"/>
      <c r="R443" s="305"/>
      <c r="S443" s="305"/>
      <c r="T443" s="305"/>
      <c r="U443" s="305"/>
      <c r="V443" s="305"/>
      <c r="W443" s="305"/>
      <c r="X443" s="305"/>
      <c r="Y443" s="305"/>
      <c r="Z443" s="305"/>
    </row>
    <row r="444" spans="1:26" ht="15.75" customHeight="1" x14ac:dyDescent="0.25">
      <c r="A444" s="305"/>
      <c r="B444" s="305"/>
      <c r="C444" s="305"/>
      <c r="D444" s="305"/>
      <c r="E444" s="305"/>
      <c r="F444" s="305"/>
      <c r="G444" s="305"/>
      <c r="H444" s="305"/>
      <c r="I444" s="305"/>
      <c r="J444" s="305"/>
      <c r="K444" s="305"/>
      <c r="L444" s="305"/>
      <c r="M444" s="305"/>
      <c r="N444" s="305"/>
      <c r="O444" s="305"/>
      <c r="P444" s="305"/>
      <c r="Q444" s="305"/>
      <c r="R444" s="305"/>
      <c r="S444" s="305"/>
      <c r="T444" s="305"/>
      <c r="U444" s="305"/>
      <c r="V444" s="305"/>
      <c r="W444" s="305"/>
      <c r="X444" s="305"/>
      <c r="Y444" s="305"/>
      <c r="Z444" s="305"/>
    </row>
    <row r="445" spans="1:26" ht="15.75" customHeight="1" x14ac:dyDescent="0.25">
      <c r="A445" s="305"/>
      <c r="B445" s="305"/>
      <c r="C445" s="305"/>
      <c r="D445" s="305"/>
      <c r="E445" s="305"/>
      <c r="F445" s="305"/>
      <c r="G445" s="305"/>
      <c r="H445" s="305"/>
      <c r="I445" s="305"/>
      <c r="J445" s="305"/>
      <c r="K445" s="305"/>
      <c r="L445" s="305"/>
      <c r="M445" s="305"/>
      <c r="N445" s="305"/>
      <c r="O445" s="305"/>
      <c r="P445" s="305"/>
      <c r="Q445" s="305"/>
      <c r="R445" s="305"/>
      <c r="S445" s="305"/>
      <c r="T445" s="305"/>
      <c r="U445" s="305"/>
      <c r="V445" s="305"/>
      <c r="W445" s="305"/>
      <c r="X445" s="305"/>
      <c r="Y445" s="305"/>
      <c r="Z445" s="305"/>
    </row>
    <row r="446" spans="1:26" ht="15.75" customHeight="1" x14ac:dyDescent="0.25">
      <c r="A446" s="305"/>
      <c r="B446" s="305"/>
      <c r="C446" s="305"/>
      <c r="D446" s="305"/>
      <c r="E446" s="305"/>
      <c r="F446" s="305"/>
      <c r="G446" s="305"/>
      <c r="H446" s="305"/>
      <c r="I446" s="305"/>
      <c r="J446" s="305"/>
      <c r="K446" s="305"/>
      <c r="L446" s="305"/>
      <c r="M446" s="305"/>
      <c r="N446" s="305"/>
      <c r="O446" s="305"/>
      <c r="P446" s="305"/>
      <c r="Q446" s="305"/>
      <c r="R446" s="305"/>
      <c r="S446" s="305"/>
      <c r="T446" s="305"/>
      <c r="U446" s="305"/>
      <c r="V446" s="305"/>
      <c r="W446" s="305"/>
      <c r="X446" s="305"/>
      <c r="Y446" s="305"/>
      <c r="Z446" s="305"/>
    </row>
    <row r="447" spans="1:26" ht="15.75" customHeight="1" x14ac:dyDescent="0.25">
      <c r="A447" s="305"/>
      <c r="B447" s="305"/>
      <c r="C447" s="305"/>
      <c r="D447" s="305"/>
      <c r="E447" s="305"/>
      <c r="F447" s="305"/>
      <c r="G447" s="305"/>
      <c r="H447" s="305"/>
      <c r="I447" s="305"/>
      <c r="J447" s="305"/>
      <c r="K447" s="305"/>
      <c r="L447" s="305"/>
      <c r="M447" s="305"/>
      <c r="N447" s="305"/>
      <c r="O447" s="305"/>
      <c r="P447" s="305"/>
      <c r="Q447" s="305"/>
      <c r="R447" s="305"/>
      <c r="S447" s="305"/>
      <c r="T447" s="305"/>
      <c r="U447" s="305"/>
      <c r="V447" s="305"/>
      <c r="W447" s="305"/>
      <c r="X447" s="305"/>
      <c r="Y447" s="305"/>
      <c r="Z447" s="305"/>
    </row>
    <row r="448" spans="1:26" ht="15.75" customHeight="1" x14ac:dyDescent="0.25">
      <c r="A448" s="305"/>
      <c r="B448" s="305"/>
      <c r="C448" s="305"/>
      <c r="D448" s="305"/>
      <c r="E448" s="305"/>
      <c r="F448" s="305"/>
      <c r="G448" s="305"/>
      <c r="H448" s="305"/>
      <c r="I448" s="305"/>
      <c r="J448" s="305"/>
      <c r="K448" s="305"/>
      <c r="L448" s="305"/>
      <c r="M448" s="305"/>
      <c r="N448" s="305"/>
      <c r="O448" s="305"/>
      <c r="P448" s="305"/>
      <c r="Q448" s="305"/>
      <c r="R448" s="305"/>
      <c r="S448" s="305"/>
      <c r="T448" s="305"/>
      <c r="U448" s="305"/>
      <c r="V448" s="305"/>
      <c r="W448" s="305"/>
      <c r="X448" s="305"/>
      <c r="Y448" s="305"/>
      <c r="Z448" s="305"/>
    </row>
    <row r="449" spans="1:26" ht="15.75" customHeight="1" x14ac:dyDescent="0.25">
      <c r="A449" s="305"/>
      <c r="B449" s="305"/>
      <c r="C449" s="305"/>
      <c r="D449" s="305"/>
      <c r="E449" s="305"/>
      <c r="F449" s="305"/>
      <c r="G449" s="305"/>
      <c r="H449" s="305"/>
      <c r="I449" s="305"/>
      <c r="J449" s="305"/>
      <c r="K449" s="305"/>
      <c r="L449" s="305"/>
      <c r="M449" s="305"/>
      <c r="N449" s="305"/>
      <c r="O449" s="305"/>
      <c r="P449" s="305"/>
      <c r="Q449" s="305"/>
      <c r="R449" s="305"/>
      <c r="S449" s="305"/>
      <c r="T449" s="305"/>
      <c r="U449" s="305"/>
      <c r="V449" s="305"/>
      <c r="W449" s="305"/>
      <c r="X449" s="305"/>
      <c r="Y449" s="305"/>
      <c r="Z449" s="305"/>
    </row>
    <row r="450" spans="1:26" ht="15.75" customHeight="1" x14ac:dyDescent="0.25">
      <c r="A450" s="305"/>
      <c r="B450" s="305"/>
      <c r="C450" s="305"/>
      <c r="D450" s="305"/>
      <c r="E450" s="305"/>
      <c r="F450" s="305"/>
      <c r="G450" s="305"/>
      <c r="H450" s="305"/>
      <c r="I450" s="305"/>
      <c r="J450" s="305"/>
      <c r="K450" s="305"/>
      <c r="L450" s="305"/>
      <c r="M450" s="305"/>
      <c r="N450" s="305"/>
      <c r="O450" s="305"/>
      <c r="P450" s="305"/>
      <c r="Q450" s="305"/>
      <c r="R450" s="305"/>
      <c r="S450" s="305"/>
      <c r="T450" s="305"/>
      <c r="U450" s="305"/>
      <c r="V450" s="305"/>
      <c r="W450" s="305"/>
      <c r="X450" s="305"/>
      <c r="Y450" s="305"/>
      <c r="Z450" s="305"/>
    </row>
    <row r="451" spans="1:26" ht="15.75" customHeight="1" x14ac:dyDescent="0.25">
      <c r="A451" s="305"/>
      <c r="B451" s="305"/>
      <c r="C451" s="305"/>
      <c r="D451" s="305"/>
      <c r="E451" s="305"/>
      <c r="F451" s="305"/>
      <c r="G451" s="305"/>
      <c r="H451" s="305"/>
      <c r="I451" s="305"/>
      <c r="J451" s="305"/>
      <c r="K451" s="305"/>
      <c r="L451" s="305"/>
      <c r="M451" s="305"/>
      <c r="N451" s="305"/>
      <c r="O451" s="305"/>
      <c r="P451" s="305"/>
      <c r="Q451" s="305"/>
      <c r="R451" s="305"/>
      <c r="S451" s="305"/>
      <c r="T451" s="305"/>
      <c r="U451" s="305"/>
      <c r="V451" s="305"/>
      <c r="W451" s="305"/>
      <c r="X451" s="305"/>
      <c r="Y451" s="305"/>
      <c r="Z451" s="305"/>
    </row>
    <row r="452" spans="1:26" ht="15.75" customHeight="1" x14ac:dyDescent="0.25">
      <c r="A452" s="305"/>
      <c r="B452" s="305"/>
      <c r="C452" s="305"/>
      <c r="D452" s="305"/>
      <c r="E452" s="305"/>
      <c r="F452" s="305"/>
      <c r="G452" s="305"/>
      <c r="H452" s="305"/>
      <c r="I452" s="305"/>
      <c r="J452" s="305"/>
      <c r="K452" s="305"/>
      <c r="L452" s="305"/>
      <c r="M452" s="305"/>
      <c r="N452" s="305"/>
      <c r="O452" s="305"/>
      <c r="P452" s="305"/>
      <c r="Q452" s="305"/>
      <c r="R452" s="305"/>
      <c r="S452" s="305"/>
      <c r="T452" s="305"/>
      <c r="U452" s="305"/>
      <c r="V452" s="305"/>
      <c r="W452" s="305"/>
      <c r="X452" s="305"/>
      <c r="Y452" s="305"/>
      <c r="Z452" s="305"/>
    </row>
    <row r="453" spans="1:26" ht="15.75" customHeight="1" x14ac:dyDescent="0.25">
      <c r="A453" s="305"/>
      <c r="B453" s="305"/>
      <c r="C453" s="305"/>
      <c r="D453" s="305"/>
      <c r="E453" s="305"/>
      <c r="F453" s="305"/>
      <c r="G453" s="305"/>
      <c r="H453" s="305"/>
      <c r="I453" s="305"/>
      <c r="J453" s="305"/>
      <c r="K453" s="305"/>
      <c r="L453" s="305"/>
      <c r="M453" s="305"/>
      <c r="N453" s="305"/>
      <c r="O453" s="305"/>
      <c r="P453" s="305"/>
      <c r="Q453" s="305"/>
      <c r="R453" s="305"/>
      <c r="S453" s="305"/>
      <c r="T453" s="305"/>
      <c r="U453" s="305"/>
      <c r="V453" s="305"/>
      <c r="W453" s="305"/>
      <c r="X453" s="305"/>
      <c r="Y453" s="305"/>
      <c r="Z453" s="305"/>
    </row>
    <row r="454" spans="1:26" ht="15.75" customHeight="1" x14ac:dyDescent="0.25">
      <c r="A454" s="305"/>
      <c r="B454" s="305"/>
      <c r="C454" s="305"/>
      <c r="D454" s="305"/>
      <c r="E454" s="305"/>
      <c r="F454" s="305"/>
      <c r="G454" s="305"/>
      <c r="H454" s="305"/>
      <c r="I454" s="305"/>
      <c r="J454" s="305"/>
      <c r="K454" s="305"/>
      <c r="L454" s="305"/>
      <c r="M454" s="305"/>
      <c r="N454" s="305"/>
      <c r="O454" s="305"/>
      <c r="P454" s="305"/>
      <c r="Q454" s="305"/>
      <c r="R454" s="305"/>
      <c r="S454" s="305"/>
      <c r="T454" s="305"/>
      <c r="U454" s="305"/>
      <c r="V454" s="305"/>
      <c r="W454" s="305"/>
      <c r="X454" s="305"/>
      <c r="Y454" s="305"/>
      <c r="Z454" s="305"/>
    </row>
    <row r="455" spans="1:26" ht="15.75" customHeight="1" x14ac:dyDescent="0.25">
      <c r="A455" s="305"/>
      <c r="B455" s="305"/>
      <c r="C455" s="305"/>
      <c r="D455" s="305"/>
      <c r="E455" s="305"/>
      <c r="F455" s="305"/>
      <c r="G455" s="305"/>
      <c r="H455" s="305"/>
      <c r="I455" s="305"/>
      <c r="J455" s="305"/>
      <c r="K455" s="305"/>
      <c r="L455" s="305"/>
      <c r="M455" s="305"/>
      <c r="N455" s="305"/>
      <c r="O455" s="305"/>
      <c r="P455" s="305"/>
      <c r="Q455" s="305"/>
      <c r="R455" s="305"/>
      <c r="S455" s="305"/>
      <c r="T455" s="305"/>
      <c r="U455" s="305"/>
      <c r="V455" s="305"/>
      <c r="W455" s="305"/>
      <c r="X455" s="305"/>
      <c r="Y455" s="305"/>
      <c r="Z455" s="305"/>
    </row>
    <row r="456" spans="1:26" ht="15.75" customHeight="1" x14ac:dyDescent="0.25">
      <c r="A456" s="305"/>
      <c r="B456" s="305"/>
      <c r="C456" s="305"/>
      <c r="D456" s="305"/>
      <c r="E456" s="305"/>
      <c r="F456" s="305"/>
      <c r="G456" s="305"/>
      <c r="H456" s="305"/>
      <c r="I456" s="305"/>
      <c r="J456" s="305"/>
      <c r="K456" s="305"/>
      <c r="L456" s="305"/>
      <c r="M456" s="305"/>
      <c r="N456" s="305"/>
      <c r="O456" s="305"/>
      <c r="P456" s="305"/>
      <c r="Q456" s="305"/>
      <c r="R456" s="305"/>
      <c r="S456" s="305"/>
      <c r="T456" s="305"/>
      <c r="U456" s="305"/>
      <c r="V456" s="305"/>
      <c r="W456" s="305"/>
      <c r="X456" s="305"/>
      <c r="Y456" s="305"/>
      <c r="Z456" s="305"/>
    </row>
    <row r="457" spans="1:26" ht="15.75" customHeight="1" x14ac:dyDescent="0.25">
      <c r="A457" s="305"/>
      <c r="B457" s="305"/>
      <c r="C457" s="305"/>
      <c r="D457" s="305"/>
      <c r="E457" s="305"/>
      <c r="F457" s="305"/>
      <c r="G457" s="305"/>
      <c r="H457" s="305"/>
      <c r="I457" s="305"/>
      <c r="J457" s="305"/>
      <c r="K457" s="305"/>
      <c r="L457" s="305"/>
      <c r="M457" s="305"/>
      <c r="N457" s="305"/>
      <c r="O457" s="305"/>
      <c r="P457" s="305"/>
      <c r="Q457" s="305"/>
      <c r="R457" s="305"/>
      <c r="S457" s="305"/>
      <c r="T457" s="305"/>
      <c r="U457" s="305"/>
      <c r="V457" s="305"/>
      <c r="W457" s="305"/>
      <c r="X457" s="305"/>
      <c r="Y457" s="305"/>
      <c r="Z457" s="305"/>
    </row>
    <row r="458" spans="1:26" ht="15.75" customHeight="1" x14ac:dyDescent="0.25">
      <c r="A458" s="305"/>
      <c r="B458" s="305"/>
      <c r="C458" s="305"/>
      <c r="D458" s="305"/>
      <c r="E458" s="305"/>
      <c r="F458" s="305"/>
      <c r="G458" s="305"/>
      <c r="H458" s="305"/>
      <c r="I458" s="305"/>
      <c r="J458" s="305"/>
      <c r="K458" s="305"/>
      <c r="L458" s="305"/>
      <c r="M458" s="305"/>
      <c r="N458" s="305"/>
      <c r="O458" s="305"/>
      <c r="P458" s="305"/>
      <c r="Q458" s="305"/>
      <c r="R458" s="305"/>
      <c r="S458" s="305"/>
      <c r="T458" s="305"/>
      <c r="U458" s="305"/>
      <c r="V458" s="305"/>
      <c r="W458" s="305"/>
      <c r="X458" s="305"/>
      <c r="Y458" s="305"/>
      <c r="Z458" s="305"/>
    </row>
    <row r="459" spans="1:26" ht="15.75" customHeight="1" x14ac:dyDescent="0.25">
      <c r="A459" s="305"/>
      <c r="B459" s="305"/>
      <c r="C459" s="305"/>
      <c r="D459" s="305"/>
      <c r="E459" s="305"/>
      <c r="F459" s="305"/>
      <c r="G459" s="305"/>
      <c r="H459" s="305"/>
      <c r="I459" s="305"/>
      <c r="J459" s="305"/>
      <c r="K459" s="305"/>
      <c r="L459" s="305"/>
      <c r="M459" s="305"/>
      <c r="N459" s="305"/>
      <c r="O459" s="305"/>
      <c r="P459" s="305"/>
      <c r="Q459" s="305"/>
      <c r="R459" s="305"/>
      <c r="S459" s="305"/>
      <c r="T459" s="305"/>
      <c r="U459" s="305"/>
      <c r="V459" s="305"/>
      <c r="W459" s="305"/>
      <c r="X459" s="305"/>
      <c r="Y459" s="305"/>
      <c r="Z459" s="305"/>
    </row>
    <row r="460" spans="1:26" ht="15.75" customHeight="1" x14ac:dyDescent="0.25">
      <c r="A460" s="305"/>
      <c r="B460" s="305"/>
      <c r="C460" s="305"/>
      <c r="D460" s="305"/>
      <c r="E460" s="305"/>
      <c r="F460" s="305"/>
      <c r="G460" s="305"/>
      <c r="H460" s="305"/>
      <c r="I460" s="305"/>
      <c r="J460" s="305"/>
      <c r="K460" s="305"/>
      <c r="L460" s="305"/>
      <c r="M460" s="305"/>
      <c r="N460" s="305"/>
      <c r="O460" s="305"/>
      <c r="P460" s="305"/>
      <c r="Q460" s="305"/>
      <c r="R460" s="305"/>
      <c r="S460" s="305"/>
      <c r="T460" s="305"/>
      <c r="U460" s="305"/>
      <c r="V460" s="305"/>
      <c r="W460" s="305"/>
      <c r="X460" s="305"/>
      <c r="Y460" s="305"/>
      <c r="Z460" s="305"/>
    </row>
    <row r="461" spans="1:26" ht="15.75" customHeight="1" x14ac:dyDescent="0.25">
      <c r="A461" s="305"/>
      <c r="B461" s="305"/>
      <c r="C461" s="305"/>
      <c r="D461" s="305"/>
      <c r="E461" s="305"/>
      <c r="F461" s="305"/>
      <c r="G461" s="305"/>
      <c r="H461" s="305"/>
      <c r="I461" s="305"/>
      <c r="J461" s="305"/>
      <c r="K461" s="305"/>
      <c r="L461" s="305"/>
      <c r="M461" s="305"/>
      <c r="N461" s="305"/>
      <c r="O461" s="305"/>
      <c r="P461" s="305"/>
      <c r="Q461" s="305"/>
      <c r="R461" s="305"/>
      <c r="S461" s="305"/>
      <c r="T461" s="305"/>
      <c r="U461" s="305"/>
      <c r="V461" s="305"/>
      <c r="W461" s="305"/>
      <c r="X461" s="305"/>
      <c r="Y461" s="305"/>
      <c r="Z461" s="305"/>
    </row>
    <row r="462" spans="1:26" ht="15.75" customHeight="1" x14ac:dyDescent="0.25">
      <c r="A462" s="305"/>
      <c r="B462" s="305"/>
      <c r="C462" s="305"/>
      <c r="D462" s="305"/>
      <c r="E462" s="305"/>
      <c r="F462" s="305"/>
      <c r="G462" s="305"/>
      <c r="H462" s="305"/>
      <c r="I462" s="305"/>
      <c r="J462" s="305"/>
      <c r="K462" s="305"/>
      <c r="L462" s="305"/>
      <c r="M462" s="305"/>
      <c r="N462" s="305"/>
      <c r="O462" s="305"/>
      <c r="P462" s="305"/>
      <c r="Q462" s="305"/>
      <c r="R462" s="305"/>
      <c r="S462" s="305"/>
      <c r="T462" s="305"/>
      <c r="U462" s="305"/>
      <c r="V462" s="305"/>
      <c r="W462" s="305"/>
      <c r="X462" s="305"/>
      <c r="Y462" s="305"/>
      <c r="Z462" s="305"/>
    </row>
    <row r="463" spans="1:26" ht="15.75" customHeight="1" x14ac:dyDescent="0.25">
      <c r="A463" s="305"/>
      <c r="B463" s="305"/>
      <c r="C463" s="305"/>
      <c r="D463" s="305"/>
      <c r="E463" s="305"/>
      <c r="F463" s="305"/>
      <c r="G463" s="305"/>
      <c r="H463" s="305"/>
      <c r="I463" s="305"/>
      <c r="J463" s="305"/>
      <c r="K463" s="305"/>
      <c r="L463" s="305"/>
      <c r="M463" s="305"/>
      <c r="N463" s="305"/>
      <c r="O463" s="305"/>
      <c r="P463" s="305"/>
      <c r="Q463" s="305"/>
      <c r="R463" s="305"/>
      <c r="S463" s="305"/>
      <c r="T463" s="305"/>
      <c r="U463" s="305"/>
      <c r="V463" s="305"/>
      <c r="W463" s="305"/>
      <c r="X463" s="305"/>
      <c r="Y463" s="305"/>
      <c r="Z463" s="305"/>
    </row>
    <row r="464" spans="1:26" ht="15.75" customHeight="1" x14ac:dyDescent="0.25">
      <c r="A464" s="305"/>
      <c r="B464" s="305"/>
      <c r="C464" s="305"/>
      <c r="D464" s="305"/>
      <c r="E464" s="305"/>
      <c r="F464" s="305"/>
      <c r="G464" s="305"/>
      <c r="H464" s="305"/>
      <c r="I464" s="305"/>
      <c r="J464" s="305"/>
      <c r="K464" s="305"/>
      <c r="L464" s="305"/>
      <c r="M464" s="305"/>
      <c r="N464" s="305"/>
      <c r="O464" s="305"/>
      <c r="P464" s="305"/>
      <c r="Q464" s="305"/>
      <c r="R464" s="305"/>
      <c r="S464" s="305"/>
      <c r="T464" s="305"/>
      <c r="U464" s="305"/>
      <c r="V464" s="305"/>
      <c r="W464" s="305"/>
      <c r="X464" s="305"/>
      <c r="Y464" s="305"/>
      <c r="Z464" s="305"/>
    </row>
    <row r="465" spans="1:26" ht="15.75" customHeight="1" x14ac:dyDescent="0.25">
      <c r="A465" s="305"/>
      <c r="B465" s="305"/>
      <c r="C465" s="305"/>
      <c r="D465" s="305"/>
      <c r="E465" s="305"/>
      <c r="F465" s="305"/>
      <c r="G465" s="305"/>
      <c r="H465" s="305"/>
      <c r="I465" s="305"/>
      <c r="J465" s="305"/>
      <c r="K465" s="305"/>
      <c r="L465" s="305"/>
      <c r="M465" s="305"/>
      <c r="N465" s="305"/>
      <c r="O465" s="305"/>
      <c r="P465" s="305"/>
      <c r="Q465" s="305"/>
      <c r="R465" s="305"/>
      <c r="S465" s="305"/>
      <c r="T465" s="305"/>
      <c r="U465" s="305"/>
      <c r="V465" s="305"/>
      <c r="W465" s="305"/>
      <c r="X465" s="305"/>
      <c r="Y465" s="305"/>
      <c r="Z465" s="305"/>
    </row>
    <row r="466" spans="1:26" ht="15.75" customHeight="1" x14ac:dyDescent="0.25">
      <c r="A466" s="305"/>
      <c r="B466" s="305"/>
      <c r="C466" s="305"/>
      <c r="D466" s="305"/>
      <c r="E466" s="305"/>
      <c r="F466" s="305"/>
      <c r="G466" s="305"/>
      <c r="H466" s="305"/>
      <c r="I466" s="305"/>
      <c r="J466" s="305"/>
      <c r="K466" s="305"/>
      <c r="L466" s="305"/>
      <c r="M466" s="305"/>
      <c r="N466" s="305"/>
      <c r="O466" s="305"/>
      <c r="P466" s="305"/>
      <c r="Q466" s="305"/>
      <c r="R466" s="305"/>
      <c r="S466" s="305"/>
      <c r="T466" s="305"/>
      <c r="U466" s="305"/>
      <c r="V466" s="305"/>
      <c r="W466" s="305"/>
      <c r="X466" s="305"/>
      <c r="Y466" s="305"/>
      <c r="Z466" s="305"/>
    </row>
    <row r="467" spans="1:26" ht="15.75" customHeight="1" x14ac:dyDescent="0.25">
      <c r="A467" s="305"/>
      <c r="B467" s="305"/>
      <c r="C467" s="305"/>
      <c r="D467" s="305"/>
      <c r="E467" s="305"/>
      <c r="F467" s="305"/>
      <c r="G467" s="305"/>
      <c r="H467" s="305"/>
      <c r="I467" s="305"/>
      <c r="J467" s="305"/>
      <c r="K467" s="305"/>
      <c r="L467" s="305"/>
      <c r="M467" s="305"/>
      <c r="N467" s="305"/>
      <c r="O467" s="305"/>
      <c r="P467" s="305"/>
      <c r="Q467" s="305"/>
      <c r="R467" s="305"/>
      <c r="S467" s="305"/>
      <c r="T467" s="305"/>
      <c r="U467" s="305"/>
      <c r="V467" s="305"/>
      <c r="W467" s="305"/>
      <c r="X467" s="305"/>
      <c r="Y467" s="305"/>
      <c r="Z467" s="305"/>
    </row>
    <row r="468" spans="1:26" ht="15.75" customHeight="1" x14ac:dyDescent="0.25">
      <c r="A468" s="305"/>
      <c r="B468" s="305"/>
      <c r="C468" s="305"/>
      <c r="D468" s="305"/>
      <c r="E468" s="305"/>
      <c r="F468" s="305"/>
      <c r="G468" s="305"/>
      <c r="H468" s="305"/>
      <c r="I468" s="305"/>
      <c r="J468" s="305"/>
      <c r="K468" s="305"/>
      <c r="L468" s="305"/>
      <c r="M468" s="305"/>
      <c r="N468" s="305"/>
      <c r="O468" s="305"/>
      <c r="P468" s="305"/>
      <c r="Q468" s="305"/>
      <c r="R468" s="305"/>
      <c r="S468" s="305"/>
      <c r="T468" s="305"/>
      <c r="U468" s="305"/>
      <c r="V468" s="305"/>
      <c r="W468" s="305"/>
      <c r="X468" s="305"/>
      <c r="Y468" s="305"/>
      <c r="Z468" s="305"/>
    </row>
    <row r="469" spans="1:26" ht="15.75" customHeight="1" x14ac:dyDescent="0.25">
      <c r="A469" s="305"/>
      <c r="B469" s="305"/>
      <c r="C469" s="305"/>
      <c r="D469" s="305"/>
      <c r="E469" s="305"/>
      <c r="F469" s="305"/>
      <c r="G469" s="305"/>
      <c r="H469" s="305"/>
      <c r="I469" s="305"/>
      <c r="J469" s="305"/>
      <c r="K469" s="305"/>
      <c r="L469" s="305"/>
      <c r="M469" s="305"/>
      <c r="N469" s="305"/>
      <c r="O469" s="305"/>
      <c r="P469" s="305"/>
      <c r="Q469" s="305"/>
      <c r="R469" s="305"/>
      <c r="S469" s="305"/>
      <c r="T469" s="305"/>
      <c r="U469" s="305"/>
      <c r="V469" s="305"/>
      <c r="W469" s="305"/>
      <c r="X469" s="305"/>
      <c r="Y469" s="305"/>
      <c r="Z469" s="305"/>
    </row>
    <row r="470" spans="1:26" ht="15.75" customHeight="1" x14ac:dyDescent="0.25">
      <c r="A470" s="305"/>
      <c r="B470" s="305"/>
      <c r="C470" s="305"/>
      <c r="D470" s="305"/>
      <c r="E470" s="305"/>
      <c r="F470" s="305"/>
      <c r="G470" s="305"/>
      <c r="H470" s="305"/>
      <c r="I470" s="305"/>
      <c r="J470" s="305"/>
      <c r="K470" s="305"/>
      <c r="L470" s="305"/>
      <c r="M470" s="305"/>
      <c r="N470" s="305"/>
      <c r="O470" s="305"/>
      <c r="P470" s="305"/>
      <c r="Q470" s="305"/>
      <c r="R470" s="305"/>
      <c r="S470" s="305"/>
      <c r="T470" s="305"/>
      <c r="U470" s="305"/>
      <c r="V470" s="305"/>
      <c r="W470" s="305"/>
      <c r="X470" s="305"/>
      <c r="Y470" s="305"/>
      <c r="Z470" s="305"/>
    </row>
    <row r="471" spans="1:26" ht="15.75" customHeight="1" x14ac:dyDescent="0.25">
      <c r="A471" s="305"/>
      <c r="B471" s="305"/>
      <c r="C471" s="305"/>
      <c r="D471" s="305"/>
      <c r="E471" s="305"/>
      <c r="F471" s="305"/>
      <c r="G471" s="305"/>
      <c r="H471" s="305"/>
      <c r="I471" s="305"/>
      <c r="J471" s="305"/>
      <c r="K471" s="305"/>
      <c r="L471" s="305"/>
      <c r="M471" s="305"/>
      <c r="N471" s="305"/>
      <c r="O471" s="305"/>
      <c r="P471" s="305"/>
      <c r="Q471" s="305"/>
      <c r="R471" s="305"/>
      <c r="S471" s="305"/>
      <c r="T471" s="305"/>
      <c r="U471" s="305"/>
      <c r="V471" s="305"/>
      <c r="W471" s="305"/>
      <c r="X471" s="305"/>
      <c r="Y471" s="305"/>
      <c r="Z471" s="305"/>
    </row>
    <row r="472" spans="1:26" ht="15.75" customHeight="1" x14ac:dyDescent="0.25">
      <c r="A472" s="305"/>
      <c r="B472" s="305"/>
      <c r="C472" s="305"/>
      <c r="D472" s="305"/>
      <c r="E472" s="305"/>
      <c r="F472" s="305"/>
      <c r="G472" s="305"/>
      <c r="H472" s="305"/>
      <c r="I472" s="305"/>
      <c r="J472" s="305"/>
      <c r="K472" s="305"/>
      <c r="L472" s="305"/>
      <c r="M472" s="305"/>
      <c r="N472" s="305"/>
      <c r="O472" s="305"/>
      <c r="P472" s="305"/>
      <c r="Q472" s="305"/>
      <c r="R472" s="305"/>
      <c r="S472" s="305"/>
      <c r="T472" s="305"/>
      <c r="U472" s="305"/>
      <c r="V472" s="305"/>
      <c r="W472" s="305"/>
      <c r="X472" s="305"/>
      <c r="Y472" s="305"/>
      <c r="Z472" s="305"/>
    </row>
    <row r="473" spans="1:26" ht="15.75" customHeight="1" x14ac:dyDescent="0.25">
      <c r="A473" s="305"/>
      <c r="B473" s="305"/>
      <c r="C473" s="305"/>
      <c r="D473" s="305"/>
      <c r="E473" s="305"/>
      <c r="F473" s="305"/>
      <c r="G473" s="305"/>
      <c r="H473" s="305"/>
      <c r="I473" s="305"/>
      <c r="J473" s="305"/>
      <c r="K473" s="305"/>
      <c r="L473" s="305"/>
      <c r="M473" s="305"/>
      <c r="N473" s="305"/>
      <c r="O473" s="305"/>
      <c r="P473" s="305"/>
      <c r="Q473" s="305"/>
      <c r="R473" s="305"/>
      <c r="S473" s="305"/>
      <c r="T473" s="305"/>
      <c r="U473" s="305"/>
      <c r="V473" s="305"/>
      <c r="W473" s="305"/>
      <c r="X473" s="305"/>
      <c r="Y473" s="305"/>
      <c r="Z473" s="305"/>
    </row>
    <row r="474" spans="1:26" ht="15.75" customHeight="1" x14ac:dyDescent="0.25">
      <c r="A474" s="305"/>
      <c r="B474" s="305"/>
      <c r="C474" s="305"/>
      <c r="D474" s="305"/>
      <c r="E474" s="305"/>
      <c r="F474" s="305"/>
      <c r="G474" s="305"/>
      <c r="H474" s="305"/>
      <c r="I474" s="305"/>
      <c r="J474" s="305"/>
      <c r="K474" s="305"/>
      <c r="L474" s="305"/>
      <c r="M474" s="305"/>
      <c r="N474" s="305"/>
      <c r="O474" s="305"/>
      <c r="P474" s="305"/>
      <c r="Q474" s="305"/>
      <c r="R474" s="305"/>
      <c r="S474" s="305"/>
      <c r="T474" s="305"/>
      <c r="U474" s="305"/>
      <c r="V474" s="305"/>
      <c r="W474" s="305"/>
      <c r="X474" s="305"/>
      <c r="Y474" s="305"/>
      <c r="Z474" s="305"/>
    </row>
    <row r="475" spans="1:26" ht="15.75" customHeight="1" x14ac:dyDescent="0.25">
      <c r="A475" s="305"/>
      <c r="B475" s="305"/>
      <c r="C475" s="305"/>
      <c r="D475" s="305"/>
      <c r="E475" s="305"/>
      <c r="F475" s="305"/>
      <c r="G475" s="305"/>
      <c r="H475" s="305"/>
      <c r="I475" s="305"/>
      <c r="J475" s="305"/>
      <c r="K475" s="305"/>
      <c r="L475" s="305"/>
      <c r="M475" s="305"/>
      <c r="N475" s="305"/>
      <c r="O475" s="305"/>
      <c r="P475" s="305"/>
      <c r="Q475" s="305"/>
      <c r="R475" s="305"/>
      <c r="S475" s="305"/>
      <c r="T475" s="305"/>
      <c r="U475" s="305"/>
      <c r="V475" s="305"/>
      <c r="W475" s="305"/>
      <c r="X475" s="305"/>
      <c r="Y475" s="305"/>
      <c r="Z475" s="305"/>
    </row>
    <row r="476" spans="1:26" ht="15.75" customHeight="1" x14ac:dyDescent="0.25">
      <c r="A476" s="305"/>
      <c r="B476" s="305"/>
      <c r="C476" s="305"/>
      <c r="D476" s="305"/>
      <c r="E476" s="305"/>
      <c r="F476" s="305"/>
      <c r="G476" s="305"/>
      <c r="H476" s="305"/>
      <c r="I476" s="305"/>
      <c r="J476" s="305"/>
      <c r="K476" s="305"/>
      <c r="L476" s="305"/>
      <c r="M476" s="305"/>
      <c r="N476" s="305"/>
      <c r="O476" s="305"/>
      <c r="P476" s="305"/>
      <c r="Q476" s="305"/>
      <c r="R476" s="305"/>
      <c r="S476" s="305"/>
      <c r="T476" s="305"/>
      <c r="U476" s="305"/>
      <c r="V476" s="305"/>
      <c r="W476" s="305"/>
      <c r="X476" s="305"/>
      <c r="Y476" s="305"/>
      <c r="Z476" s="305"/>
    </row>
    <row r="477" spans="1:26" ht="15.75" customHeight="1" x14ac:dyDescent="0.25">
      <c r="A477" s="305"/>
      <c r="B477" s="305"/>
      <c r="C477" s="305"/>
      <c r="D477" s="305"/>
      <c r="E477" s="305"/>
      <c r="F477" s="305"/>
      <c r="G477" s="305"/>
      <c r="H477" s="305"/>
      <c r="I477" s="305"/>
      <c r="J477" s="305"/>
      <c r="K477" s="305"/>
      <c r="L477" s="305"/>
      <c r="M477" s="305"/>
      <c r="N477" s="305"/>
      <c r="O477" s="305"/>
      <c r="P477" s="305"/>
      <c r="Q477" s="305"/>
      <c r="R477" s="305"/>
      <c r="S477" s="305"/>
      <c r="T477" s="305"/>
      <c r="U477" s="305"/>
      <c r="V477" s="305"/>
      <c r="W477" s="305"/>
      <c r="X477" s="305"/>
      <c r="Y477" s="305"/>
      <c r="Z477" s="305"/>
    </row>
    <row r="478" spans="1:26" ht="15.75" customHeight="1" x14ac:dyDescent="0.25">
      <c r="A478" s="305"/>
      <c r="B478" s="305"/>
      <c r="C478" s="305"/>
      <c r="D478" s="305"/>
      <c r="E478" s="305"/>
      <c r="F478" s="305"/>
      <c r="G478" s="305"/>
      <c r="H478" s="305"/>
      <c r="I478" s="305"/>
      <c r="J478" s="305"/>
      <c r="K478" s="305"/>
      <c r="L478" s="305"/>
      <c r="M478" s="305"/>
      <c r="N478" s="305"/>
      <c r="O478" s="305"/>
      <c r="P478" s="305"/>
      <c r="Q478" s="305"/>
      <c r="R478" s="305"/>
      <c r="S478" s="305"/>
      <c r="T478" s="305"/>
      <c r="U478" s="305"/>
      <c r="V478" s="305"/>
      <c r="W478" s="305"/>
      <c r="X478" s="305"/>
      <c r="Y478" s="305"/>
      <c r="Z478" s="305"/>
    </row>
    <row r="479" spans="1:26" ht="15.75" customHeight="1" x14ac:dyDescent="0.25">
      <c r="A479" s="305"/>
      <c r="B479" s="305"/>
      <c r="C479" s="305"/>
      <c r="D479" s="305"/>
      <c r="E479" s="305"/>
      <c r="F479" s="305"/>
      <c r="G479" s="305"/>
      <c r="H479" s="305"/>
      <c r="I479" s="305"/>
      <c r="J479" s="305"/>
      <c r="K479" s="305"/>
      <c r="L479" s="305"/>
      <c r="M479" s="305"/>
      <c r="N479" s="305"/>
      <c r="O479" s="305"/>
      <c r="P479" s="305"/>
      <c r="Q479" s="305"/>
      <c r="R479" s="305"/>
      <c r="S479" s="305"/>
      <c r="T479" s="305"/>
      <c r="U479" s="305"/>
      <c r="V479" s="305"/>
      <c r="W479" s="305"/>
      <c r="X479" s="305"/>
      <c r="Y479" s="305"/>
      <c r="Z479" s="305"/>
    </row>
    <row r="480" spans="1:26" ht="15.75" customHeight="1" x14ac:dyDescent="0.25">
      <c r="A480" s="305"/>
      <c r="B480" s="305"/>
      <c r="C480" s="305"/>
      <c r="D480" s="305"/>
      <c r="E480" s="305"/>
      <c r="F480" s="305"/>
      <c r="G480" s="305"/>
      <c r="H480" s="305"/>
      <c r="I480" s="305"/>
      <c r="J480" s="305"/>
      <c r="K480" s="305"/>
      <c r="L480" s="305"/>
      <c r="M480" s="305"/>
      <c r="N480" s="305"/>
      <c r="O480" s="305"/>
      <c r="P480" s="305"/>
      <c r="Q480" s="305"/>
      <c r="R480" s="305"/>
      <c r="S480" s="305"/>
      <c r="T480" s="305"/>
      <c r="U480" s="305"/>
      <c r="V480" s="305"/>
      <c r="W480" s="305"/>
      <c r="X480" s="305"/>
      <c r="Y480" s="305"/>
      <c r="Z480" s="305"/>
    </row>
    <row r="481" spans="1:26" ht="15.75" customHeight="1" x14ac:dyDescent="0.25">
      <c r="A481" s="305"/>
      <c r="B481" s="305"/>
      <c r="C481" s="305"/>
      <c r="D481" s="305"/>
      <c r="E481" s="305"/>
      <c r="F481" s="305"/>
      <c r="G481" s="305"/>
      <c r="H481" s="305"/>
      <c r="I481" s="305"/>
      <c r="J481" s="305"/>
      <c r="K481" s="305"/>
      <c r="L481" s="305"/>
      <c r="M481" s="305"/>
      <c r="N481" s="305"/>
      <c r="O481" s="305"/>
      <c r="P481" s="305"/>
      <c r="Q481" s="305"/>
      <c r="R481" s="305"/>
      <c r="S481" s="305"/>
      <c r="T481" s="305"/>
      <c r="U481" s="305"/>
      <c r="V481" s="305"/>
      <c r="W481" s="305"/>
      <c r="X481" s="305"/>
      <c r="Y481" s="305"/>
      <c r="Z481" s="305"/>
    </row>
    <row r="482" spans="1:26" ht="15.75" customHeight="1" x14ac:dyDescent="0.25">
      <c r="A482" s="305"/>
      <c r="B482" s="305"/>
      <c r="C482" s="305"/>
      <c r="D482" s="305"/>
      <c r="E482" s="305"/>
      <c r="F482" s="305"/>
      <c r="G482" s="305"/>
      <c r="H482" s="305"/>
      <c r="I482" s="305"/>
      <c r="J482" s="305"/>
      <c r="K482" s="305"/>
      <c r="L482" s="305"/>
      <c r="M482" s="305"/>
      <c r="N482" s="305"/>
      <c r="O482" s="305"/>
      <c r="P482" s="305"/>
      <c r="Q482" s="305"/>
      <c r="R482" s="305"/>
      <c r="S482" s="305"/>
      <c r="T482" s="305"/>
      <c r="U482" s="305"/>
      <c r="V482" s="305"/>
      <c r="W482" s="305"/>
      <c r="X482" s="305"/>
      <c r="Y482" s="305"/>
      <c r="Z482" s="305"/>
    </row>
    <row r="483" spans="1:26" ht="15.75" customHeight="1" x14ac:dyDescent="0.25">
      <c r="A483" s="305"/>
      <c r="B483" s="305"/>
      <c r="C483" s="305"/>
      <c r="D483" s="305"/>
      <c r="E483" s="305"/>
      <c r="F483" s="305"/>
      <c r="G483" s="305"/>
      <c r="H483" s="305"/>
      <c r="I483" s="305"/>
      <c r="J483" s="305"/>
      <c r="K483" s="305"/>
      <c r="L483" s="305"/>
      <c r="M483" s="305"/>
      <c r="N483" s="305"/>
      <c r="O483" s="305"/>
      <c r="P483" s="305"/>
      <c r="Q483" s="305"/>
      <c r="R483" s="305"/>
      <c r="S483" s="305"/>
      <c r="T483" s="305"/>
      <c r="U483" s="305"/>
      <c r="V483" s="305"/>
      <c r="W483" s="305"/>
      <c r="X483" s="305"/>
      <c r="Y483" s="305"/>
      <c r="Z483" s="305"/>
    </row>
    <row r="484" spans="1:26" ht="15.75" customHeight="1" x14ac:dyDescent="0.25">
      <c r="A484" s="305"/>
      <c r="B484" s="305"/>
      <c r="C484" s="305"/>
      <c r="D484" s="305"/>
      <c r="E484" s="305"/>
      <c r="F484" s="305"/>
      <c r="G484" s="305"/>
      <c r="H484" s="305"/>
      <c r="I484" s="305"/>
      <c r="J484" s="305"/>
      <c r="K484" s="305"/>
      <c r="L484" s="305"/>
      <c r="M484" s="305"/>
      <c r="N484" s="305"/>
      <c r="O484" s="305"/>
      <c r="P484" s="305"/>
      <c r="Q484" s="305"/>
      <c r="R484" s="305"/>
      <c r="S484" s="305"/>
      <c r="T484" s="305"/>
      <c r="U484" s="305"/>
      <c r="V484" s="305"/>
      <c r="W484" s="305"/>
      <c r="X484" s="305"/>
      <c r="Y484" s="305"/>
      <c r="Z484" s="305"/>
    </row>
    <row r="485" spans="1:26" ht="15.75" customHeight="1" x14ac:dyDescent="0.25">
      <c r="A485" s="305"/>
      <c r="B485" s="305"/>
      <c r="C485" s="305"/>
      <c r="D485" s="305"/>
      <c r="E485" s="305"/>
      <c r="F485" s="305"/>
      <c r="G485" s="305"/>
      <c r="H485" s="305"/>
      <c r="I485" s="305"/>
      <c r="J485" s="305"/>
      <c r="K485" s="305"/>
      <c r="L485" s="305"/>
      <c r="M485" s="305"/>
      <c r="N485" s="305"/>
      <c r="O485" s="305"/>
      <c r="P485" s="305"/>
      <c r="Q485" s="305"/>
      <c r="R485" s="305"/>
      <c r="S485" s="305"/>
      <c r="T485" s="305"/>
      <c r="U485" s="305"/>
      <c r="V485" s="305"/>
      <c r="W485" s="305"/>
      <c r="X485" s="305"/>
      <c r="Y485" s="305"/>
      <c r="Z485" s="305"/>
    </row>
    <row r="486" spans="1:26" ht="15.75" customHeight="1" x14ac:dyDescent="0.25">
      <c r="A486" s="305"/>
      <c r="B486" s="305"/>
      <c r="C486" s="305"/>
      <c r="D486" s="305"/>
      <c r="E486" s="305"/>
      <c r="F486" s="305"/>
      <c r="G486" s="305"/>
      <c r="H486" s="305"/>
      <c r="I486" s="305"/>
      <c r="J486" s="305"/>
      <c r="K486" s="305"/>
      <c r="L486" s="305"/>
      <c r="M486" s="305"/>
      <c r="N486" s="305"/>
      <c r="O486" s="305"/>
      <c r="P486" s="305"/>
      <c r="Q486" s="305"/>
      <c r="R486" s="305"/>
      <c r="S486" s="305"/>
      <c r="T486" s="305"/>
      <c r="U486" s="305"/>
      <c r="V486" s="305"/>
      <c r="W486" s="305"/>
      <c r="X486" s="305"/>
      <c r="Y486" s="305"/>
      <c r="Z486" s="305"/>
    </row>
    <row r="487" spans="1:26" ht="15.75" customHeight="1" x14ac:dyDescent="0.25">
      <c r="A487" s="305"/>
      <c r="B487" s="305"/>
      <c r="C487" s="305"/>
      <c r="D487" s="305"/>
      <c r="E487" s="305"/>
      <c r="F487" s="305"/>
      <c r="G487" s="305"/>
      <c r="H487" s="305"/>
      <c r="I487" s="305"/>
      <c r="J487" s="305"/>
      <c r="K487" s="305"/>
      <c r="L487" s="305"/>
      <c r="M487" s="305"/>
      <c r="N487" s="305"/>
      <c r="O487" s="305"/>
      <c r="P487" s="305"/>
      <c r="Q487" s="305"/>
      <c r="R487" s="305"/>
      <c r="S487" s="305"/>
      <c r="T487" s="305"/>
      <c r="U487" s="305"/>
      <c r="V487" s="305"/>
      <c r="W487" s="305"/>
      <c r="X487" s="305"/>
      <c r="Y487" s="305"/>
      <c r="Z487" s="305"/>
    </row>
    <row r="488" spans="1:26" ht="15.75" customHeight="1" x14ac:dyDescent="0.25">
      <c r="A488" s="305"/>
      <c r="B488" s="305"/>
      <c r="C488" s="305"/>
      <c r="D488" s="305"/>
      <c r="E488" s="305"/>
      <c r="F488" s="305"/>
      <c r="G488" s="305"/>
      <c r="H488" s="305"/>
      <c r="I488" s="305"/>
      <c r="J488" s="305"/>
      <c r="K488" s="305"/>
      <c r="L488" s="305"/>
      <c r="M488" s="305"/>
      <c r="N488" s="305"/>
      <c r="O488" s="305"/>
      <c r="P488" s="305"/>
      <c r="Q488" s="305"/>
      <c r="R488" s="305"/>
      <c r="S488" s="305"/>
      <c r="T488" s="305"/>
      <c r="U488" s="305"/>
      <c r="V488" s="305"/>
      <c r="W488" s="305"/>
      <c r="X488" s="305"/>
      <c r="Y488" s="305"/>
      <c r="Z488" s="305"/>
    </row>
    <row r="489" spans="1:26" ht="15.75" customHeight="1" x14ac:dyDescent="0.25">
      <c r="A489" s="305"/>
      <c r="B489" s="305"/>
      <c r="C489" s="305"/>
      <c r="D489" s="305"/>
      <c r="E489" s="305"/>
      <c r="F489" s="305"/>
      <c r="G489" s="305"/>
      <c r="H489" s="305"/>
      <c r="I489" s="305"/>
      <c r="J489" s="305"/>
      <c r="K489" s="305"/>
      <c r="L489" s="305"/>
      <c r="M489" s="305"/>
      <c r="N489" s="305"/>
      <c r="O489" s="305"/>
      <c r="P489" s="305"/>
      <c r="Q489" s="305"/>
      <c r="R489" s="305"/>
      <c r="S489" s="305"/>
      <c r="T489" s="305"/>
      <c r="U489" s="305"/>
      <c r="V489" s="305"/>
      <c r="W489" s="305"/>
      <c r="X489" s="305"/>
      <c r="Y489" s="305"/>
      <c r="Z489" s="305"/>
    </row>
    <row r="490" spans="1:26" ht="15.75" customHeight="1" x14ac:dyDescent="0.25">
      <c r="A490" s="305"/>
      <c r="B490" s="305"/>
      <c r="C490" s="305"/>
      <c r="D490" s="305"/>
      <c r="E490" s="305"/>
      <c r="F490" s="305"/>
      <c r="G490" s="305"/>
      <c r="H490" s="305"/>
      <c r="I490" s="305"/>
      <c r="J490" s="305"/>
      <c r="K490" s="305"/>
      <c r="L490" s="305"/>
      <c r="M490" s="305"/>
      <c r="N490" s="305"/>
      <c r="O490" s="305"/>
      <c r="P490" s="305"/>
      <c r="Q490" s="305"/>
      <c r="R490" s="305"/>
      <c r="S490" s="305"/>
      <c r="T490" s="305"/>
      <c r="U490" s="305"/>
      <c r="V490" s="305"/>
      <c r="W490" s="305"/>
      <c r="X490" s="305"/>
      <c r="Y490" s="305"/>
      <c r="Z490" s="305"/>
    </row>
    <row r="491" spans="1:26" ht="15.75" customHeight="1" x14ac:dyDescent="0.25">
      <c r="A491" s="305"/>
      <c r="B491" s="305"/>
      <c r="C491" s="305"/>
      <c r="D491" s="305"/>
      <c r="E491" s="305"/>
      <c r="F491" s="305"/>
      <c r="G491" s="305"/>
      <c r="H491" s="305"/>
      <c r="I491" s="305"/>
      <c r="J491" s="305"/>
      <c r="K491" s="305"/>
      <c r="L491" s="305"/>
      <c r="M491" s="305"/>
      <c r="N491" s="305"/>
      <c r="O491" s="305"/>
      <c r="P491" s="305"/>
      <c r="Q491" s="305"/>
      <c r="R491" s="305"/>
      <c r="S491" s="305"/>
      <c r="T491" s="305"/>
      <c r="U491" s="305"/>
      <c r="V491" s="305"/>
      <c r="W491" s="305"/>
      <c r="X491" s="305"/>
      <c r="Y491" s="305"/>
      <c r="Z491" s="305"/>
    </row>
    <row r="492" spans="1:26" ht="15.75" customHeight="1" x14ac:dyDescent="0.25">
      <c r="A492" s="305"/>
      <c r="B492" s="305"/>
      <c r="C492" s="305"/>
      <c r="D492" s="305"/>
      <c r="E492" s="305"/>
      <c r="F492" s="305"/>
      <c r="G492" s="305"/>
      <c r="H492" s="305"/>
      <c r="I492" s="305"/>
      <c r="J492" s="305"/>
      <c r="K492" s="305"/>
      <c r="L492" s="305"/>
      <c r="M492" s="305"/>
      <c r="N492" s="305"/>
      <c r="O492" s="305"/>
      <c r="P492" s="305"/>
      <c r="Q492" s="305"/>
      <c r="R492" s="305"/>
      <c r="S492" s="305"/>
      <c r="T492" s="305"/>
      <c r="U492" s="305"/>
      <c r="V492" s="305"/>
      <c r="W492" s="305"/>
      <c r="X492" s="305"/>
      <c r="Y492" s="305"/>
      <c r="Z492" s="305"/>
    </row>
    <row r="493" spans="1:26" ht="15.75" customHeight="1" x14ac:dyDescent="0.25">
      <c r="A493" s="305"/>
      <c r="B493" s="305"/>
      <c r="C493" s="305"/>
      <c r="D493" s="305"/>
      <c r="E493" s="305"/>
      <c r="F493" s="305"/>
      <c r="G493" s="305"/>
      <c r="H493" s="305"/>
      <c r="I493" s="305"/>
      <c r="J493" s="305"/>
      <c r="K493" s="305"/>
      <c r="L493" s="305"/>
      <c r="M493" s="305"/>
      <c r="N493" s="305"/>
      <c r="O493" s="305"/>
      <c r="P493" s="305"/>
      <c r="Q493" s="305"/>
      <c r="R493" s="305"/>
      <c r="S493" s="305"/>
      <c r="T493" s="305"/>
      <c r="U493" s="305"/>
      <c r="V493" s="305"/>
      <c r="W493" s="305"/>
      <c r="X493" s="305"/>
      <c r="Y493" s="305"/>
      <c r="Z493" s="305"/>
    </row>
    <row r="494" spans="1:26" ht="15.75" customHeight="1" x14ac:dyDescent="0.25">
      <c r="A494" s="305"/>
      <c r="B494" s="305"/>
      <c r="C494" s="305"/>
      <c r="D494" s="305"/>
      <c r="E494" s="305"/>
      <c r="F494" s="305"/>
      <c r="G494" s="305"/>
      <c r="H494" s="305"/>
      <c r="I494" s="305"/>
      <c r="J494" s="305"/>
      <c r="K494" s="305"/>
      <c r="L494" s="305"/>
      <c r="M494" s="305"/>
      <c r="N494" s="305"/>
      <c r="O494" s="305"/>
      <c r="P494" s="305"/>
      <c r="Q494" s="305"/>
      <c r="R494" s="305"/>
      <c r="S494" s="305"/>
      <c r="T494" s="305"/>
      <c r="U494" s="305"/>
      <c r="V494" s="305"/>
      <c r="W494" s="305"/>
      <c r="X494" s="305"/>
      <c r="Y494" s="305"/>
      <c r="Z494" s="305"/>
    </row>
    <row r="495" spans="1:26" ht="15.75" customHeight="1" x14ac:dyDescent="0.25">
      <c r="A495" s="305"/>
      <c r="B495" s="305"/>
      <c r="C495" s="305"/>
      <c r="D495" s="305"/>
      <c r="E495" s="305"/>
      <c r="F495" s="305"/>
      <c r="G495" s="305"/>
      <c r="H495" s="305"/>
      <c r="I495" s="305"/>
      <c r="J495" s="305"/>
      <c r="K495" s="305"/>
      <c r="L495" s="305"/>
      <c r="M495" s="305"/>
      <c r="N495" s="305"/>
      <c r="O495" s="305"/>
      <c r="P495" s="305"/>
      <c r="Q495" s="305"/>
      <c r="R495" s="305"/>
      <c r="S495" s="305"/>
      <c r="T495" s="305"/>
      <c r="U495" s="305"/>
      <c r="V495" s="305"/>
      <c r="W495" s="305"/>
      <c r="X495" s="305"/>
      <c r="Y495" s="305"/>
      <c r="Z495" s="305"/>
    </row>
    <row r="496" spans="1:26" ht="15.75" customHeight="1" x14ac:dyDescent="0.25">
      <c r="A496" s="305"/>
      <c r="B496" s="305"/>
      <c r="C496" s="305"/>
      <c r="D496" s="305"/>
      <c r="E496" s="305"/>
      <c r="F496" s="305"/>
      <c r="G496" s="305"/>
      <c r="H496" s="305"/>
      <c r="I496" s="305"/>
      <c r="J496" s="305"/>
      <c r="K496" s="305"/>
      <c r="L496" s="305"/>
      <c r="M496" s="305"/>
      <c r="N496" s="305"/>
      <c r="O496" s="305"/>
      <c r="P496" s="305"/>
      <c r="Q496" s="305"/>
      <c r="R496" s="305"/>
      <c r="S496" s="305"/>
      <c r="T496" s="305"/>
      <c r="U496" s="305"/>
      <c r="V496" s="305"/>
      <c r="W496" s="305"/>
      <c r="X496" s="305"/>
      <c r="Y496" s="305"/>
      <c r="Z496" s="305"/>
    </row>
    <row r="497" spans="1:26" ht="15.75" customHeight="1" x14ac:dyDescent="0.25">
      <c r="A497" s="305"/>
      <c r="B497" s="305"/>
      <c r="C497" s="305"/>
      <c r="D497" s="305"/>
      <c r="E497" s="305"/>
      <c r="F497" s="305"/>
      <c r="G497" s="305"/>
      <c r="H497" s="305"/>
      <c r="I497" s="305"/>
      <c r="J497" s="305"/>
      <c r="K497" s="305"/>
      <c r="L497" s="305"/>
      <c r="M497" s="305"/>
      <c r="N497" s="305"/>
      <c r="O497" s="305"/>
      <c r="P497" s="305"/>
      <c r="Q497" s="305"/>
      <c r="R497" s="305"/>
      <c r="S497" s="305"/>
      <c r="T497" s="305"/>
      <c r="U497" s="305"/>
      <c r="V497" s="305"/>
      <c r="W497" s="305"/>
      <c r="X497" s="305"/>
      <c r="Y497" s="305"/>
      <c r="Z497" s="305"/>
    </row>
    <row r="498" spans="1:26" ht="15.75" customHeight="1" x14ac:dyDescent="0.25">
      <c r="A498" s="305"/>
      <c r="B498" s="305"/>
      <c r="C498" s="305"/>
      <c r="D498" s="305"/>
      <c r="E498" s="305"/>
      <c r="F498" s="305"/>
      <c r="G498" s="305"/>
      <c r="H498" s="305"/>
      <c r="I498" s="305"/>
      <c r="J498" s="305"/>
      <c r="K498" s="305"/>
      <c r="L498" s="305"/>
      <c r="M498" s="305"/>
      <c r="N498" s="305"/>
      <c r="O498" s="305"/>
      <c r="P498" s="305"/>
      <c r="Q498" s="305"/>
      <c r="R498" s="305"/>
      <c r="S498" s="305"/>
      <c r="T498" s="305"/>
      <c r="U498" s="305"/>
      <c r="V498" s="305"/>
      <c r="W498" s="305"/>
      <c r="X498" s="305"/>
      <c r="Y498" s="305"/>
      <c r="Z498" s="305"/>
    </row>
    <row r="499" spans="1:26" ht="15.75" customHeight="1" x14ac:dyDescent="0.25">
      <c r="A499" s="305"/>
      <c r="B499" s="305"/>
      <c r="C499" s="305"/>
      <c r="D499" s="305"/>
      <c r="E499" s="305"/>
      <c r="F499" s="305"/>
      <c r="G499" s="305"/>
      <c r="H499" s="305"/>
      <c r="I499" s="305"/>
      <c r="J499" s="305"/>
      <c r="K499" s="305"/>
      <c r="L499" s="305"/>
      <c r="M499" s="305"/>
      <c r="N499" s="305"/>
      <c r="O499" s="305"/>
      <c r="P499" s="305"/>
      <c r="Q499" s="305"/>
      <c r="R499" s="305"/>
      <c r="S499" s="305"/>
      <c r="T499" s="305"/>
      <c r="U499" s="305"/>
      <c r="V499" s="305"/>
      <c r="W499" s="305"/>
      <c r="X499" s="305"/>
      <c r="Y499" s="305"/>
      <c r="Z499" s="305"/>
    </row>
    <row r="500" spans="1:26" ht="15.75" customHeight="1" x14ac:dyDescent="0.25">
      <c r="A500" s="305"/>
      <c r="B500" s="305"/>
      <c r="C500" s="305"/>
      <c r="D500" s="305"/>
      <c r="E500" s="305"/>
      <c r="F500" s="305"/>
      <c r="G500" s="305"/>
      <c r="H500" s="305"/>
      <c r="I500" s="305"/>
      <c r="J500" s="305"/>
      <c r="K500" s="305"/>
      <c r="L500" s="305"/>
      <c r="M500" s="305"/>
      <c r="N500" s="305"/>
      <c r="O500" s="305"/>
      <c r="P500" s="305"/>
      <c r="Q500" s="305"/>
      <c r="R500" s="305"/>
      <c r="S500" s="305"/>
      <c r="T500" s="305"/>
      <c r="U500" s="305"/>
      <c r="V500" s="305"/>
      <c r="W500" s="305"/>
      <c r="X500" s="305"/>
      <c r="Y500" s="305"/>
      <c r="Z500" s="305"/>
    </row>
    <row r="501" spans="1:26" ht="15.75" customHeight="1" x14ac:dyDescent="0.25">
      <c r="A501" s="305"/>
      <c r="B501" s="305"/>
      <c r="C501" s="305"/>
      <c r="D501" s="305"/>
      <c r="E501" s="305"/>
      <c r="F501" s="305"/>
      <c r="G501" s="305"/>
      <c r="H501" s="305"/>
      <c r="I501" s="305"/>
      <c r="J501" s="305"/>
      <c r="K501" s="305"/>
      <c r="L501" s="305"/>
      <c r="M501" s="305"/>
      <c r="N501" s="305"/>
      <c r="O501" s="305"/>
      <c r="P501" s="305"/>
      <c r="Q501" s="305"/>
      <c r="R501" s="305"/>
      <c r="S501" s="305"/>
      <c r="T501" s="305"/>
      <c r="U501" s="305"/>
      <c r="V501" s="305"/>
      <c r="W501" s="305"/>
      <c r="X501" s="305"/>
      <c r="Y501" s="305"/>
      <c r="Z501" s="305"/>
    </row>
    <row r="502" spans="1:26" ht="15.75" customHeight="1" x14ac:dyDescent="0.25">
      <c r="A502" s="305"/>
      <c r="B502" s="305"/>
      <c r="C502" s="305"/>
      <c r="D502" s="305"/>
      <c r="E502" s="305"/>
      <c r="F502" s="305"/>
      <c r="G502" s="305"/>
      <c r="H502" s="305"/>
      <c r="I502" s="305"/>
      <c r="J502" s="305"/>
      <c r="K502" s="305"/>
      <c r="L502" s="305"/>
      <c r="M502" s="305"/>
      <c r="N502" s="305"/>
      <c r="O502" s="305"/>
      <c r="P502" s="305"/>
      <c r="Q502" s="305"/>
      <c r="R502" s="305"/>
      <c r="S502" s="305"/>
      <c r="T502" s="305"/>
      <c r="U502" s="305"/>
      <c r="V502" s="305"/>
      <c r="W502" s="305"/>
      <c r="X502" s="305"/>
      <c r="Y502" s="305"/>
      <c r="Z502" s="305"/>
    </row>
    <row r="503" spans="1:26" ht="15.75" customHeight="1" x14ac:dyDescent="0.25">
      <c r="A503" s="305"/>
      <c r="B503" s="305"/>
      <c r="C503" s="305"/>
      <c r="D503" s="305"/>
      <c r="E503" s="305"/>
      <c r="F503" s="305"/>
      <c r="G503" s="305"/>
      <c r="H503" s="305"/>
      <c r="I503" s="305"/>
      <c r="J503" s="305"/>
      <c r="K503" s="305"/>
      <c r="L503" s="305"/>
      <c r="M503" s="305"/>
      <c r="N503" s="305"/>
      <c r="O503" s="305"/>
      <c r="P503" s="305"/>
      <c r="Q503" s="305"/>
      <c r="R503" s="305"/>
      <c r="S503" s="305"/>
      <c r="T503" s="305"/>
      <c r="U503" s="305"/>
      <c r="V503" s="305"/>
      <c r="W503" s="305"/>
      <c r="X503" s="305"/>
      <c r="Y503" s="305"/>
      <c r="Z503" s="305"/>
    </row>
    <row r="504" spans="1:26" ht="15.75" customHeight="1" x14ac:dyDescent="0.25">
      <c r="A504" s="305"/>
      <c r="B504" s="305"/>
      <c r="C504" s="305"/>
      <c r="D504" s="305"/>
      <c r="E504" s="305"/>
      <c r="F504" s="305"/>
      <c r="G504" s="305"/>
      <c r="H504" s="305"/>
      <c r="I504" s="305"/>
      <c r="J504" s="305"/>
      <c r="K504" s="305"/>
      <c r="L504" s="305"/>
      <c r="M504" s="305"/>
      <c r="N504" s="305"/>
      <c r="O504" s="305"/>
      <c r="P504" s="305"/>
      <c r="Q504" s="305"/>
      <c r="R504" s="305"/>
      <c r="S504" s="305"/>
      <c r="T504" s="305"/>
      <c r="U504" s="305"/>
      <c r="V504" s="305"/>
      <c r="W504" s="305"/>
      <c r="X504" s="305"/>
      <c r="Y504" s="305"/>
      <c r="Z504" s="305"/>
    </row>
    <row r="505" spans="1:26" ht="15.75" customHeight="1" x14ac:dyDescent="0.25">
      <c r="A505" s="305"/>
      <c r="B505" s="305"/>
      <c r="C505" s="305"/>
      <c r="D505" s="305"/>
      <c r="E505" s="305"/>
      <c r="F505" s="305"/>
      <c r="G505" s="305"/>
      <c r="H505" s="305"/>
      <c r="I505" s="305"/>
      <c r="J505" s="305"/>
      <c r="K505" s="305"/>
      <c r="L505" s="305"/>
      <c r="M505" s="305"/>
      <c r="N505" s="305"/>
      <c r="O505" s="305"/>
      <c r="P505" s="305"/>
      <c r="Q505" s="305"/>
      <c r="R505" s="305"/>
      <c r="S505" s="305"/>
      <c r="T505" s="305"/>
      <c r="U505" s="305"/>
      <c r="V505" s="305"/>
      <c r="W505" s="305"/>
      <c r="X505" s="305"/>
      <c r="Y505" s="305"/>
      <c r="Z505" s="305"/>
    </row>
    <row r="506" spans="1:26" ht="15.75" customHeight="1" x14ac:dyDescent="0.25">
      <c r="A506" s="305"/>
      <c r="B506" s="305"/>
      <c r="C506" s="305"/>
      <c r="D506" s="305"/>
      <c r="E506" s="305"/>
      <c r="F506" s="305"/>
      <c r="G506" s="305"/>
      <c r="H506" s="305"/>
      <c r="I506" s="305"/>
      <c r="J506" s="305"/>
      <c r="K506" s="305"/>
      <c r="L506" s="305"/>
      <c r="M506" s="305"/>
      <c r="N506" s="305"/>
      <c r="O506" s="305"/>
      <c r="P506" s="305"/>
      <c r="Q506" s="305"/>
      <c r="R506" s="305"/>
      <c r="S506" s="305"/>
      <c r="T506" s="305"/>
      <c r="U506" s="305"/>
      <c r="V506" s="305"/>
      <c r="W506" s="305"/>
      <c r="X506" s="305"/>
      <c r="Y506" s="305"/>
      <c r="Z506" s="305"/>
    </row>
    <row r="507" spans="1:26" ht="15.75" customHeight="1" x14ac:dyDescent="0.25">
      <c r="A507" s="305"/>
      <c r="B507" s="305"/>
      <c r="C507" s="305"/>
      <c r="D507" s="305"/>
      <c r="E507" s="305"/>
      <c r="F507" s="305"/>
      <c r="G507" s="305"/>
      <c r="H507" s="305"/>
      <c r="I507" s="305"/>
      <c r="J507" s="305"/>
      <c r="K507" s="305"/>
      <c r="L507" s="305"/>
      <c r="M507" s="305"/>
      <c r="N507" s="305"/>
      <c r="O507" s="305"/>
      <c r="P507" s="305"/>
      <c r="Q507" s="305"/>
      <c r="R507" s="305"/>
      <c r="S507" s="305"/>
      <c r="T507" s="305"/>
      <c r="U507" s="305"/>
      <c r="V507" s="305"/>
      <c r="W507" s="305"/>
      <c r="X507" s="305"/>
      <c r="Y507" s="305"/>
      <c r="Z507" s="305"/>
    </row>
    <row r="508" spans="1:26" ht="15.75" customHeight="1" x14ac:dyDescent="0.25">
      <c r="A508" s="305"/>
      <c r="B508" s="305"/>
      <c r="C508" s="305"/>
      <c r="D508" s="305"/>
      <c r="E508" s="305"/>
      <c r="F508" s="305"/>
      <c r="G508" s="305"/>
      <c r="H508" s="305"/>
      <c r="I508" s="305"/>
      <c r="J508" s="305"/>
      <c r="K508" s="305"/>
      <c r="L508" s="305"/>
      <c r="M508" s="305"/>
      <c r="N508" s="305"/>
      <c r="O508" s="305"/>
      <c r="P508" s="305"/>
      <c r="Q508" s="305"/>
      <c r="R508" s="305"/>
      <c r="S508" s="305"/>
      <c r="T508" s="305"/>
      <c r="U508" s="305"/>
      <c r="V508" s="305"/>
      <c r="W508" s="305"/>
      <c r="X508" s="305"/>
      <c r="Y508" s="305"/>
      <c r="Z508" s="305"/>
    </row>
    <row r="509" spans="1:26" ht="15.75" customHeight="1" x14ac:dyDescent="0.25">
      <c r="A509" s="305"/>
      <c r="B509" s="305"/>
      <c r="C509" s="305"/>
      <c r="D509" s="305"/>
      <c r="E509" s="305"/>
      <c r="F509" s="305"/>
      <c r="G509" s="305"/>
      <c r="H509" s="305"/>
      <c r="I509" s="305"/>
      <c r="J509" s="305"/>
      <c r="K509" s="305"/>
      <c r="L509" s="305"/>
      <c r="M509" s="305"/>
      <c r="N509" s="305"/>
      <c r="O509" s="305"/>
      <c r="P509" s="305"/>
      <c r="Q509" s="305"/>
      <c r="R509" s="305"/>
      <c r="S509" s="305"/>
      <c r="T509" s="305"/>
      <c r="U509" s="305"/>
      <c r="V509" s="305"/>
      <c r="W509" s="305"/>
      <c r="X509" s="305"/>
      <c r="Y509" s="305"/>
      <c r="Z509" s="305"/>
    </row>
    <row r="510" spans="1:26" ht="15.75" customHeight="1" x14ac:dyDescent="0.25">
      <c r="A510" s="305"/>
      <c r="B510" s="305"/>
      <c r="C510" s="305"/>
      <c r="D510" s="305"/>
      <c r="E510" s="305"/>
      <c r="F510" s="305"/>
      <c r="G510" s="305"/>
      <c r="H510" s="305"/>
      <c r="I510" s="305"/>
      <c r="J510" s="305"/>
      <c r="K510" s="305"/>
      <c r="L510" s="305"/>
      <c r="M510" s="305"/>
      <c r="N510" s="305"/>
      <c r="O510" s="305"/>
      <c r="P510" s="305"/>
      <c r="Q510" s="305"/>
      <c r="R510" s="305"/>
      <c r="S510" s="305"/>
      <c r="T510" s="305"/>
      <c r="U510" s="305"/>
      <c r="V510" s="305"/>
      <c r="W510" s="305"/>
      <c r="X510" s="305"/>
      <c r="Y510" s="305"/>
      <c r="Z510" s="305"/>
    </row>
    <row r="511" spans="1:26" ht="15.75" customHeight="1" x14ac:dyDescent="0.25">
      <c r="A511" s="305"/>
      <c r="B511" s="305"/>
      <c r="C511" s="305"/>
      <c r="D511" s="305"/>
      <c r="E511" s="305"/>
      <c r="F511" s="305"/>
      <c r="G511" s="305"/>
      <c r="H511" s="305"/>
      <c r="I511" s="305"/>
      <c r="J511" s="305"/>
      <c r="K511" s="305"/>
      <c r="L511" s="305"/>
      <c r="M511" s="305"/>
      <c r="N511" s="305"/>
      <c r="O511" s="305"/>
      <c r="P511" s="305"/>
      <c r="Q511" s="305"/>
      <c r="R511" s="305"/>
      <c r="S511" s="305"/>
      <c r="T511" s="305"/>
      <c r="U511" s="305"/>
      <c r="V511" s="305"/>
      <c r="W511" s="305"/>
      <c r="X511" s="305"/>
      <c r="Y511" s="305"/>
      <c r="Z511" s="305"/>
    </row>
    <row r="512" spans="1:26" ht="15.75" customHeight="1" x14ac:dyDescent="0.25">
      <c r="A512" s="305"/>
      <c r="B512" s="305"/>
      <c r="C512" s="305"/>
      <c r="D512" s="305"/>
      <c r="E512" s="305"/>
      <c r="F512" s="305"/>
      <c r="G512" s="305"/>
      <c r="H512" s="305"/>
      <c r="I512" s="305"/>
      <c r="J512" s="305"/>
      <c r="K512" s="305"/>
      <c r="L512" s="305"/>
      <c r="M512" s="305"/>
      <c r="N512" s="305"/>
      <c r="O512" s="305"/>
      <c r="P512" s="305"/>
      <c r="Q512" s="305"/>
      <c r="R512" s="305"/>
      <c r="S512" s="305"/>
      <c r="T512" s="305"/>
      <c r="U512" s="305"/>
      <c r="V512" s="305"/>
      <c r="W512" s="305"/>
      <c r="X512" s="305"/>
      <c r="Y512" s="305"/>
      <c r="Z512" s="305"/>
    </row>
    <row r="513" spans="1:26" ht="15.75" customHeight="1" x14ac:dyDescent="0.25">
      <c r="A513" s="305"/>
      <c r="B513" s="305"/>
      <c r="C513" s="305"/>
      <c r="D513" s="305"/>
      <c r="E513" s="305"/>
      <c r="F513" s="305"/>
      <c r="G513" s="305"/>
      <c r="H513" s="305"/>
      <c r="I513" s="305"/>
      <c r="J513" s="305"/>
      <c r="K513" s="305"/>
      <c r="L513" s="305"/>
      <c r="M513" s="305"/>
      <c r="N513" s="305"/>
      <c r="O513" s="305"/>
      <c r="P513" s="305"/>
      <c r="Q513" s="305"/>
      <c r="R513" s="305"/>
      <c r="S513" s="305"/>
      <c r="T513" s="305"/>
      <c r="U513" s="305"/>
      <c r="V513" s="305"/>
      <c r="W513" s="305"/>
      <c r="X513" s="305"/>
      <c r="Y513" s="305"/>
      <c r="Z513" s="305"/>
    </row>
    <row r="514" spans="1:26" ht="15.75" customHeight="1" x14ac:dyDescent="0.25">
      <c r="A514" s="305"/>
      <c r="B514" s="305"/>
      <c r="C514" s="305"/>
      <c r="D514" s="305"/>
      <c r="E514" s="305"/>
      <c r="F514" s="305"/>
      <c r="G514" s="305"/>
      <c r="H514" s="305"/>
      <c r="I514" s="305"/>
      <c r="J514" s="305"/>
      <c r="K514" s="305"/>
      <c r="L514" s="305"/>
      <c r="M514" s="305"/>
      <c r="N514" s="305"/>
      <c r="O514" s="305"/>
      <c r="P514" s="305"/>
      <c r="Q514" s="305"/>
      <c r="R514" s="305"/>
      <c r="S514" s="305"/>
      <c r="T514" s="305"/>
      <c r="U514" s="305"/>
      <c r="V514" s="305"/>
      <c r="W514" s="305"/>
      <c r="X514" s="305"/>
      <c r="Y514" s="305"/>
      <c r="Z514" s="305"/>
    </row>
    <row r="515" spans="1:26" ht="15.75" customHeight="1" x14ac:dyDescent="0.25">
      <c r="A515" s="305"/>
      <c r="B515" s="305"/>
      <c r="C515" s="305"/>
      <c r="D515" s="305"/>
      <c r="E515" s="305"/>
      <c r="F515" s="305"/>
      <c r="G515" s="305"/>
      <c r="H515" s="305"/>
      <c r="I515" s="305"/>
      <c r="J515" s="305"/>
      <c r="K515" s="305"/>
      <c r="L515" s="305"/>
      <c r="M515" s="305"/>
      <c r="N515" s="305"/>
      <c r="O515" s="305"/>
      <c r="P515" s="305"/>
      <c r="Q515" s="305"/>
      <c r="R515" s="305"/>
      <c r="S515" s="305"/>
      <c r="T515" s="305"/>
      <c r="U515" s="305"/>
      <c r="V515" s="305"/>
      <c r="W515" s="305"/>
      <c r="X515" s="305"/>
      <c r="Y515" s="305"/>
      <c r="Z515" s="305"/>
    </row>
    <row r="516" spans="1:26" ht="15.75" customHeight="1" x14ac:dyDescent="0.25">
      <c r="A516" s="305"/>
      <c r="B516" s="305"/>
      <c r="C516" s="305"/>
      <c r="D516" s="305"/>
      <c r="E516" s="305"/>
      <c r="F516" s="305"/>
      <c r="G516" s="305"/>
      <c r="H516" s="305"/>
      <c r="I516" s="305"/>
      <c r="J516" s="305"/>
      <c r="K516" s="305"/>
      <c r="L516" s="305"/>
      <c r="M516" s="305"/>
      <c r="N516" s="305"/>
      <c r="O516" s="305"/>
      <c r="P516" s="305"/>
      <c r="Q516" s="305"/>
      <c r="R516" s="305"/>
      <c r="S516" s="305"/>
      <c r="T516" s="305"/>
      <c r="U516" s="305"/>
      <c r="V516" s="305"/>
      <c r="W516" s="305"/>
      <c r="X516" s="305"/>
      <c r="Y516" s="305"/>
      <c r="Z516" s="305"/>
    </row>
    <row r="517" spans="1:26" ht="15.75" customHeight="1" x14ac:dyDescent="0.25">
      <c r="A517" s="305"/>
      <c r="B517" s="305"/>
      <c r="C517" s="305"/>
      <c r="D517" s="305"/>
      <c r="E517" s="305"/>
      <c r="F517" s="305"/>
      <c r="G517" s="305"/>
      <c r="H517" s="305"/>
      <c r="I517" s="305"/>
      <c r="J517" s="305"/>
      <c r="K517" s="305"/>
      <c r="L517" s="305"/>
      <c r="M517" s="305"/>
      <c r="N517" s="305"/>
      <c r="O517" s="305"/>
      <c r="P517" s="305"/>
      <c r="Q517" s="305"/>
      <c r="R517" s="305"/>
      <c r="S517" s="305"/>
      <c r="T517" s="305"/>
      <c r="U517" s="305"/>
      <c r="V517" s="305"/>
      <c r="W517" s="305"/>
      <c r="X517" s="305"/>
      <c r="Y517" s="305"/>
      <c r="Z517" s="305"/>
    </row>
    <row r="518" spans="1:26" ht="15.75" customHeight="1" x14ac:dyDescent="0.25">
      <c r="A518" s="305"/>
      <c r="B518" s="305"/>
      <c r="C518" s="305"/>
      <c r="D518" s="305"/>
      <c r="E518" s="305"/>
      <c r="F518" s="305"/>
      <c r="G518" s="305"/>
      <c r="H518" s="305"/>
      <c r="I518" s="305"/>
      <c r="J518" s="305"/>
      <c r="K518" s="305"/>
      <c r="L518" s="305"/>
      <c r="M518" s="305"/>
      <c r="N518" s="305"/>
      <c r="O518" s="305"/>
      <c r="P518" s="305"/>
      <c r="Q518" s="305"/>
      <c r="R518" s="305"/>
      <c r="S518" s="305"/>
      <c r="T518" s="305"/>
      <c r="U518" s="305"/>
      <c r="V518" s="305"/>
      <c r="W518" s="305"/>
      <c r="X518" s="305"/>
      <c r="Y518" s="305"/>
      <c r="Z518" s="305"/>
    </row>
    <row r="519" spans="1:26" ht="15.75" customHeight="1" x14ac:dyDescent="0.25">
      <c r="A519" s="305"/>
      <c r="B519" s="305"/>
      <c r="C519" s="305"/>
      <c r="D519" s="305"/>
      <c r="E519" s="305"/>
      <c r="F519" s="305"/>
      <c r="G519" s="305"/>
      <c r="H519" s="305"/>
      <c r="I519" s="305"/>
      <c r="J519" s="305"/>
      <c r="K519" s="305"/>
      <c r="L519" s="305"/>
      <c r="M519" s="305"/>
      <c r="N519" s="305"/>
      <c r="O519" s="305"/>
      <c r="P519" s="305"/>
      <c r="Q519" s="305"/>
      <c r="R519" s="305"/>
      <c r="S519" s="305"/>
      <c r="T519" s="305"/>
      <c r="U519" s="305"/>
      <c r="V519" s="305"/>
      <c r="W519" s="305"/>
      <c r="X519" s="305"/>
      <c r="Y519" s="305"/>
      <c r="Z519" s="305"/>
    </row>
    <row r="520" spans="1:26" ht="15.75" customHeight="1" x14ac:dyDescent="0.25">
      <c r="A520" s="305"/>
      <c r="B520" s="305"/>
      <c r="C520" s="305"/>
      <c r="D520" s="305"/>
      <c r="E520" s="305"/>
      <c r="F520" s="305"/>
      <c r="G520" s="305"/>
      <c r="H520" s="305"/>
      <c r="I520" s="305"/>
      <c r="J520" s="305"/>
      <c r="K520" s="305"/>
      <c r="L520" s="305"/>
      <c r="M520" s="305"/>
      <c r="N520" s="305"/>
      <c r="O520" s="305"/>
      <c r="P520" s="305"/>
      <c r="Q520" s="305"/>
      <c r="R520" s="305"/>
      <c r="S520" s="305"/>
      <c r="T520" s="305"/>
      <c r="U520" s="305"/>
      <c r="V520" s="305"/>
      <c r="W520" s="305"/>
      <c r="X520" s="305"/>
      <c r="Y520" s="305"/>
      <c r="Z520" s="305"/>
    </row>
    <row r="521" spans="1:26" ht="15.75" customHeight="1" x14ac:dyDescent="0.25">
      <c r="A521" s="305"/>
      <c r="B521" s="305"/>
      <c r="C521" s="305"/>
      <c r="D521" s="305"/>
      <c r="E521" s="305"/>
      <c r="F521" s="305"/>
      <c r="G521" s="305"/>
      <c r="H521" s="305"/>
      <c r="I521" s="305"/>
      <c r="J521" s="305"/>
      <c r="K521" s="305"/>
      <c r="L521" s="305"/>
      <c r="M521" s="305"/>
      <c r="N521" s="305"/>
      <c r="O521" s="305"/>
      <c r="P521" s="305"/>
      <c r="Q521" s="305"/>
      <c r="R521" s="305"/>
      <c r="S521" s="305"/>
      <c r="T521" s="305"/>
      <c r="U521" s="305"/>
      <c r="V521" s="305"/>
      <c r="W521" s="305"/>
      <c r="X521" s="305"/>
      <c r="Y521" s="305"/>
      <c r="Z521" s="305"/>
    </row>
    <row r="522" spans="1:26" ht="15.75" customHeight="1" x14ac:dyDescent="0.25">
      <c r="A522" s="305"/>
      <c r="B522" s="305"/>
      <c r="C522" s="305"/>
      <c r="D522" s="305"/>
      <c r="E522" s="305"/>
      <c r="F522" s="305"/>
      <c r="G522" s="305"/>
      <c r="H522" s="305"/>
      <c r="I522" s="305"/>
      <c r="J522" s="305"/>
      <c r="K522" s="305"/>
      <c r="L522" s="305"/>
      <c r="M522" s="305"/>
      <c r="N522" s="305"/>
      <c r="O522" s="305"/>
      <c r="P522" s="305"/>
      <c r="Q522" s="305"/>
      <c r="R522" s="305"/>
      <c r="S522" s="305"/>
      <c r="T522" s="305"/>
      <c r="U522" s="305"/>
      <c r="V522" s="305"/>
      <c r="W522" s="305"/>
      <c r="X522" s="305"/>
      <c r="Y522" s="305"/>
      <c r="Z522" s="305"/>
    </row>
    <row r="523" spans="1:26" ht="15.75" customHeight="1" x14ac:dyDescent="0.25">
      <c r="A523" s="305"/>
      <c r="B523" s="305"/>
      <c r="C523" s="305"/>
      <c r="D523" s="305"/>
      <c r="E523" s="305"/>
      <c r="F523" s="305"/>
      <c r="G523" s="305"/>
      <c r="H523" s="305"/>
      <c r="I523" s="305"/>
      <c r="J523" s="305"/>
      <c r="K523" s="305"/>
      <c r="L523" s="305"/>
      <c r="M523" s="305"/>
      <c r="N523" s="305"/>
      <c r="O523" s="305"/>
      <c r="P523" s="305"/>
      <c r="Q523" s="305"/>
      <c r="R523" s="305"/>
      <c r="S523" s="305"/>
      <c r="T523" s="305"/>
      <c r="U523" s="305"/>
      <c r="V523" s="305"/>
      <c r="W523" s="305"/>
      <c r="X523" s="305"/>
      <c r="Y523" s="305"/>
      <c r="Z523" s="305"/>
    </row>
    <row r="524" spans="1:26" ht="15.75" customHeight="1" x14ac:dyDescent="0.25">
      <c r="A524" s="305"/>
      <c r="B524" s="305"/>
      <c r="C524" s="305"/>
      <c r="D524" s="305"/>
      <c r="E524" s="305"/>
      <c r="F524" s="305"/>
      <c r="G524" s="305"/>
      <c r="H524" s="305"/>
      <c r="I524" s="305"/>
      <c r="J524" s="305"/>
      <c r="K524" s="305"/>
      <c r="L524" s="305"/>
      <c r="M524" s="305"/>
      <c r="N524" s="305"/>
      <c r="O524" s="305"/>
      <c r="P524" s="305"/>
      <c r="Q524" s="305"/>
      <c r="R524" s="305"/>
      <c r="S524" s="305"/>
      <c r="T524" s="305"/>
      <c r="U524" s="305"/>
      <c r="V524" s="305"/>
      <c r="W524" s="305"/>
      <c r="X524" s="305"/>
      <c r="Y524" s="305"/>
      <c r="Z524" s="305"/>
    </row>
    <row r="525" spans="1:26" ht="15.75" customHeight="1" x14ac:dyDescent="0.25">
      <c r="A525" s="305"/>
      <c r="B525" s="305"/>
      <c r="C525" s="305"/>
      <c r="D525" s="305"/>
      <c r="E525" s="305"/>
      <c r="F525" s="305"/>
      <c r="G525" s="305"/>
      <c r="H525" s="305"/>
      <c r="I525" s="305"/>
      <c r="J525" s="305"/>
      <c r="K525" s="305"/>
      <c r="L525" s="305"/>
      <c r="M525" s="305"/>
      <c r="N525" s="305"/>
      <c r="O525" s="305"/>
      <c r="P525" s="305"/>
      <c r="Q525" s="305"/>
      <c r="R525" s="305"/>
      <c r="S525" s="305"/>
      <c r="T525" s="305"/>
      <c r="U525" s="305"/>
      <c r="V525" s="305"/>
      <c r="W525" s="305"/>
      <c r="X525" s="305"/>
      <c r="Y525" s="305"/>
      <c r="Z525" s="305"/>
    </row>
    <row r="526" spans="1:26" ht="15.75" customHeight="1" x14ac:dyDescent="0.25">
      <c r="A526" s="305"/>
      <c r="B526" s="305"/>
      <c r="C526" s="305"/>
      <c r="D526" s="305"/>
      <c r="E526" s="305"/>
      <c r="F526" s="305"/>
      <c r="G526" s="305"/>
      <c r="H526" s="305"/>
      <c r="I526" s="305"/>
      <c r="J526" s="305"/>
      <c r="K526" s="305"/>
      <c r="L526" s="305"/>
      <c r="M526" s="305"/>
      <c r="N526" s="305"/>
      <c r="O526" s="305"/>
      <c r="P526" s="305"/>
      <c r="Q526" s="305"/>
      <c r="R526" s="305"/>
      <c r="S526" s="305"/>
      <c r="T526" s="305"/>
      <c r="U526" s="305"/>
      <c r="V526" s="305"/>
      <c r="W526" s="305"/>
      <c r="X526" s="305"/>
      <c r="Y526" s="305"/>
      <c r="Z526" s="305"/>
    </row>
    <row r="527" spans="1:26" ht="15.75" customHeight="1" x14ac:dyDescent="0.25">
      <c r="A527" s="305"/>
      <c r="B527" s="305"/>
      <c r="C527" s="305"/>
      <c r="D527" s="305"/>
      <c r="E527" s="305"/>
      <c r="F527" s="305"/>
      <c r="G527" s="305"/>
      <c r="H527" s="305"/>
      <c r="I527" s="305"/>
      <c r="J527" s="305"/>
      <c r="K527" s="305"/>
      <c r="L527" s="305"/>
      <c r="M527" s="305"/>
      <c r="N527" s="305"/>
      <c r="O527" s="305"/>
      <c r="P527" s="305"/>
      <c r="Q527" s="305"/>
      <c r="R527" s="305"/>
      <c r="S527" s="305"/>
      <c r="T527" s="305"/>
      <c r="U527" s="305"/>
      <c r="V527" s="305"/>
      <c r="W527" s="305"/>
      <c r="X527" s="305"/>
      <c r="Y527" s="305"/>
      <c r="Z527" s="305"/>
    </row>
    <row r="528" spans="1:26" ht="15.75" customHeight="1" x14ac:dyDescent="0.25">
      <c r="A528" s="305"/>
      <c r="B528" s="305"/>
      <c r="C528" s="305"/>
      <c r="D528" s="305"/>
      <c r="E528" s="305"/>
      <c r="F528" s="305"/>
      <c r="G528" s="305"/>
      <c r="H528" s="305"/>
      <c r="I528" s="305"/>
      <c r="J528" s="305"/>
      <c r="K528" s="305"/>
      <c r="L528" s="305"/>
      <c r="M528" s="305"/>
      <c r="N528" s="305"/>
      <c r="O528" s="305"/>
      <c r="P528" s="305"/>
      <c r="Q528" s="305"/>
      <c r="R528" s="305"/>
      <c r="S528" s="305"/>
      <c r="T528" s="305"/>
      <c r="U528" s="305"/>
      <c r="V528" s="305"/>
      <c r="W528" s="305"/>
      <c r="X528" s="305"/>
      <c r="Y528" s="305"/>
      <c r="Z528" s="305"/>
    </row>
    <row r="529" spans="1:26" ht="15.75" customHeight="1" x14ac:dyDescent="0.25">
      <c r="A529" s="305"/>
      <c r="B529" s="305"/>
      <c r="C529" s="305"/>
      <c r="D529" s="305"/>
      <c r="E529" s="305"/>
      <c r="F529" s="305"/>
      <c r="G529" s="305"/>
      <c r="H529" s="305"/>
      <c r="I529" s="305"/>
      <c r="J529" s="305"/>
      <c r="K529" s="305"/>
      <c r="L529" s="305"/>
      <c r="M529" s="305"/>
      <c r="N529" s="305"/>
      <c r="O529" s="305"/>
      <c r="P529" s="305"/>
      <c r="Q529" s="305"/>
      <c r="R529" s="305"/>
      <c r="S529" s="305"/>
      <c r="T529" s="305"/>
      <c r="U529" s="305"/>
      <c r="V529" s="305"/>
      <c r="W529" s="305"/>
      <c r="X529" s="305"/>
      <c r="Y529" s="305"/>
      <c r="Z529" s="305"/>
    </row>
    <row r="530" spans="1:26" ht="15.75" customHeight="1" x14ac:dyDescent="0.25">
      <c r="A530" s="305"/>
      <c r="B530" s="305"/>
      <c r="C530" s="305"/>
      <c r="D530" s="305"/>
      <c r="E530" s="305"/>
      <c r="F530" s="305"/>
      <c r="G530" s="305"/>
      <c r="H530" s="305"/>
      <c r="I530" s="305"/>
      <c r="J530" s="305"/>
      <c r="K530" s="305"/>
      <c r="L530" s="305"/>
      <c r="M530" s="305"/>
      <c r="N530" s="305"/>
      <c r="O530" s="305"/>
      <c r="P530" s="305"/>
      <c r="Q530" s="305"/>
      <c r="R530" s="305"/>
      <c r="S530" s="305"/>
      <c r="T530" s="305"/>
      <c r="U530" s="305"/>
      <c r="V530" s="305"/>
      <c r="W530" s="305"/>
      <c r="X530" s="305"/>
      <c r="Y530" s="305"/>
      <c r="Z530" s="305"/>
    </row>
    <row r="531" spans="1:26" ht="15.75" customHeight="1" x14ac:dyDescent="0.25">
      <c r="A531" s="305"/>
      <c r="B531" s="305"/>
      <c r="C531" s="305"/>
      <c r="D531" s="305"/>
      <c r="E531" s="305"/>
      <c r="F531" s="305"/>
      <c r="G531" s="305"/>
      <c r="H531" s="305"/>
      <c r="I531" s="305"/>
      <c r="J531" s="305"/>
      <c r="K531" s="305"/>
      <c r="L531" s="305"/>
      <c r="M531" s="305"/>
      <c r="N531" s="305"/>
      <c r="O531" s="305"/>
      <c r="P531" s="305"/>
      <c r="Q531" s="305"/>
      <c r="R531" s="305"/>
      <c r="S531" s="305"/>
      <c r="T531" s="305"/>
      <c r="U531" s="305"/>
      <c r="V531" s="305"/>
      <c r="W531" s="305"/>
      <c r="X531" s="305"/>
      <c r="Y531" s="305"/>
      <c r="Z531" s="305"/>
    </row>
    <row r="532" spans="1:26" ht="15.75" customHeight="1" x14ac:dyDescent="0.25">
      <c r="A532" s="305"/>
      <c r="B532" s="305"/>
      <c r="C532" s="305"/>
      <c r="D532" s="305"/>
      <c r="E532" s="305"/>
      <c r="F532" s="305"/>
      <c r="G532" s="305"/>
      <c r="H532" s="305"/>
      <c r="I532" s="305"/>
      <c r="J532" s="305"/>
      <c r="K532" s="305"/>
      <c r="L532" s="305"/>
      <c r="M532" s="305"/>
      <c r="N532" s="305"/>
      <c r="O532" s="305"/>
      <c r="P532" s="305"/>
      <c r="Q532" s="305"/>
      <c r="R532" s="305"/>
      <c r="S532" s="305"/>
      <c r="T532" s="305"/>
      <c r="U532" s="305"/>
      <c r="V532" s="305"/>
      <c r="W532" s="305"/>
      <c r="X532" s="305"/>
      <c r="Y532" s="305"/>
      <c r="Z532" s="305"/>
    </row>
    <row r="533" spans="1:26" ht="15.75" customHeight="1" x14ac:dyDescent="0.25">
      <c r="A533" s="305"/>
      <c r="B533" s="305"/>
      <c r="C533" s="305"/>
      <c r="D533" s="305"/>
      <c r="E533" s="305"/>
      <c r="F533" s="305"/>
      <c r="G533" s="305"/>
      <c r="H533" s="305"/>
      <c r="I533" s="305"/>
      <c r="J533" s="305"/>
      <c r="K533" s="305"/>
      <c r="L533" s="305"/>
      <c r="M533" s="305"/>
      <c r="N533" s="305"/>
      <c r="O533" s="305"/>
      <c r="P533" s="305"/>
      <c r="Q533" s="305"/>
      <c r="R533" s="305"/>
      <c r="S533" s="305"/>
      <c r="T533" s="305"/>
      <c r="U533" s="305"/>
      <c r="V533" s="305"/>
      <c r="W533" s="305"/>
      <c r="X533" s="305"/>
      <c r="Y533" s="305"/>
      <c r="Z533" s="305"/>
    </row>
    <row r="534" spans="1:26" ht="15.75" customHeight="1" x14ac:dyDescent="0.25">
      <c r="A534" s="305"/>
      <c r="B534" s="305"/>
      <c r="C534" s="305"/>
      <c r="D534" s="305"/>
      <c r="E534" s="305"/>
      <c r="F534" s="305"/>
      <c r="G534" s="305"/>
      <c r="H534" s="305"/>
      <c r="I534" s="305"/>
      <c r="J534" s="305"/>
      <c r="K534" s="305"/>
      <c r="L534" s="305"/>
      <c r="M534" s="305"/>
      <c r="N534" s="305"/>
      <c r="O534" s="305"/>
      <c r="P534" s="305"/>
      <c r="Q534" s="305"/>
      <c r="R534" s="305"/>
      <c r="S534" s="305"/>
      <c r="T534" s="305"/>
      <c r="U534" s="305"/>
      <c r="V534" s="305"/>
      <c r="W534" s="305"/>
      <c r="X534" s="305"/>
      <c r="Y534" s="305"/>
      <c r="Z534" s="305"/>
    </row>
    <row r="535" spans="1:26" ht="15.75" customHeight="1" x14ac:dyDescent="0.25">
      <c r="A535" s="305"/>
      <c r="B535" s="305"/>
      <c r="C535" s="305"/>
      <c r="D535" s="305"/>
      <c r="E535" s="305"/>
      <c r="F535" s="305"/>
      <c r="G535" s="305"/>
      <c r="H535" s="305"/>
      <c r="I535" s="305"/>
      <c r="J535" s="305"/>
      <c r="K535" s="305"/>
      <c r="L535" s="305"/>
      <c r="M535" s="305"/>
      <c r="N535" s="305"/>
      <c r="O535" s="305"/>
      <c r="P535" s="305"/>
      <c r="Q535" s="305"/>
      <c r="R535" s="305"/>
      <c r="S535" s="305"/>
      <c r="T535" s="305"/>
      <c r="U535" s="305"/>
      <c r="V535" s="305"/>
      <c r="W535" s="305"/>
      <c r="X535" s="305"/>
      <c r="Y535" s="305"/>
      <c r="Z535" s="305"/>
    </row>
    <row r="536" spans="1:26" ht="15.75" customHeight="1" x14ac:dyDescent="0.25">
      <c r="A536" s="305"/>
      <c r="B536" s="305"/>
      <c r="C536" s="305"/>
      <c r="D536" s="305"/>
      <c r="E536" s="305"/>
      <c r="F536" s="305"/>
      <c r="G536" s="305"/>
      <c r="H536" s="305"/>
      <c r="I536" s="305"/>
      <c r="J536" s="305"/>
      <c r="K536" s="305"/>
      <c r="L536" s="305"/>
      <c r="M536" s="305"/>
      <c r="N536" s="305"/>
      <c r="O536" s="305"/>
      <c r="P536" s="305"/>
      <c r="Q536" s="305"/>
      <c r="R536" s="305"/>
      <c r="S536" s="305"/>
      <c r="T536" s="305"/>
      <c r="U536" s="305"/>
      <c r="V536" s="305"/>
      <c r="W536" s="305"/>
      <c r="X536" s="305"/>
      <c r="Y536" s="305"/>
      <c r="Z536" s="305"/>
    </row>
    <row r="537" spans="1:26" ht="15.75" customHeight="1" x14ac:dyDescent="0.25">
      <c r="A537" s="305"/>
      <c r="B537" s="305"/>
      <c r="C537" s="305"/>
      <c r="D537" s="305"/>
      <c r="E537" s="305"/>
      <c r="F537" s="305"/>
      <c r="G537" s="305"/>
      <c r="H537" s="305"/>
      <c r="I537" s="305"/>
      <c r="J537" s="305"/>
      <c r="K537" s="305"/>
      <c r="L537" s="305"/>
      <c r="M537" s="305"/>
      <c r="N537" s="305"/>
      <c r="O537" s="305"/>
      <c r="P537" s="305"/>
      <c r="Q537" s="305"/>
      <c r="R537" s="305"/>
      <c r="S537" s="305"/>
      <c r="T537" s="305"/>
      <c r="U537" s="305"/>
      <c r="V537" s="305"/>
      <c r="W537" s="305"/>
      <c r="X537" s="305"/>
      <c r="Y537" s="305"/>
      <c r="Z537" s="305"/>
    </row>
    <row r="538" spans="1:26" ht="15.75" customHeight="1" x14ac:dyDescent="0.25">
      <c r="A538" s="305"/>
      <c r="B538" s="305"/>
      <c r="C538" s="305"/>
      <c r="D538" s="305"/>
      <c r="E538" s="305"/>
      <c r="F538" s="305"/>
      <c r="G538" s="305"/>
      <c r="H538" s="305"/>
      <c r="I538" s="305"/>
      <c r="J538" s="305"/>
      <c r="K538" s="305"/>
      <c r="L538" s="305"/>
      <c r="M538" s="305"/>
      <c r="N538" s="305"/>
      <c r="O538" s="305"/>
      <c r="P538" s="305"/>
      <c r="Q538" s="305"/>
      <c r="R538" s="305"/>
      <c r="S538" s="305"/>
      <c r="T538" s="305"/>
      <c r="U538" s="305"/>
      <c r="V538" s="305"/>
      <c r="W538" s="305"/>
      <c r="X538" s="305"/>
      <c r="Y538" s="305"/>
      <c r="Z538" s="305"/>
    </row>
    <row r="539" spans="1:26" ht="15.75" customHeight="1" x14ac:dyDescent="0.25">
      <c r="A539" s="305"/>
      <c r="B539" s="305"/>
      <c r="C539" s="305"/>
      <c r="D539" s="305"/>
      <c r="E539" s="305"/>
      <c r="F539" s="305"/>
      <c r="G539" s="305"/>
      <c r="H539" s="305"/>
      <c r="I539" s="305"/>
      <c r="J539" s="305"/>
      <c r="K539" s="305"/>
      <c r="L539" s="305"/>
      <c r="M539" s="305"/>
      <c r="N539" s="305"/>
      <c r="O539" s="305"/>
      <c r="P539" s="305"/>
      <c r="Q539" s="305"/>
      <c r="R539" s="305"/>
      <c r="S539" s="305"/>
      <c r="T539" s="305"/>
      <c r="U539" s="305"/>
      <c r="V539" s="305"/>
      <c r="W539" s="305"/>
      <c r="X539" s="305"/>
      <c r="Y539" s="305"/>
      <c r="Z539" s="305"/>
    </row>
    <row r="540" spans="1:26" ht="15.75" customHeight="1" x14ac:dyDescent="0.25">
      <c r="A540" s="305"/>
      <c r="B540" s="305"/>
      <c r="C540" s="305"/>
      <c r="D540" s="305"/>
      <c r="E540" s="305"/>
      <c r="F540" s="305"/>
      <c r="G540" s="305"/>
      <c r="H540" s="305"/>
      <c r="I540" s="305"/>
      <c r="J540" s="305"/>
      <c r="K540" s="305"/>
      <c r="L540" s="305"/>
      <c r="M540" s="305"/>
      <c r="N540" s="305"/>
      <c r="O540" s="305"/>
      <c r="P540" s="305"/>
      <c r="Q540" s="305"/>
      <c r="R540" s="305"/>
      <c r="S540" s="305"/>
      <c r="T540" s="305"/>
      <c r="U540" s="305"/>
      <c r="V540" s="305"/>
      <c r="W540" s="305"/>
      <c r="X540" s="305"/>
      <c r="Y540" s="305"/>
      <c r="Z540" s="305"/>
    </row>
    <row r="541" spans="1:26" ht="15.75" customHeight="1" x14ac:dyDescent="0.25">
      <c r="A541" s="305"/>
      <c r="B541" s="305"/>
      <c r="C541" s="305"/>
      <c r="D541" s="305"/>
      <c r="E541" s="305"/>
      <c r="F541" s="305"/>
      <c r="G541" s="305"/>
      <c r="H541" s="305"/>
      <c r="I541" s="305"/>
      <c r="J541" s="305"/>
      <c r="K541" s="305"/>
      <c r="L541" s="305"/>
      <c r="M541" s="305"/>
      <c r="N541" s="305"/>
      <c r="O541" s="305"/>
      <c r="P541" s="305"/>
      <c r="Q541" s="305"/>
      <c r="R541" s="305"/>
      <c r="S541" s="305"/>
      <c r="T541" s="305"/>
      <c r="U541" s="305"/>
      <c r="V541" s="305"/>
      <c r="W541" s="305"/>
      <c r="X541" s="305"/>
      <c r="Y541" s="305"/>
      <c r="Z541" s="305"/>
    </row>
    <row r="542" spans="1:26" ht="15.75" customHeight="1" x14ac:dyDescent="0.25">
      <c r="A542" s="305"/>
      <c r="B542" s="305"/>
      <c r="C542" s="305"/>
      <c r="D542" s="305"/>
      <c r="E542" s="305"/>
      <c r="F542" s="305"/>
      <c r="G542" s="305"/>
      <c r="H542" s="305"/>
      <c r="I542" s="305"/>
      <c r="J542" s="305"/>
      <c r="K542" s="305"/>
      <c r="L542" s="305"/>
      <c r="M542" s="305"/>
      <c r="N542" s="305"/>
      <c r="O542" s="305"/>
      <c r="P542" s="305"/>
      <c r="Q542" s="305"/>
      <c r="R542" s="305"/>
      <c r="S542" s="305"/>
      <c r="T542" s="305"/>
      <c r="U542" s="305"/>
      <c r="V542" s="305"/>
      <c r="W542" s="305"/>
      <c r="X542" s="305"/>
      <c r="Y542" s="305"/>
      <c r="Z542" s="305"/>
    </row>
    <row r="543" spans="1:26" ht="15.75" customHeight="1" x14ac:dyDescent="0.25">
      <c r="A543" s="305"/>
      <c r="B543" s="305"/>
      <c r="C543" s="305"/>
      <c r="D543" s="305"/>
      <c r="E543" s="305"/>
      <c r="F543" s="305"/>
      <c r="G543" s="305"/>
      <c r="H543" s="305"/>
      <c r="I543" s="305"/>
      <c r="J543" s="305"/>
      <c r="K543" s="305"/>
      <c r="L543" s="305"/>
      <c r="M543" s="305"/>
      <c r="N543" s="305"/>
      <c r="O543" s="305"/>
      <c r="P543" s="305"/>
      <c r="Q543" s="305"/>
      <c r="R543" s="305"/>
      <c r="S543" s="305"/>
      <c r="T543" s="305"/>
      <c r="U543" s="305"/>
      <c r="V543" s="305"/>
      <c r="W543" s="305"/>
      <c r="X543" s="305"/>
      <c r="Y543" s="305"/>
      <c r="Z543" s="305"/>
    </row>
    <row r="544" spans="1:26" ht="15.75" customHeight="1" x14ac:dyDescent="0.25">
      <c r="A544" s="305"/>
      <c r="B544" s="305"/>
      <c r="C544" s="305"/>
      <c r="D544" s="305"/>
      <c r="E544" s="305"/>
      <c r="F544" s="305"/>
      <c r="G544" s="305"/>
      <c r="H544" s="305"/>
      <c r="I544" s="305"/>
      <c r="J544" s="305"/>
      <c r="K544" s="305"/>
      <c r="L544" s="305"/>
      <c r="M544" s="305"/>
      <c r="N544" s="305"/>
      <c r="O544" s="305"/>
      <c r="P544" s="305"/>
      <c r="Q544" s="305"/>
      <c r="R544" s="305"/>
      <c r="S544" s="305"/>
      <c r="T544" s="305"/>
      <c r="U544" s="305"/>
      <c r="V544" s="305"/>
      <c r="W544" s="305"/>
      <c r="X544" s="305"/>
      <c r="Y544" s="305"/>
      <c r="Z544" s="305"/>
    </row>
    <row r="545" spans="1:26" ht="15.75" customHeight="1" x14ac:dyDescent="0.25">
      <c r="A545" s="305"/>
      <c r="B545" s="305"/>
      <c r="C545" s="305"/>
      <c r="D545" s="305"/>
      <c r="E545" s="305"/>
      <c r="F545" s="305"/>
      <c r="G545" s="305"/>
      <c r="H545" s="305"/>
      <c r="I545" s="305"/>
      <c r="J545" s="305"/>
      <c r="K545" s="305"/>
      <c r="L545" s="305"/>
      <c r="M545" s="305"/>
      <c r="N545" s="305"/>
      <c r="O545" s="305"/>
      <c r="P545" s="305"/>
      <c r="Q545" s="305"/>
      <c r="R545" s="305"/>
      <c r="S545" s="305"/>
      <c r="T545" s="305"/>
      <c r="U545" s="305"/>
      <c r="V545" s="305"/>
      <c r="W545" s="305"/>
      <c r="X545" s="305"/>
      <c r="Y545" s="305"/>
      <c r="Z545" s="305"/>
    </row>
    <row r="546" spans="1:26" ht="15.75" customHeight="1" x14ac:dyDescent="0.25">
      <c r="A546" s="305"/>
      <c r="B546" s="305"/>
      <c r="C546" s="305"/>
      <c r="D546" s="305"/>
      <c r="E546" s="305"/>
      <c r="F546" s="305"/>
      <c r="G546" s="305"/>
      <c r="H546" s="305"/>
      <c r="I546" s="305"/>
      <c r="J546" s="305"/>
      <c r="K546" s="305"/>
      <c r="L546" s="305"/>
      <c r="M546" s="305"/>
      <c r="N546" s="305"/>
      <c r="O546" s="305"/>
      <c r="P546" s="305"/>
      <c r="Q546" s="305"/>
      <c r="R546" s="305"/>
      <c r="S546" s="305"/>
      <c r="T546" s="305"/>
      <c r="U546" s="305"/>
      <c r="V546" s="305"/>
      <c r="W546" s="305"/>
      <c r="X546" s="305"/>
      <c r="Y546" s="305"/>
      <c r="Z546" s="305"/>
    </row>
    <row r="547" spans="1:26" ht="15.75" customHeight="1" x14ac:dyDescent="0.25">
      <c r="A547" s="305"/>
      <c r="B547" s="305"/>
      <c r="C547" s="305"/>
      <c r="D547" s="305"/>
      <c r="E547" s="305"/>
      <c r="F547" s="305"/>
      <c r="G547" s="305"/>
      <c r="H547" s="305"/>
      <c r="I547" s="305"/>
      <c r="J547" s="305"/>
      <c r="K547" s="305"/>
      <c r="L547" s="305"/>
      <c r="M547" s="305"/>
      <c r="N547" s="305"/>
      <c r="O547" s="305"/>
      <c r="P547" s="305"/>
      <c r="Q547" s="305"/>
      <c r="R547" s="305"/>
      <c r="S547" s="305"/>
      <c r="T547" s="305"/>
      <c r="U547" s="305"/>
      <c r="V547" s="305"/>
      <c r="W547" s="305"/>
      <c r="X547" s="305"/>
      <c r="Y547" s="305"/>
      <c r="Z547" s="305"/>
    </row>
    <row r="548" spans="1:26" ht="15.75" customHeight="1" x14ac:dyDescent="0.25">
      <c r="A548" s="305"/>
      <c r="B548" s="305"/>
      <c r="C548" s="305"/>
      <c r="D548" s="305"/>
      <c r="E548" s="305"/>
      <c r="F548" s="305"/>
      <c r="G548" s="305"/>
      <c r="H548" s="305"/>
      <c r="I548" s="305"/>
      <c r="J548" s="305"/>
      <c r="K548" s="305"/>
      <c r="L548" s="305"/>
      <c r="M548" s="305"/>
      <c r="N548" s="305"/>
      <c r="O548" s="305"/>
      <c r="P548" s="305"/>
      <c r="Q548" s="305"/>
      <c r="R548" s="305"/>
      <c r="S548" s="305"/>
      <c r="T548" s="305"/>
      <c r="U548" s="305"/>
      <c r="V548" s="305"/>
      <c r="W548" s="305"/>
      <c r="X548" s="305"/>
      <c r="Y548" s="305"/>
      <c r="Z548" s="305"/>
    </row>
    <row r="549" spans="1:26" ht="15.75" customHeight="1" x14ac:dyDescent="0.25">
      <c r="A549" s="305"/>
      <c r="B549" s="305"/>
      <c r="C549" s="305"/>
      <c r="D549" s="305"/>
      <c r="E549" s="305"/>
      <c r="F549" s="305"/>
      <c r="G549" s="305"/>
      <c r="H549" s="305"/>
      <c r="I549" s="305"/>
      <c r="J549" s="305"/>
      <c r="K549" s="305"/>
      <c r="L549" s="305"/>
      <c r="M549" s="305"/>
      <c r="N549" s="305"/>
      <c r="O549" s="305"/>
      <c r="P549" s="305"/>
      <c r="Q549" s="305"/>
      <c r="R549" s="305"/>
      <c r="S549" s="305"/>
      <c r="T549" s="305"/>
      <c r="U549" s="305"/>
      <c r="V549" s="305"/>
      <c r="W549" s="305"/>
      <c r="X549" s="305"/>
      <c r="Y549" s="305"/>
      <c r="Z549" s="305"/>
    </row>
    <row r="550" spans="1:26" ht="15.75" customHeight="1" x14ac:dyDescent="0.25">
      <c r="A550" s="305"/>
      <c r="B550" s="305"/>
      <c r="C550" s="305"/>
      <c r="D550" s="305"/>
      <c r="E550" s="305"/>
      <c r="F550" s="305"/>
      <c r="G550" s="305"/>
      <c r="H550" s="305"/>
      <c r="I550" s="305"/>
      <c r="J550" s="305"/>
      <c r="K550" s="305"/>
      <c r="L550" s="305"/>
      <c r="M550" s="305"/>
      <c r="N550" s="305"/>
      <c r="O550" s="305"/>
      <c r="P550" s="305"/>
      <c r="Q550" s="305"/>
      <c r="R550" s="305"/>
      <c r="S550" s="305"/>
      <c r="T550" s="305"/>
      <c r="U550" s="305"/>
      <c r="V550" s="305"/>
      <c r="W550" s="305"/>
      <c r="X550" s="305"/>
      <c r="Y550" s="305"/>
      <c r="Z550" s="305"/>
    </row>
    <row r="551" spans="1:26" ht="15.75" customHeight="1" x14ac:dyDescent="0.25">
      <c r="A551" s="305"/>
      <c r="B551" s="305"/>
      <c r="C551" s="305"/>
      <c r="D551" s="305"/>
      <c r="E551" s="305"/>
      <c r="F551" s="305"/>
      <c r="G551" s="305"/>
      <c r="H551" s="305"/>
      <c r="I551" s="305"/>
      <c r="J551" s="305"/>
      <c r="K551" s="305"/>
      <c r="L551" s="305"/>
      <c r="M551" s="305"/>
      <c r="N551" s="305"/>
      <c r="O551" s="305"/>
      <c r="P551" s="305"/>
      <c r="Q551" s="305"/>
      <c r="R551" s="305"/>
      <c r="S551" s="305"/>
      <c r="T551" s="305"/>
      <c r="U551" s="305"/>
      <c r="V551" s="305"/>
      <c r="W551" s="305"/>
      <c r="X551" s="305"/>
      <c r="Y551" s="305"/>
      <c r="Z551" s="305"/>
    </row>
    <row r="552" spans="1:26" ht="15.75" customHeight="1" x14ac:dyDescent="0.25">
      <c r="A552" s="305"/>
      <c r="B552" s="305"/>
      <c r="C552" s="305"/>
      <c r="D552" s="305"/>
      <c r="E552" s="305"/>
      <c r="F552" s="305"/>
      <c r="G552" s="305"/>
      <c r="H552" s="305"/>
      <c r="I552" s="305"/>
      <c r="J552" s="305"/>
      <c r="K552" s="305"/>
      <c r="L552" s="305"/>
      <c r="M552" s="305"/>
      <c r="N552" s="305"/>
      <c r="O552" s="305"/>
      <c r="P552" s="305"/>
      <c r="Q552" s="305"/>
      <c r="R552" s="305"/>
      <c r="S552" s="305"/>
      <c r="T552" s="305"/>
      <c r="U552" s="305"/>
      <c r="V552" s="305"/>
      <c r="W552" s="305"/>
      <c r="X552" s="305"/>
      <c r="Y552" s="305"/>
      <c r="Z552" s="305"/>
    </row>
    <row r="553" spans="1:26" ht="15.75" customHeight="1" x14ac:dyDescent="0.25">
      <c r="A553" s="305"/>
      <c r="B553" s="305"/>
      <c r="C553" s="305"/>
      <c r="D553" s="305"/>
      <c r="E553" s="305"/>
      <c r="F553" s="305"/>
      <c r="G553" s="305"/>
      <c r="H553" s="305"/>
      <c r="I553" s="305"/>
      <c r="J553" s="305"/>
      <c r="K553" s="305"/>
      <c r="L553" s="305"/>
      <c r="M553" s="305"/>
      <c r="N553" s="305"/>
      <c r="O553" s="305"/>
      <c r="P553" s="305"/>
      <c r="Q553" s="305"/>
      <c r="R553" s="305"/>
      <c r="S553" s="305"/>
      <c r="T553" s="305"/>
      <c r="U553" s="305"/>
      <c r="V553" s="305"/>
      <c r="W553" s="305"/>
      <c r="X553" s="305"/>
      <c r="Y553" s="305"/>
      <c r="Z553" s="305"/>
    </row>
    <row r="554" spans="1:26" ht="15.75" customHeight="1" x14ac:dyDescent="0.25">
      <c r="A554" s="305"/>
      <c r="B554" s="305"/>
      <c r="C554" s="305"/>
      <c r="D554" s="305"/>
      <c r="E554" s="305"/>
      <c r="F554" s="305"/>
      <c r="G554" s="305"/>
      <c r="H554" s="305"/>
      <c r="I554" s="305"/>
      <c r="J554" s="305"/>
      <c r="K554" s="305"/>
      <c r="L554" s="305"/>
      <c r="M554" s="305"/>
      <c r="N554" s="305"/>
      <c r="O554" s="305"/>
      <c r="P554" s="305"/>
      <c r="Q554" s="305"/>
      <c r="R554" s="305"/>
      <c r="S554" s="305"/>
      <c r="T554" s="305"/>
      <c r="U554" s="305"/>
      <c r="V554" s="305"/>
      <c r="W554" s="305"/>
      <c r="X554" s="305"/>
      <c r="Y554" s="305"/>
      <c r="Z554" s="305"/>
    </row>
    <row r="555" spans="1:26" ht="15.75" customHeight="1" x14ac:dyDescent="0.25">
      <c r="A555" s="305"/>
      <c r="B555" s="305"/>
      <c r="C555" s="305"/>
      <c r="D555" s="305"/>
      <c r="E555" s="305"/>
      <c r="F555" s="305"/>
      <c r="G555" s="305"/>
      <c r="H555" s="305"/>
      <c r="I555" s="305"/>
      <c r="J555" s="305"/>
      <c r="K555" s="305"/>
      <c r="L555" s="305"/>
      <c r="M555" s="305"/>
      <c r="N555" s="305"/>
      <c r="O555" s="305"/>
      <c r="P555" s="305"/>
      <c r="Q555" s="305"/>
      <c r="R555" s="305"/>
      <c r="S555" s="305"/>
      <c r="T555" s="305"/>
      <c r="U555" s="305"/>
      <c r="V555" s="305"/>
      <c r="W555" s="305"/>
      <c r="X555" s="305"/>
      <c r="Y555" s="305"/>
      <c r="Z555" s="305"/>
    </row>
    <row r="556" spans="1:26" ht="15.75" customHeight="1" x14ac:dyDescent="0.25">
      <c r="A556" s="305"/>
      <c r="B556" s="305"/>
      <c r="C556" s="305"/>
      <c r="D556" s="305"/>
      <c r="E556" s="305"/>
      <c r="F556" s="305"/>
      <c r="G556" s="305"/>
      <c r="H556" s="305"/>
      <c r="I556" s="305"/>
      <c r="J556" s="305"/>
      <c r="K556" s="305"/>
      <c r="L556" s="305"/>
      <c r="M556" s="305"/>
      <c r="N556" s="305"/>
      <c r="O556" s="305"/>
      <c r="P556" s="305"/>
      <c r="Q556" s="305"/>
      <c r="R556" s="305"/>
      <c r="S556" s="305"/>
      <c r="T556" s="305"/>
      <c r="U556" s="305"/>
      <c r="V556" s="305"/>
      <c r="W556" s="305"/>
      <c r="X556" s="305"/>
      <c r="Y556" s="305"/>
      <c r="Z556" s="305"/>
    </row>
    <row r="557" spans="1:26" ht="15.75" customHeight="1" x14ac:dyDescent="0.25">
      <c r="A557" s="305"/>
      <c r="B557" s="305"/>
      <c r="C557" s="305"/>
      <c r="D557" s="305"/>
      <c r="E557" s="305"/>
      <c r="F557" s="305"/>
      <c r="G557" s="305"/>
      <c r="H557" s="305"/>
      <c r="I557" s="305"/>
      <c r="J557" s="305"/>
      <c r="K557" s="305"/>
      <c r="L557" s="305"/>
      <c r="M557" s="305"/>
      <c r="N557" s="305"/>
      <c r="O557" s="305"/>
      <c r="P557" s="305"/>
      <c r="Q557" s="305"/>
      <c r="R557" s="305"/>
      <c r="S557" s="305"/>
      <c r="T557" s="305"/>
      <c r="U557" s="305"/>
      <c r="V557" s="305"/>
      <c r="W557" s="305"/>
      <c r="X557" s="305"/>
      <c r="Y557" s="305"/>
      <c r="Z557" s="305"/>
    </row>
    <row r="558" spans="1:26" ht="15.75" customHeight="1" x14ac:dyDescent="0.25">
      <c r="A558" s="305"/>
      <c r="B558" s="305"/>
      <c r="C558" s="305"/>
      <c r="D558" s="305"/>
      <c r="E558" s="305"/>
      <c r="F558" s="305"/>
      <c r="G558" s="305"/>
      <c r="H558" s="305"/>
      <c r="I558" s="305"/>
      <c r="J558" s="305"/>
      <c r="K558" s="305"/>
      <c r="L558" s="305"/>
      <c r="M558" s="305"/>
      <c r="N558" s="305"/>
      <c r="O558" s="305"/>
      <c r="P558" s="305"/>
      <c r="Q558" s="305"/>
      <c r="R558" s="305"/>
      <c r="S558" s="305"/>
      <c r="T558" s="305"/>
      <c r="U558" s="305"/>
      <c r="V558" s="305"/>
      <c r="W558" s="305"/>
      <c r="X558" s="305"/>
      <c r="Y558" s="305"/>
      <c r="Z558" s="305"/>
    </row>
    <row r="559" spans="1:26" ht="15.75" customHeight="1" x14ac:dyDescent="0.25">
      <c r="A559" s="305"/>
      <c r="B559" s="305"/>
      <c r="C559" s="305"/>
      <c r="D559" s="305"/>
      <c r="E559" s="305"/>
      <c r="F559" s="305"/>
      <c r="G559" s="305"/>
      <c r="H559" s="305"/>
      <c r="I559" s="305"/>
      <c r="J559" s="305"/>
      <c r="K559" s="305"/>
      <c r="L559" s="305"/>
      <c r="M559" s="305"/>
      <c r="N559" s="305"/>
      <c r="O559" s="305"/>
      <c r="P559" s="305"/>
      <c r="Q559" s="305"/>
      <c r="R559" s="305"/>
      <c r="S559" s="305"/>
      <c r="T559" s="305"/>
      <c r="U559" s="305"/>
      <c r="V559" s="305"/>
      <c r="W559" s="305"/>
      <c r="X559" s="305"/>
      <c r="Y559" s="305"/>
      <c r="Z559" s="305"/>
    </row>
    <row r="560" spans="1:26" ht="15.75" customHeight="1" x14ac:dyDescent="0.25">
      <c r="A560" s="305"/>
      <c r="B560" s="305"/>
      <c r="C560" s="305"/>
      <c r="D560" s="305"/>
      <c r="E560" s="305"/>
      <c r="F560" s="305"/>
      <c r="G560" s="305"/>
      <c r="H560" s="305"/>
      <c r="I560" s="305"/>
      <c r="J560" s="305"/>
      <c r="K560" s="305"/>
      <c r="L560" s="305"/>
      <c r="M560" s="305"/>
      <c r="N560" s="305"/>
      <c r="O560" s="305"/>
      <c r="P560" s="305"/>
      <c r="Q560" s="305"/>
      <c r="R560" s="305"/>
      <c r="S560" s="305"/>
      <c r="T560" s="305"/>
      <c r="U560" s="305"/>
      <c r="V560" s="305"/>
      <c r="W560" s="305"/>
      <c r="X560" s="305"/>
      <c r="Y560" s="305"/>
      <c r="Z560" s="305"/>
    </row>
    <row r="561" spans="1:26" ht="15.75" customHeight="1" x14ac:dyDescent="0.25">
      <c r="A561" s="305"/>
      <c r="B561" s="305"/>
      <c r="C561" s="305"/>
      <c r="D561" s="305"/>
      <c r="E561" s="305"/>
      <c r="F561" s="305"/>
      <c r="G561" s="305"/>
      <c r="H561" s="305"/>
      <c r="I561" s="305"/>
      <c r="J561" s="305"/>
      <c r="K561" s="305"/>
      <c r="L561" s="305"/>
      <c r="M561" s="305"/>
      <c r="N561" s="305"/>
      <c r="O561" s="305"/>
      <c r="P561" s="305"/>
      <c r="Q561" s="305"/>
      <c r="R561" s="305"/>
      <c r="S561" s="305"/>
      <c r="T561" s="305"/>
      <c r="U561" s="305"/>
      <c r="V561" s="305"/>
      <c r="W561" s="305"/>
      <c r="X561" s="305"/>
      <c r="Y561" s="305"/>
      <c r="Z561" s="305"/>
    </row>
    <row r="562" spans="1:26" ht="15.75" customHeight="1" x14ac:dyDescent="0.25">
      <c r="A562" s="305"/>
      <c r="B562" s="305"/>
      <c r="C562" s="305"/>
      <c r="D562" s="305"/>
      <c r="E562" s="305"/>
      <c r="F562" s="305"/>
      <c r="G562" s="305"/>
      <c r="H562" s="305"/>
      <c r="I562" s="305"/>
      <c r="J562" s="305"/>
      <c r="K562" s="305"/>
      <c r="L562" s="305"/>
      <c r="M562" s="305"/>
      <c r="N562" s="305"/>
      <c r="O562" s="305"/>
      <c r="P562" s="305"/>
      <c r="Q562" s="305"/>
      <c r="R562" s="305"/>
      <c r="S562" s="305"/>
      <c r="T562" s="305"/>
      <c r="U562" s="305"/>
      <c r="V562" s="305"/>
      <c r="W562" s="305"/>
      <c r="X562" s="305"/>
      <c r="Y562" s="305"/>
      <c r="Z562" s="305"/>
    </row>
    <row r="563" spans="1:26" ht="15.75" customHeight="1" x14ac:dyDescent="0.25">
      <c r="A563" s="305"/>
      <c r="B563" s="305"/>
      <c r="C563" s="305"/>
      <c r="D563" s="305"/>
      <c r="E563" s="305"/>
      <c r="F563" s="305"/>
      <c r="G563" s="305"/>
      <c r="H563" s="305"/>
      <c r="I563" s="305"/>
      <c r="J563" s="305"/>
      <c r="K563" s="305"/>
      <c r="L563" s="305"/>
      <c r="M563" s="305"/>
      <c r="N563" s="305"/>
      <c r="O563" s="305"/>
      <c r="P563" s="305"/>
      <c r="Q563" s="305"/>
      <c r="R563" s="305"/>
      <c r="S563" s="305"/>
      <c r="T563" s="305"/>
      <c r="U563" s="305"/>
      <c r="V563" s="305"/>
      <c r="W563" s="305"/>
      <c r="X563" s="305"/>
      <c r="Y563" s="305"/>
      <c r="Z563" s="305"/>
    </row>
    <row r="564" spans="1:26" ht="15.75" customHeight="1" x14ac:dyDescent="0.25">
      <c r="A564" s="305"/>
      <c r="B564" s="305"/>
      <c r="C564" s="305"/>
      <c r="D564" s="305"/>
      <c r="E564" s="305"/>
      <c r="F564" s="305"/>
      <c r="G564" s="305"/>
      <c r="H564" s="305"/>
      <c r="I564" s="305"/>
      <c r="J564" s="305"/>
      <c r="K564" s="305"/>
      <c r="L564" s="305"/>
      <c r="M564" s="305"/>
      <c r="N564" s="305"/>
      <c r="O564" s="305"/>
      <c r="P564" s="305"/>
      <c r="Q564" s="305"/>
      <c r="R564" s="305"/>
      <c r="S564" s="305"/>
      <c r="T564" s="305"/>
      <c r="U564" s="305"/>
      <c r="V564" s="305"/>
      <c r="W564" s="305"/>
      <c r="X564" s="305"/>
      <c r="Y564" s="305"/>
      <c r="Z564" s="305"/>
    </row>
    <row r="565" spans="1:26" ht="15.75" customHeight="1" x14ac:dyDescent="0.25">
      <c r="A565" s="305"/>
      <c r="B565" s="305"/>
      <c r="C565" s="305"/>
      <c r="D565" s="305"/>
      <c r="E565" s="305"/>
      <c r="F565" s="305"/>
      <c r="G565" s="305"/>
      <c r="H565" s="305"/>
      <c r="I565" s="305"/>
      <c r="J565" s="305"/>
      <c r="K565" s="305"/>
      <c r="L565" s="305"/>
      <c r="M565" s="305"/>
      <c r="N565" s="305"/>
      <c r="O565" s="305"/>
      <c r="P565" s="305"/>
      <c r="Q565" s="305"/>
      <c r="R565" s="305"/>
      <c r="S565" s="305"/>
      <c r="T565" s="305"/>
      <c r="U565" s="305"/>
      <c r="V565" s="305"/>
      <c r="W565" s="305"/>
      <c r="X565" s="305"/>
      <c r="Y565" s="305"/>
      <c r="Z565" s="305"/>
    </row>
    <row r="566" spans="1:26" ht="15.75" customHeight="1" x14ac:dyDescent="0.25">
      <c r="A566" s="305"/>
      <c r="B566" s="305"/>
      <c r="C566" s="305"/>
      <c r="D566" s="305"/>
      <c r="E566" s="305"/>
      <c r="F566" s="305"/>
      <c r="G566" s="305"/>
      <c r="H566" s="305"/>
      <c r="I566" s="305"/>
      <c r="J566" s="305"/>
      <c r="K566" s="305"/>
      <c r="L566" s="305"/>
      <c r="M566" s="305"/>
      <c r="N566" s="305"/>
      <c r="O566" s="305"/>
      <c r="P566" s="305"/>
      <c r="Q566" s="305"/>
      <c r="R566" s="305"/>
      <c r="S566" s="305"/>
      <c r="T566" s="305"/>
      <c r="U566" s="305"/>
      <c r="V566" s="305"/>
      <c r="W566" s="305"/>
      <c r="X566" s="305"/>
      <c r="Y566" s="305"/>
      <c r="Z566" s="305"/>
    </row>
    <row r="567" spans="1:26" ht="15.75" customHeight="1" x14ac:dyDescent="0.25">
      <c r="A567" s="305"/>
      <c r="B567" s="305"/>
      <c r="C567" s="305"/>
      <c r="D567" s="305"/>
      <c r="E567" s="305"/>
      <c r="F567" s="305"/>
      <c r="G567" s="305"/>
      <c r="H567" s="305"/>
      <c r="I567" s="305"/>
      <c r="J567" s="305"/>
      <c r="K567" s="305"/>
      <c r="L567" s="305"/>
      <c r="M567" s="305"/>
      <c r="N567" s="305"/>
      <c r="O567" s="305"/>
      <c r="P567" s="305"/>
      <c r="Q567" s="305"/>
      <c r="R567" s="305"/>
      <c r="S567" s="305"/>
      <c r="T567" s="305"/>
      <c r="U567" s="305"/>
      <c r="V567" s="305"/>
      <c r="W567" s="305"/>
      <c r="X567" s="305"/>
      <c r="Y567" s="305"/>
      <c r="Z567" s="305"/>
    </row>
    <row r="568" spans="1:26" ht="15.75" customHeight="1" x14ac:dyDescent="0.25">
      <c r="A568" s="305"/>
      <c r="B568" s="305"/>
      <c r="C568" s="305"/>
      <c r="D568" s="305"/>
      <c r="E568" s="305"/>
      <c r="F568" s="305"/>
      <c r="G568" s="305"/>
      <c r="H568" s="305"/>
      <c r="I568" s="305"/>
      <c r="J568" s="305"/>
      <c r="K568" s="305"/>
      <c r="L568" s="305"/>
      <c r="M568" s="305"/>
      <c r="N568" s="305"/>
      <c r="O568" s="305"/>
      <c r="P568" s="305"/>
      <c r="Q568" s="305"/>
      <c r="R568" s="305"/>
      <c r="S568" s="305"/>
      <c r="T568" s="305"/>
      <c r="U568" s="305"/>
      <c r="V568" s="305"/>
      <c r="W568" s="305"/>
      <c r="X568" s="305"/>
      <c r="Y568" s="305"/>
      <c r="Z568" s="305"/>
    </row>
    <row r="569" spans="1:26" ht="15.75" customHeight="1" x14ac:dyDescent="0.25">
      <c r="A569" s="305"/>
      <c r="B569" s="305"/>
      <c r="C569" s="305"/>
      <c r="D569" s="305"/>
      <c r="E569" s="305"/>
      <c r="F569" s="305"/>
      <c r="G569" s="305"/>
      <c r="H569" s="305"/>
      <c r="I569" s="305"/>
      <c r="J569" s="305"/>
      <c r="K569" s="305"/>
      <c r="L569" s="305"/>
      <c r="M569" s="305"/>
      <c r="N569" s="305"/>
      <c r="O569" s="305"/>
      <c r="P569" s="305"/>
      <c r="Q569" s="305"/>
      <c r="R569" s="305"/>
      <c r="S569" s="305"/>
      <c r="T569" s="305"/>
      <c r="U569" s="305"/>
      <c r="V569" s="305"/>
      <c r="W569" s="305"/>
      <c r="X569" s="305"/>
      <c r="Y569" s="305"/>
      <c r="Z569" s="305"/>
    </row>
    <row r="570" spans="1:26" ht="15.75" customHeight="1" x14ac:dyDescent="0.25">
      <c r="A570" s="305"/>
      <c r="B570" s="305"/>
      <c r="C570" s="305"/>
      <c r="D570" s="305"/>
      <c r="E570" s="305"/>
      <c r="F570" s="305"/>
      <c r="G570" s="305"/>
      <c r="H570" s="305"/>
      <c r="I570" s="305"/>
      <c r="J570" s="305"/>
      <c r="K570" s="305"/>
      <c r="L570" s="305"/>
      <c r="M570" s="305"/>
      <c r="N570" s="305"/>
      <c r="O570" s="305"/>
      <c r="P570" s="305"/>
      <c r="Q570" s="305"/>
      <c r="R570" s="305"/>
      <c r="S570" s="305"/>
      <c r="T570" s="305"/>
      <c r="U570" s="305"/>
      <c r="V570" s="305"/>
      <c r="W570" s="305"/>
      <c r="X570" s="305"/>
      <c r="Y570" s="305"/>
      <c r="Z570" s="305"/>
    </row>
    <row r="571" spans="1:26" ht="15.75" customHeight="1" x14ac:dyDescent="0.25">
      <c r="A571" s="305"/>
      <c r="B571" s="305"/>
      <c r="C571" s="305"/>
      <c r="D571" s="305"/>
      <c r="E571" s="305"/>
      <c r="F571" s="305"/>
      <c r="G571" s="305"/>
      <c r="H571" s="305"/>
      <c r="I571" s="305"/>
      <c r="J571" s="305"/>
      <c r="K571" s="305"/>
      <c r="L571" s="305"/>
      <c r="M571" s="305"/>
      <c r="N571" s="305"/>
      <c r="O571" s="305"/>
      <c r="P571" s="305"/>
      <c r="Q571" s="305"/>
      <c r="R571" s="305"/>
      <c r="S571" s="305"/>
      <c r="T571" s="305"/>
      <c r="U571" s="305"/>
      <c r="V571" s="305"/>
      <c r="W571" s="305"/>
      <c r="X571" s="305"/>
      <c r="Y571" s="305"/>
      <c r="Z571" s="305"/>
    </row>
    <row r="572" spans="1:26" ht="15.75" customHeight="1" x14ac:dyDescent="0.25">
      <c r="A572" s="305"/>
      <c r="B572" s="305"/>
      <c r="C572" s="305"/>
      <c r="D572" s="305"/>
      <c r="E572" s="305"/>
      <c r="F572" s="305"/>
      <c r="G572" s="305"/>
      <c r="H572" s="305"/>
      <c r="I572" s="305"/>
      <c r="J572" s="305"/>
      <c r="K572" s="305"/>
      <c r="L572" s="305"/>
      <c r="M572" s="305"/>
      <c r="N572" s="305"/>
      <c r="O572" s="305"/>
      <c r="P572" s="305"/>
      <c r="Q572" s="305"/>
      <c r="R572" s="305"/>
      <c r="S572" s="305"/>
      <c r="T572" s="305"/>
      <c r="U572" s="305"/>
      <c r="V572" s="305"/>
      <c r="W572" s="305"/>
      <c r="X572" s="305"/>
      <c r="Y572" s="305"/>
      <c r="Z572" s="305"/>
    </row>
    <row r="573" spans="1:26" ht="15.75" customHeight="1" x14ac:dyDescent="0.25">
      <c r="A573" s="305"/>
      <c r="B573" s="305"/>
      <c r="C573" s="305"/>
      <c r="D573" s="305"/>
      <c r="E573" s="305"/>
      <c r="F573" s="305"/>
      <c r="G573" s="305"/>
      <c r="H573" s="305"/>
      <c r="I573" s="305"/>
      <c r="J573" s="305"/>
      <c r="K573" s="305"/>
      <c r="L573" s="305"/>
      <c r="M573" s="305"/>
      <c r="N573" s="305"/>
      <c r="O573" s="305"/>
      <c r="P573" s="305"/>
      <c r="Q573" s="305"/>
      <c r="R573" s="305"/>
      <c r="S573" s="305"/>
      <c r="T573" s="305"/>
      <c r="U573" s="305"/>
      <c r="V573" s="305"/>
      <c r="W573" s="305"/>
      <c r="X573" s="305"/>
      <c r="Y573" s="305"/>
      <c r="Z573" s="305"/>
    </row>
    <row r="574" spans="1:26" ht="15.75" customHeight="1" x14ac:dyDescent="0.25">
      <c r="A574" s="305"/>
      <c r="B574" s="305"/>
      <c r="C574" s="305"/>
      <c r="D574" s="305"/>
      <c r="E574" s="305"/>
      <c r="F574" s="305"/>
      <c r="G574" s="305"/>
      <c r="H574" s="305"/>
      <c r="I574" s="305"/>
      <c r="J574" s="305"/>
      <c r="K574" s="305"/>
      <c r="L574" s="305"/>
      <c r="M574" s="305"/>
      <c r="N574" s="305"/>
      <c r="O574" s="305"/>
      <c r="P574" s="305"/>
      <c r="Q574" s="305"/>
      <c r="R574" s="305"/>
      <c r="S574" s="305"/>
      <c r="T574" s="305"/>
      <c r="U574" s="305"/>
      <c r="V574" s="305"/>
      <c r="W574" s="305"/>
      <c r="X574" s="305"/>
      <c r="Y574" s="305"/>
      <c r="Z574" s="305"/>
    </row>
    <row r="575" spans="1:26" ht="15.75" customHeight="1" x14ac:dyDescent="0.25">
      <c r="A575" s="305"/>
      <c r="B575" s="305"/>
      <c r="C575" s="305"/>
      <c r="D575" s="305"/>
      <c r="E575" s="305"/>
      <c r="F575" s="305"/>
      <c r="G575" s="305"/>
      <c r="H575" s="305"/>
      <c r="I575" s="305"/>
      <c r="J575" s="305"/>
      <c r="K575" s="305"/>
      <c r="L575" s="305"/>
      <c r="M575" s="305"/>
      <c r="N575" s="305"/>
      <c r="O575" s="305"/>
      <c r="P575" s="305"/>
      <c r="Q575" s="305"/>
      <c r="R575" s="305"/>
      <c r="S575" s="305"/>
      <c r="T575" s="305"/>
      <c r="U575" s="305"/>
      <c r="V575" s="305"/>
      <c r="W575" s="305"/>
      <c r="X575" s="305"/>
      <c r="Y575" s="305"/>
      <c r="Z575" s="305"/>
    </row>
    <row r="576" spans="1:26" ht="15.75" customHeight="1" x14ac:dyDescent="0.25">
      <c r="A576" s="305"/>
      <c r="B576" s="305"/>
      <c r="C576" s="305"/>
      <c r="D576" s="305"/>
      <c r="E576" s="305"/>
      <c r="F576" s="305"/>
      <c r="G576" s="305"/>
      <c r="H576" s="305"/>
      <c r="I576" s="305"/>
      <c r="J576" s="305"/>
      <c r="K576" s="305"/>
      <c r="L576" s="305"/>
      <c r="M576" s="305"/>
      <c r="N576" s="305"/>
      <c r="O576" s="305"/>
      <c r="P576" s="305"/>
      <c r="Q576" s="305"/>
      <c r="R576" s="305"/>
      <c r="S576" s="305"/>
      <c r="T576" s="305"/>
      <c r="U576" s="305"/>
      <c r="V576" s="305"/>
      <c r="W576" s="305"/>
      <c r="X576" s="305"/>
      <c r="Y576" s="305"/>
      <c r="Z576" s="305"/>
    </row>
    <row r="577" spans="1:26" ht="15.75" customHeight="1" x14ac:dyDescent="0.25">
      <c r="A577" s="305"/>
      <c r="B577" s="305"/>
      <c r="C577" s="305"/>
      <c r="D577" s="305"/>
      <c r="E577" s="305"/>
      <c r="F577" s="305"/>
      <c r="G577" s="305"/>
      <c r="H577" s="305"/>
      <c r="I577" s="305"/>
      <c r="J577" s="305"/>
      <c r="K577" s="305"/>
      <c r="L577" s="305"/>
      <c r="M577" s="305"/>
      <c r="N577" s="305"/>
      <c r="O577" s="305"/>
      <c r="P577" s="305"/>
      <c r="Q577" s="305"/>
      <c r="R577" s="305"/>
      <c r="S577" s="305"/>
      <c r="T577" s="305"/>
      <c r="U577" s="305"/>
      <c r="V577" s="305"/>
      <c r="W577" s="305"/>
      <c r="X577" s="305"/>
      <c r="Y577" s="305"/>
      <c r="Z577" s="305"/>
    </row>
    <row r="578" spans="1:26" ht="15.75" customHeight="1" x14ac:dyDescent="0.25">
      <c r="A578" s="305"/>
      <c r="B578" s="305"/>
      <c r="C578" s="305"/>
      <c r="D578" s="305"/>
      <c r="E578" s="305"/>
      <c r="F578" s="305"/>
      <c r="G578" s="305"/>
      <c r="H578" s="305"/>
      <c r="I578" s="305"/>
      <c r="J578" s="305"/>
      <c r="K578" s="305"/>
      <c r="L578" s="305"/>
      <c r="M578" s="305"/>
      <c r="N578" s="305"/>
      <c r="O578" s="305"/>
      <c r="P578" s="305"/>
      <c r="Q578" s="305"/>
      <c r="R578" s="305"/>
      <c r="S578" s="305"/>
      <c r="T578" s="305"/>
      <c r="U578" s="305"/>
      <c r="V578" s="305"/>
      <c r="W578" s="305"/>
      <c r="X578" s="305"/>
      <c r="Y578" s="305"/>
      <c r="Z578" s="305"/>
    </row>
    <row r="579" spans="1:26" ht="15.75" customHeight="1" x14ac:dyDescent="0.25">
      <c r="A579" s="305"/>
      <c r="B579" s="305"/>
      <c r="C579" s="305"/>
      <c r="D579" s="305"/>
      <c r="E579" s="305"/>
      <c r="F579" s="305"/>
      <c r="G579" s="305"/>
      <c r="H579" s="305"/>
      <c r="I579" s="305"/>
      <c r="J579" s="305"/>
      <c r="K579" s="305"/>
      <c r="L579" s="305"/>
      <c r="M579" s="305"/>
      <c r="N579" s="305"/>
      <c r="O579" s="305"/>
      <c r="P579" s="305"/>
      <c r="Q579" s="305"/>
      <c r="R579" s="305"/>
      <c r="S579" s="305"/>
      <c r="T579" s="305"/>
      <c r="U579" s="305"/>
      <c r="V579" s="305"/>
      <c r="W579" s="305"/>
      <c r="X579" s="305"/>
      <c r="Y579" s="305"/>
      <c r="Z579" s="305"/>
    </row>
    <row r="580" spans="1:26" ht="15.75" customHeight="1" x14ac:dyDescent="0.25">
      <c r="A580" s="305"/>
      <c r="B580" s="305"/>
      <c r="C580" s="305"/>
      <c r="D580" s="305"/>
      <c r="E580" s="305"/>
      <c r="F580" s="305"/>
      <c r="G580" s="305"/>
      <c r="H580" s="305"/>
      <c r="I580" s="305"/>
      <c r="J580" s="305"/>
      <c r="K580" s="305"/>
      <c r="L580" s="305"/>
      <c r="M580" s="305"/>
      <c r="N580" s="305"/>
      <c r="O580" s="305"/>
      <c r="P580" s="305"/>
      <c r="Q580" s="305"/>
      <c r="R580" s="305"/>
      <c r="S580" s="305"/>
      <c r="T580" s="305"/>
      <c r="U580" s="305"/>
      <c r="V580" s="305"/>
      <c r="W580" s="305"/>
      <c r="X580" s="305"/>
      <c r="Y580" s="305"/>
      <c r="Z580" s="305"/>
    </row>
    <row r="581" spans="1:26" ht="15.75" customHeight="1" x14ac:dyDescent="0.25">
      <c r="A581" s="305"/>
      <c r="B581" s="305"/>
      <c r="C581" s="305"/>
      <c r="D581" s="305"/>
      <c r="E581" s="305"/>
      <c r="F581" s="305"/>
      <c r="G581" s="305"/>
      <c r="H581" s="305"/>
      <c r="I581" s="305"/>
      <c r="J581" s="305"/>
      <c r="K581" s="305"/>
      <c r="L581" s="305"/>
      <c r="M581" s="305"/>
      <c r="N581" s="305"/>
      <c r="O581" s="305"/>
      <c r="P581" s="305"/>
      <c r="Q581" s="305"/>
      <c r="R581" s="305"/>
      <c r="S581" s="305"/>
      <c r="T581" s="305"/>
      <c r="U581" s="305"/>
      <c r="V581" s="305"/>
      <c r="W581" s="305"/>
      <c r="X581" s="305"/>
      <c r="Y581" s="305"/>
      <c r="Z581" s="305"/>
    </row>
    <row r="582" spans="1:26" ht="15.75" customHeight="1" x14ac:dyDescent="0.25">
      <c r="A582" s="305"/>
      <c r="B582" s="305"/>
      <c r="C582" s="305"/>
      <c r="D582" s="305"/>
      <c r="E582" s="305"/>
      <c r="F582" s="305"/>
      <c r="G582" s="305"/>
      <c r="H582" s="305"/>
      <c r="I582" s="305"/>
      <c r="J582" s="305"/>
      <c r="K582" s="305"/>
      <c r="L582" s="305"/>
      <c r="M582" s="305"/>
      <c r="N582" s="305"/>
      <c r="O582" s="305"/>
      <c r="P582" s="305"/>
      <c r="Q582" s="305"/>
      <c r="R582" s="305"/>
      <c r="S582" s="305"/>
      <c r="T582" s="305"/>
      <c r="U582" s="305"/>
      <c r="V582" s="305"/>
      <c r="W582" s="305"/>
      <c r="X582" s="305"/>
      <c r="Y582" s="305"/>
      <c r="Z582" s="305"/>
    </row>
    <row r="583" spans="1:26" ht="15.75" customHeight="1" x14ac:dyDescent="0.25">
      <c r="A583" s="305"/>
      <c r="B583" s="305"/>
      <c r="C583" s="305"/>
      <c r="D583" s="305"/>
      <c r="E583" s="305"/>
      <c r="F583" s="305"/>
      <c r="G583" s="305"/>
      <c r="H583" s="305"/>
      <c r="I583" s="305"/>
      <c r="J583" s="305"/>
      <c r="K583" s="305"/>
      <c r="L583" s="305"/>
      <c r="M583" s="305"/>
      <c r="N583" s="305"/>
      <c r="O583" s="305"/>
      <c r="P583" s="305"/>
      <c r="Q583" s="305"/>
      <c r="R583" s="305"/>
      <c r="S583" s="305"/>
      <c r="T583" s="305"/>
      <c r="U583" s="305"/>
      <c r="V583" s="305"/>
      <c r="W583" s="305"/>
      <c r="X583" s="305"/>
      <c r="Y583" s="305"/>
      <c r="Z583" s="305"/>
    </row>
    <row r="584" spans="1:26" ht="15.75" customHeight="1" x14ac:dyDescent="0.25">
      <c r="A584" s="305"/>
      <c r="B584" s="305"/>
      <c r="C584" s="305"/>
      <c r="D584" s="305"/>
      <c r="E584" s="305"/>
      <c r="F584" s="305"/>
      <c r="G584" s="305"/>
      <c r="H584" s="305"/>
      <c r="I584" s="305"/>
      <c r="J584" s="305"/>
      <c r="K584" s="305"/>
      <c r="L584" s="305"/>
      <c r="M584" s="305"/>
      <c r="N584" s="305"/>
      <c r="O584" s="305"/>
      <c r="P584" s="305"/>
      <c r="Q584" s="305"/>
      <c r="R584" s="305"/>
      <c r="S584" s="305"/>
      <c r="T584" s="305"/>
      <c r="U584" s="305"/>
      <c r="V584" s="305"/>
      <c r="W584" s="305"/>
      <c r="X584" s="305"/>
      <c r="Y584" s="305"/>
      <c r="Z584" s="305"/>
    </row>
    <row r="585" spans="1:26" ht="15.75" customHeight="1" x14ac:dyDescent="0.25">
      <c r="A585" s="305"/>
      <c r="B585" s="305"/>
      <c r="C585" s="305"/>
      <c r="D585" s="305"/>
      <c r="E585" s="305"/>
      <c r="F585" s="305"/>
      <c r="G585" s="305"/>
      <c r="H585" s="305"/>
      <c r="I585" s="305"/>
      <c r="J585" s="305"/>
      <c r="K585" s="305"/>
      <c r="L585" s="305"/>
      <c r="M585" s="305"/>
      <c r="N585" s="305"/>
      <c r="O585" s="305"/>
      <c r="P585" s="305"/>
      <c r="Q585" s="305"/>
      <c r="R585" s="305"/>
      <c r="S585" s="305"/>
      <c r="T585" s="305"/>
      <c r="U585" s="305"/>
      <c r="V585" s="305"/>
      <c r="W585" s="305"/>
      <c r="X585" s="305"/>
      <c r="Y585" s="305"/>
      <c r="Z585" s="305"/>
    </row>
    <row r="586" spans="1:26" ht="15.75" customHeight="1" x14ac:dyDescent="0.25">
      <c r="A586" s="305"/>
      <c r="B586" s="305"/>
      <c r="C586" s="305"/>
      <c r="D586" s="305"/>
      <c r="E586" s="305"/>
      <c r="F586" s="305"/>
      <c r="G586" s="305"/>
      <c r="H586" s="305"/>
      <c r="I586" s="305"/>
      <c r="J586" s="305"/>
      <c r="K586" s="305"/>
      <c r="L586" s="305"/>
      <c r="M586" s="305"/>
      <c r="N586" s="305"/>
      <c r="O586" s="305"/>
      <c r="P586" s="305"/>
      <c r="Q586" s="305"/>
      <c r="R586" s="305"/>
      <c r="S586" s="305"/>
      <c r="T586" s="305"/>
      <c r="U586" s="305"/>
      <c r="V586" s="305"/>
      <c r="W586" s="305"/>
      <c r="X586" s="305"/>
      <c r="Y586" s="305"/>
      <c r="Z586" s="305"/>
    </row>
    <row r="587" spans="1:26" ht="15.75" customHeight="1" x14ac:dyDescent="0.25">
      <c r="A587" s="305"/>
      <c r="B587" s="305"/>
      <c r="C587" s="305"/>
      <c r="D587" s="305"/>
      <c r="E587" s="305"/>
      <c r="F587" s="305"/>
      <c r="G587" s="305"/>
      <c r="H587" s="305"/>
      <c r="I587" s="305"/>
      <c r="J587" s="305"/>
      <c r="K587" s="305"/>
      <c r="L587" s="305"/>
      <c r="M587" s="305"/>
      <c r="N587" s="305"/>
      <c r="O587" s="305"/>
      <c r="P587" s="305"/>
      <c r="Q587" s="305"/>
      <c r="R587" s="305"/>
      <c r="S587" s="305"/>
      <c r="T587" s="305"/>
      <c r="U587" s="305"/>
      <c r="V587" s="305"/>
      <c r="W587" s="305"/>
      <c r="X587" s="305"/>
      <c r="Y587" s="305"/>
      <c r="Z587" s="305"/>
    </row>
    <row r="588" spans="1:26" ht="15.75" customHeight="1" x14ac:dyDescent="0.25">
      <c r="A588" s="305"/>
      <c r="B588" s="305"/>
      <c r="C588" s="305"/>
      <c r="D588" s="305"/>
      <c r="E588" s="305"/>
      <c r="F588" s="305"/>
      <c r="G588" s="305"/>
      <c r="H588" s="305"/>
      <c r="I588" s="305"/>
      <c r="J588" s="305"/>
      <c r="K588" s="305"/>
      <c r="L588" s="305"/>
      <c r="M588" s="305"/>
      <c r="N588" s="305"/>
      <c r="O588" s="305"/>
      <c r="P588" s="305"/>
      <c r="Q588" s="305"/>
      <c r="R588" s="305"/>
      <c r="S588" s="305"/>
      <c r="T588" s="305"/>
      <c r="U588" s="305"/>
      <c r="V588" s="305"/>
      <c r="W588" s="305"/>
      <c r="X588" s="305"/>
      <c r="Y588" s="305"/>
      <c r="Z588" s="305"/>
    </row>
    <row r="589" spans="1:26" ht="15.75" customHeight="1" x14ac:dyDescent="0.25">
      <c r="A589" s="305"/>
      <c r="B589" s="305"/>
      <c r="C589" s="305"/>
      <c r="D589" s="305"/>
      <c r="E589" s="305"/>
      <c r="F589" s="305"/>
      <c r="G589" s="305"/>
      <c r="H589" s="305"/>
      <c r="I589" s="305"/>
      <c r="J589" s="305"/>
      <c r="K589" s="305"/>
      <c r="L589" s="305"/>
      <c r="M589" s="305"/>
      <c r="N589" s="305"/>
      <c r="O589" s="305"/>
      <c r="P589" s="305"/>
      <c r="Q589" s="305"/>
      <c r="R589" s="305"/>
      <c r="S589" s="305"/>
      <c r="T589" s="305"/>
      <c r="U589" s="305"/>
      <c r="V589" s="305"/>
      <c r="W589" s="305"/>
      <c r="X589" s="305"/>
      <c r="Y589" s="305"/>
      <c r="Z589" s="305"/>
    </row>
    <row r="590" spans="1:26" ht="15.75" customHeight="1" x14ac:dyDescent="0.25">
      <c r="A590" s="305"/>
      <c r="B590" s="305"/>
      <c r="C590" s="305"/>
      <c r="D590" s="305"/>
      <c r="E590" s="305"/>
      <c r="F590" s="305"/>
      <c r="G590" s="305"/>
      <c r="H590" s="305"/>
      <c r="I590" s="305"/>
      <c r="J590" s="305"/>
      <c r="K590" s="305"/>
      <c r="L590" s="305"/>
      <c r="M590" s="305"/>
      <c r="N590" s="305"/>
      <c r="O590" s="305"/>
      <c r="P590" s="305"/>
      <c r="Q590" s="305"/>
      <c r="R590" s="305"/>
      <c r="S590" s="305"/>
      <c r="T590" s="305"/>
      <c r="U590" s="305"/>
      <c r="V590" s="305"/>
      <c r="W590" s="305"/>
      <c r="X590" s="305"/>
      <c r="Y590" s="305"/>
      <c r="Z590" s="305"/>
    </row>
    <row r="591" spans="1:26" ht="15.75" customHeight="1" x14ac:dyDescent="0.25">
      <c r="A591" s="305"/>
      <c r="B591" s="305"/>
      <c r="C591" s="305"/>
      <c r="D591" s="305"/>
      <c r="E591" s="305"/>
      <c r="F591" s="305"/>
      <c r="G591" s="305"/>
      <c r="H591" s="305"/>
      <c r="I591" s="305"/>
      <c r="J591" s="305"/>
      <c r="K591" s="305"/>
      <c r="L591" s="305"/>
      <c r="M591" s="305"/>
      <c r="N591" s="305"/>
      <c r="O591" s="305"/>
      <c r="P591" s="305"/>
      <c r="Q591" s="305"/>
      <c r="R591" s="305"/>
      <c r="S591" s="305"/>
      <c r="T591" s="305"/>
      <c r="U591" s="305"/>
      <c r="V591" s="305"/>
      <c r="W591" s="305"/>
      <c r="X591" s="305"/>
      <c r="Y591" s="305"/>
      <c r="Z591" s="305"/>
    </row>
    <row r="592" spans="1:26" ht="15.75" customHeight="1" x14ac:dyDescent="0.25">
      <c r="A592" s="305"/>
      <c r="B592" s="305"/>
      <c r="C592" s="305"/>
      <c r="D592" s="305"/>
      <c r="E592" s="305"/>
      <c r="F592" s="305"/>
      <c r="G592" s="305"/>
      <c r="H592" s="305"/>
      <c r="I592" s="305"/>
      <c r="J592" s="305"/>
      <c r="K592" s="305"/>
      <c r="L592" s="305"/>
      <c r="M592" s="305"/>
      <c r="N592" s="305"/>
      <c r="O592" s="305"/>
      <c r="P592" s="305"/>
      <c r="Q592" s="305"/>
      <c r="R592" s="305"/>
      <c r="S592" s="305"/>
      <c r="T592" s="305"/>
      <c r="U592" s="305"/>
      <c r="V592" s="305"/>
      <c r="W592" s="305"/>
      <c r="X592" s="305"/>
      <c r="Y592" s="305"/>
      <c r="Z592" s="305"/>
    </row>
    <row r="593" spans="1:26" ht="15.75" customHeight="1" x14ac:dyDescent="0.25">
      <c r="A593" s="305"/>
      <c r="B593" s="305"/>
      <c r="C593" s="305"/>
      <c r="D593" s="305"/>
      <c r="E593" s="305"/>
      <c r="F593" s="305"/>
      <c r="G593" s="305"/>
      <c r="H593" s="305"/>
      <c r="I593" s="305"/>
      <c r="J593" s="305"/>
      <c r="K593" s="305"/>
      <c r="L593" s="305"/>
      <c r="M593" s="305"/>
      <c r="N593" s="305"/>
      <c r="O593" s="305"/>
      <c r="P593" s="305"/>
      <c r="Q593" s="305"/>
      <c r="R593" s="305"/>
      <c r="S593" s="305"/>
      <c r="T593" s="305"/>
      <c r="U593" s="305"/>
      <c r="V593" s="305"/>
      <c r="W593" s="305"/>
      <c r="X593" s="305"/>
      <c r="Y593" s="305"/>
      <c r="Z593" s="305"/>
    </row>
    <row r="594" spans="1:26" ht="15.75" customHeight="1" x14ac:dyDescent="0.25">
      <c r="A594" s="305"/>
      <c r="B594" s="305"/>
      <c r="C594" s="305"/>
      <c r="D594" s="305"/>
      <c r="E594" s="305"/>
      <c r="F594" s="305"/>
      <c r="G594" s="305"/>
      <c r="H594" s="305"/>
      <c r="I594" s="305"/>
      <c r="J594" s="305"/>
      <c r="K594" s="305"/>
      <c r="L594" s="305"/>
      <c r="M594" s="305"/>
      <c r="N594" s="305"/>
      <c r="O594" s="305"/>
      <c r="P594" s="305"/>
      <c r="Q594" s="305"/>
      <c r="R594" s="305"/>
      <c r="S594" s="305"/>
      <c r="T594" s="305"/>
      <c r="U594" s="305"/>
      <c r="V594" s="305"/>
      <c r="W594" s="305"/>
      <c r="X594" s="305"/>
      <c r="Y594" s="305"/>
      <c r="Z594" s="305"/>
    </row>
    <row r="595" spans="1:26" ht="15.75" customHeight="1" x14ac:dyDescent="0.25">
      <c r="A595" s="305"/>
      <c r="B595" s="305"/>
      <c r="C595" s="305"/>
      <c r="D595" s="305"/>
      <c r="E595" s="305"/>
      <c r="F595" s="305"/>
      <c r="G595" s="305"/>
      <c r="H595" s="305"/>
      <c r="I595" s="305"/>
      <c r="J595" s="305"/>
      <c r="K595" s="305"/>
      <c r="L595" s="305"/>
      <c r="M595" s="305"/>
      <c r="N595" s="305"/>
      <c r="O595" s="305"/>
      <c r="P595" s="305"/>
      <c r="Q595" s="305"/>
      <c r="R595" s="305"/>
      <c r="S595" s="305"/>
      <c r="T595" s="305"/>
      <c r="U595" s="305"/>
      <c r="V595" s="305"/>
      <c r="W595" s="305"/>
      <c r="X595" s="305"/>
      <c r="Y595" s="305"/>
      <c r="Z595" s="305"/>
    </row>
    <row r="596" spans="1:26" ht="15.75" customHeight="1" x14ac:dyDescent="0.25">
      <c r="A596" s="305"/>
      <c r="B596" s="305"/>
      <c r="C596" s="305"/>
      <c r="D596" s="305"/>
      <c r="E596" s="305"/>
      <c r="F596" s="305"/>
      <c r="G596" s="305"/>
      <c r="H596" s="305"/>
      <c r="I596" s="305"/>
      <c r="J596" s="305"/>
      <c r="K596" s="305"/>
      <c r="L596" s="305"/>
      <c r="M596" s="305"/>
      <c r="N596" s="305"/>
      <c r="O596" s="305"/>
      <c r="P596" s="305"/>
      <c r="Q596" s="305"/>
      <c r="R596" s="305"/>
      <c r="S596" s="305"/>
      <c r="T596" s="305"/>
      <c r="U596" s="305"/>
      <c r="V596" s="305"/>
      <c r="W596" s="305"/>
      <c r="X596" s="305"/>
      <c r="Y596" s="305"/>
      <c r="Z596" s="305"/>
    </row>
    <row r="597" spans="1:26" ht="15.75" customHeight="1" x14ac:dyDescent="0.25">
      <c r="A597" s="305"/>
      <c r="B597" s="305"/>
      <c r="C597" s="305"/>
      <c r="D597" s="305"/>
      <c r="E597" s="305"/>
      <c r="F597" s="305"/>
      <c r="G597" s="305"/>
      <c r="H597" s="305"/>
      <c r="I597" s="305"/>
      <c r="J597" s="305"/>
      <c r="K597" s="305"/>
      <c r="L597" s="305"/>
      <c r="M597" s="305"/>
      <c r="N597" s="305"/>
      <c r="O597" s="305"/>
      <c r="P597" s="305"/>
      <c r="Q597" s="305"/>
      <c r="R597" s="305"/>
      <c r="S597" s="305"/>
      <c r="T597" s="305"/>
      <c r="U597" s="305"/>
      <c r="V597" s="305"/>
      <c r="W597" s="305"/>
      <c r="X597" s="305"/>
      <c r="Y597" s="305"/>
      <c r="Z597" s="305"/>
    </row>
    <row r="598" spans="1:26" ht="15.75" customHeight="1" x14ac:dyDescent="0.25">
      <c r="A598" s="305"/>
      <c r="B598" s="305"/>
      <c r="C598" s="305"/>
      <c r="D598" s="305"/>
      <c r="E598" s="305"/>
      <c r="F598" s="305"/>
      <c r="G598" s="305"/>
      <c r="H598" s="305"/>
      <c r="I598" s="305"/>
      <c r="J598" s="305"/>
      <c r="K598" s="305"/>
      <c r="L598" s="305"/>
      <c r="M598" s="305"/>
      <c r="N598" s="305"/>
      <c r="O598" s="305"/>
      <c r="P598" s="305"/>
      <c r="Q598" s="305"/>
      <c r="R598" s="305"/>
      <c r="S598" s="305"/>
      <c r="T598" s="305"/>
      <c r="U598" s="305"/>
      <c r="V598" s="305"/>
      <c r="W598" s="305"/>
      <c r="X598" s="305"/>
      <c r="Y598" s="305"/>
      <c r="Z598" s="305"/>
    </row>
    <row r="599" spans="1:26" ht="15.75" customHeight="1" x14ac:dyDescent="0.25">
      <c r="A599" s="305"/>
      <c r="B599" s="305"/>
      <c r="C599" s="305"/>
      <c r="D599" s="305"/>
      <c r="E599" s="305"/>
      <c r="F599" s="305"/>
      <c r="G599" s="305"/>
      <c r="H599" s="305"/>
      <c r="I599" s="305"/>
      <c r="J599" s="305"/>
      <c r="K599" s="305"/>
      <c r="L599" s="305"/>
      <c r="M599" s="305"/>
      <c r="N599" s="305"/>
      <c r="O599" s="305"/>
      <c r="P599" s="305"/>
      <c r="Q599" s="305"/>
      <c r="R599" s="305"/>
      <c r="S599" s="305"/>
      <c r="T599" s="305"/>
      <c r="U599" s="305"/>
      <c r="V599" s="305"/>
      <c r="W599" s="305"/>
      <c r="X599" s="305"/>
      <c r="Y599" s="305"/>
      <c r="Z599" s="305"/>
    </row>
    <row r="600" spans="1:26" ht="15.75" customHeight="1" x14ac:dyDescent="0.25">
      <c r="A600" s="305"/>
      <c r="B600" s="305"/>
      <c r="C600" s="305"/>
      <c r="D600" s="305"/>
      <c r="E600" s="305"/>
      <c r="F600" s="305"/>
      <c r="G600" s="305"/>
      <c r="H600" s="305"/>
      <c r="I600" s="305"/>
      <c r="J600" s="305"/>
      <c r="K600" s="305"/>
      <c r="L600" s="305"/>
      <c r="M600" s="305"/>
      <c r="N600" s="305"/>
      <c r="O600" s="305"/>
      <c r="P600" s="305"/>
      <c r="Q600" s="305"/>
      <c r="R600" s="305"/>
      <c r="S600" s="305"/>
      <c r="T600" s="305"/>
      <c r="U600" s="305"/>
      <c r="V600" s="305"/>
      <c r="W600" s="305"/>
      <c r="X600" s="305"/>
      <c r="Y600" s="305"/>
      <c r="Z600" s="305"/>
    </row>
    <row r="601" spans="1:26" ht="15.75" customHeight="1" x14ac:dyDescent="0.25">
      <c r="A601" s="305"/>
      <c r="B601" s="305"/>
      <c r="C601" s="305"/>
      <c r="D601" s="305"/>
      <c r="E601" s="305"/>
      <c r="F601" s="305"/>
      <c r="G601" s="305"/>
      <c r="H601" s="305"/>
      <c r="I601" s="305"/>
      <c r="J601" s="305"/>
      <c r="K601" s="305"/>
      <c r="L601" s="305"/>
      <c r="M601" s="305"/>
      <c r="N601" s="305"/>
      <c r="O601" s="305"/>
      <c r="P601" s="305"/>
      <c r="Q601" s="305"/>
      <c r="R601" s="305"/>
      <c r="S601" s="305"/>
      <c r="T601" s="305"/>
      <c r="U601" s="305"/>
      <c r="V601" s="305"/>
      <c r="W601" s="305"/>
      <c r="X601" s="305"/>
      <c r="Y601" s="305"/>
      <c r="Z601" s="305"/>
    </row>
    <row r="602" spans="1:26" ht="15.75" customHeight="1" x14ac:dyDescent="0.25">
      <c r="A602" s="305"/>
      <c r="B602" s="305"/>
      <c r="C602" s="305"/>
      <c r="D602" s="305"/>
      <c r="E602" s="305"/>
      <c r="F602" s="305"/>
      <c r="G602" s="305"/>
      <c r="H602" s="305"/>
      <c r="I602" s="305"/>
      <c r="J602" s="305"/>
      <c r="K602" s="305"/>
      <c r="L602" s="305"/>
      <c r="M602" s="305"/>
      <c r="N602" s="305"/>
      <c r="O602" s="305"/>
      <c r="P602" s="305"/>
      <c r="Q602" s="305"/>
      <c r="R602" s="305"/>
      <c r="S602" s="305"/>
      <c r="T602" s="305"/>
      <c r="U602" s="305"/>
      <c r="V602" s="305"/>
      <c r="W602" s="305"/>
      <c r="X602" s="305"/>
      <c r="Y602" s="305"/>
      <c r="Z602" s="305"/>
    </row>
    <row r="603" spans="1:26" ht="15.75" customHeight="1" x14ac:dyDescent="0.25">
      <c r="A603" s="305"/>
      <c r="B603" s="305"/>
      <c r="C603" s="305"/>
      <c r="D603" s="305"/>
      <c r="E603" s="305"/>
      <c r="F603" s="305"/>
      <c r="G603" s="305"/>
      <c r="H603" s="305"/>
      <c r="I603" s="305"/>
      <c r="J603" s="305"/>
      <c r="K603" s="305"/>
      <c r="L603" s="305"/>
      <c r="M603" s="305"/>
      <c r="N603" s="305"/>
      <c r="O603" s="305"/>
      <c r="P603" s="305"/>
      <c r="Q603" s="305"/>
      <c r="R603" s="305"/>
      <c r="S603" s="305"/>
      <c r="T603" s="305"/>
      <c r="U603" s="305"/>
      <c r="V603" s="305"/>
      <c r="W603" s="305"/>
      <c r="X603" s="305"/>
      <c r="Y603" s="305"/>
      <c r="Z603" s="305"/>
    </row>
    <row r="604" spans="1:26" ht="15.75" customHeight="1" x14ac:dyDescent="0.25">
      <c r="A604" s="305"/>
      <c r="B604" s="305"/>
      <c r="C604" s="305"/>
      <c r="D604" s="305"/>
      <c r="E604" s="305"/>
      <c r="F604" s="305"/>
      <c r="G604" s="305"/>
      <c r="H604" s="305"/>
      <c r="I604" s="305"/>
      <c r="J604" s="305"/>
      <c r="K604" s="305"/>
      <c r="L604" s="305"/>
      <c r="M604" s="305"/>
      <c r="N604" s="305"/>
      <c r="O604" s="305"/>
      <c r="P604" s="305"/>
      <c r="Q604" s="305"/>
      <c r="R604" s="305"/>
      <c r="S604" s="305"/>
      <c r="T604" s="305"/>
      <c r="U604" s="305"/>
      <c r="V604" s="305"/>
      <c r="W604" s="305"/>
      <c r="X604" s="305"/>
      <c r="Y604" s="305"/>
      <c r="Z604" s="305"/>
    </row>
    <row r="605" spans="1:26" ht="15.75" customHeight="1" x14ac:dyDescent="0.25">
      <c r="A605" s="305"/>
      <c r="B605" s="305"/>
      <c r="C605" s="305"/>
      <c r="D605" s="305"/>
      <c r="E605" s="305"/>
      <c r="F605" s="305"/>
      <c r="G605" s="305"/>
      <c r="H605" s="305"/>
      <c r="I605" s="305"/>
      <c r="J605" s="305"/>
      <c r="K605" s="305"/>
      <c r="L605" s="305"/>
      <c r="M605" s="305"/>
      <c r="N605" s="305"/>
      <c r="O605" s="305"/>
      <c r="P605" s="305"/>
      <c r="Q605" s="305"/>
      <c r="R605" s="305"/>
      <c r="S605" s="305"/>
      <c r="T605" s="305"/>
      <c r="U605" s="305"/>
      <c r="V605" s="305"/>
      <c r="W605" s="305"/>
      <c r="X605" s="305"/>
      <c r="Y605" s="305"/>
      <c r="Z605" s="305"/>
    </row>
    <row r="606" spans="1:26" ht="15.75" customHeight="1" x14ac:dyDescent="0.25">
      <c r="A606" s="305"/>
      <c r="B606" s="305"/>
      <c r="C606" s="305"/>
      <c r="D606" s="305"/>
      <c r="E606" s="305"/>
      <c r="F606" s="305"/>
      <c r="G606" s="305"/>
      <c r="H606" s="305"/>
      <c r="I606" s="305"/>
      <c r="J606" s="305"/>
      <c r="K606" s="305"/>
      <c r="L606" s="305"/>
      <c r="M606" s="305"/>
      <c r="N606" s="305"/>
      <c r="O606" s="305"/>
      <c r="P606" s="305"/>
      <c r="Q606" s="305"/>
      <c r="R606" s="305"/>
      <c r="S606" s="305"/>
      <c r="T606" s="305"/>
      <c r="U606" s="305"/>
      <c r="V606" s="305"/>
      <c r="W606" s="305"/>
      <c r="X606" s="305"/>
      <c r="Y606" s="305"/>
      <c r="Z606" s="305"/>
    </row>
    <row r="607" spans="1:26" ht="15.75" customHeight="1" x14ac:dyDescent="0.25">
      <c r="A607" s="305"/>
      <c r="B607" s="305"/>
      <c r="C607" s="305"/>
      <c r="D607" s="305"/>
      <c r="E607" s="305"/>
      <c r="F607" s="305"/>
      <c r="G607" s="305"/>
      <c r="H607" s="305"/>
      <c r="I607" s="305"/>
      <c r="J607" s="305"/>
      <c r="K607" s="305"/>
      <c r="L607" s="305"/>
      <c r="M607" s="305"/>
      <c r="N607" s="305"/>
      <c r="O607" s="305"/>
      <c r="P607" s="305"/>
      <c r="Q607" s="305"/>
      <c r="R607" s="305"/>
      <c r="S607" s="305"/>
      <c r="T607" s="305"/>
      <c r="U607" s="305"/>
      <c r="V607" s="305"/>
      <c r="W607" s="305"/>
      <c r="X607" s="305"/>
      <c r="Y607" s="305"/>
      <c r="Z607" s="305"/>
    </row>
    <row r="608" spans="1:26" ht="15.75" customHeight="1" x14ac:dyDescent="0.25">
      <c r="A608" s="305"/>
      <c r="B608" s="305"/>
      <c r="C608" s="305"/>
      <c r="D608" s="305"/>
      <c r="E608" s="305"/>
      <c r="F608" s="305"/>
      <c r="G608" s="305"/>
      <c r="H608" s="305"/>
      <c r="I608" s="305"/>
      <c r="J608" s="305"/>
      <c r="K608" s="305"/>
      <c r="L608" s="305"/>
      <c r="M608" s="305"/>
      <c r="N608" s="305"/>
      <c r="O608" s="305"/>
      <c r="P608" s="305"/>
      <c r="Q608" s="305"/>
      <c r="R608" s="305"/>
      <c r="S608" s="305"/>
      <c r="T608" s="305"/>
      <c r="U608" s="305"/>
      <c r="V608" s="305"/>
      <c r="W608" s="305"/>
      <c r="X608" s="305"/>
      <c r="Y608" s="305"/>
      <c r="Z608" s="305"/>
    </row>
    <row r="609" spans="1:26" ht="15.75" customHeight="1" x14ac:dyDescent="0.25">
      <c r="A609" s="305"/>
      <c r="B609" s="305"/>
      <c r="C609" s="305"/>
      <c r="D609" s="305"/>
      <c r="E609" s="305"/>
      <c r="F609" s="305"/>
      <c r="G609" s="305"/>
      <c r="H609" s="305"/>
      <c r="I609" s="305"/>
      <c r="J609" s="305"/>
      <c r="K609" s="305"/>
      <c r="L609" s="305"/>
      <c r="M609" s="305"/>
      <c r="N609" s="305"/>
      <c r="O609" s="305"/>
      <c r="P609" s="305"/>
      <c r="Q609" s="305"/>
      <c r="R609" s="305"/>
      <c r="S609" s="305"/>
      <c r="T609" s="305"/>
      <c r="U609" s="305"/>
      <c r="V609" s="305"/>
      <c r="W609" s="305"/>
      <c r="X609" s="305"/>
      <c r="Y609" s="305"/>
      <c r="Z609" s="305"/>
    </row>
    <row r="610" spans="1:26" ht="15.75" customHeight="1" x14ac:dyDescent="0.25">
      <c r="A610" s="305"/>
      <c r="B610" s="305"/>
      <c r="C610" s="305"/>
      <c r="D610" s="305"/>
      <c r="E610" s="305"/>
      <c r="F610" s="305"/>
      <c r="G610" s="305"/>
      <c r="H610" s="305"/>
      <c r="I610" s="305"/>
      <c r="J610" s="305"/>
      <c r="K610" s="305"/>
      <c r="L610" s="305"/>
      <c r="M610" s="305"/>
      <c r="N610" s="305"/>
      <c r="O610" s="305"/>
      <c r="P610" s="305"/>
      <c r="Q610" s="305"/>
      <c r="R610" s="305"/>
      <c r="S610" s="305"/>
      <c r="T610" s="305"/>
      <c r="U610" s="305"/>
      <c r="V610" s="305"/>
      <c r="W610" s="305"/>
      <c r="X610" s="305"/>
      <c r="Y610" s="305"/>
      <c r="Z610" s="305"/>
    </row>
    <row r="611" spans="1:26" ht="15.75" customHeight="1" x14ac:dyDescent="0.25">
      <c r="A611" s="305"/>
      <c r="B611" s="305"/>
      <c r="C611" s="305"/>
      <c r="D611" s="305"/>
      <c r="E611" s="305"/>
      <c r="F611" s="305"/>
      <c r="G611" s="305"/>
      <c r="H611" s="305"/>
      <c r="I611" s="305"/>
      <c r="J611" s="305"/>
      <c r="K611" s="305"/>
      <c r="L611" s="305"/>
      <c r="M611" s="305"/>
      <c r="N611" s="305"/>
      <c r="O611" s="305"/>
      <c r="P611" s="305"/>
      <c r="Q611" s="305"/>
      <c r="R611" s="305"/>
      <c r="S611" s="305"/>
      <c r="T611" s="305"/>
      <c r="U611" s="305"/>
      <c r="V611" s="305"/>
      <c r="W611" s="305"/>
      <c r="X611" s="305"/>
      <c r="Y611" s="305"/>
      <c r="Z611" s="305"/>
    </row>
    <row r="612" spans="1:26" ht="15.75" customHeight="1" x14ac:dyDescent="0.25">
      <c r="A612" s="305"/>
      <c r="B612" s="305"/>
      <c r="C612" s="305"/>
      <c r="D612" s="305"/>
      <c r="E612" s="305"/>
      <c r="F612" s="305"/>
      <c r="G612" s="305"/>
      <c r="H612" s="305"/>
      <c r="I612" s="305"/>
      <c r="J612" s="305"/>
      <c r="K612" s="305"/>
      <c r="L612" s="305"/>
      <c r="M612" s="305"/>
      <c r="N612" s="305"/>
      <c r="O612" s="305"/>
      <c r="P612" s="305"/>
      <c r="Q612" s="305"/>
      <c r="R612" s="305"/>
      <c r="S612" s="305"/>
      <c r="T612" s="305"/>
      <c r="U612" s="305"/>
      <c r="V612" s="305"/>
      <c r="W612" s="305"/>
      <c r="X612" s="305"/>
      <c r="Y612" s="305"/>
      <c r="Z612" s="305"/>
    </row>
    <row r="613" spans="1:26" ht="15.75" customHeight="1" x14ac:dyDescent="0.25">
      <c r="A613" s="305"/>
      <c r="B613" s="305"/>
      <c r="C613" s="305"/>
      <c r="D613" s="305"/>
      <c r="E613" s="305"/>
      <c r="F613" s="305"/>
      <c r="G613" s="305"/>
      <c r="H613" s="305"/>
      <c r="I613" s="305"/>
      <c r="J613" s="305"/>
      <c r="K613" s="305"/>
      <c r="L613" s="305"/>
      <c r="M613" s="305"/>
      <c r="N613" s="305"/>
      <c r="O613" s="305"/>
      <c r="P613" s="305"/>
      <c r="Q613" s="305"/>
      <c r="R613" s="305"/>
      <c r="S613" s="305"/>
      <c r="T613" s="305"/>
      <c r="U613" s="305"/>
      <c r="V613" s="305"/>
      <c r="W613" s="305"/>
      <c r="X613" s="305"/>
      <c r="Y613" s="305"/>
      <c r="Z613" s="305"/>
    </row>
    <row r="614" spans="1:26" ht="15.75" customHeight="1" x14ac:dyDescent="0.25">
      <c r="A614" s="305"/>
      <c r="B614" s="305"/>
      <c r="C614" s="305"/>
      <c r="D614" s="305"/>
      <c r="E614" s="305"/>
      <c r="F614" s="305"/>
      <c r="G614" s="305"/>
      <c r="H614" s="305"/>
      <c r="I614" s="305"/>
      <c r="J614" s="305"/>
      <c r="K614" s="305"/>
      <c r="L614" s="305"/>
      <c r="M614" s="305"/>
      <c r="N614" s="305"/>
      <c r="O614" s="305"/>
      <c r="P614" s="305"/>
      <c r="Q614" s="305"/>
      <c r="R614" s="305"/>
      <c r="S614" s="305"/>
      <c r="T614" s="305"/>
      <c r="U614" s="305"/>
      <c r="V614" s="305"/>
      <c r="W614" s="305"/>
      <c r="X614" s="305"/>
      <c r="Y614" s="305"/>
      <c r="Z614" s="305"/>
    </row>
    <row r="615" spans="1:26" ht="15.75" customHeight="1" x14ac:dyDescent="0.25">
      <c r="A615" s="305"/>
      <c r="B615" s="305"/>
      <c r="C615" s="305"/>
      <c r="D615" s="305"/>
      <c r="E615" s="305"/>
      <c r="F615" s="305"/>
      <c r="G615" s="305"/>
      <c r="H615" s="305"/>
      <c r="I615" s="305"/>
      <c r="J615" s="305"/>
      <c r="K615" s="305"/>
      <c r="L615" s="305"/>
      <c r="M615" s="305"/>
      <c r="N615" s="305"/>
      <c r="O615" s="305"/>
      <c r="P615" s="305"/>
      <c r="Q615" s="305"/>
      <c r="R615" s="305"/>
      <c r="S615" s="305"/>
      <c r="T615" s="305"/>
      <c r="U615" s="305"/>
      <c r="V615" s="305"/>
      <c r="W615" s="305"/>
      <c r="X615" s="305"/>
      <c r="Y615" s="305"/>
      <c r="Z615" s="305"/>
    </row>
    <row r="616" spans="1:26" ht="15.75" customHeight="1" x14ac:dyDescent="0.25">
      <c r="A616" s="305"/>
      <c r="B616" s="305"/>
      <c r="C616" s="305"/>
      <c r="D616" s="305"/>
      <c r="E616" s="305"/>
      <c r="F616" s="305"/>
      <c r="G616" s="305"/>
      <c r="H616" s="305"/>
      <c r="I616" s="305"/>
      <c r="J616" s="305"/>
      <c r="K616" s="305"/>
      <c r="L616" s="305"/>
      <c r="M616" s="305"/>
      <c r="N616" s="305"/>
      <c r="O616" s="305"/>
      <c r="P616" s="305"/>
      <c r="Q616" s="305"/>
      <c r="R616" s="305"/>
      <c r="S616" s="305"/>
      <c r="T616" s="305"/>
      <c r="U616" s="305"/>
      <c r="V616" s="305"/>
      <c r="W616" s="305"/>
      <c r="X616" s="305"/>
      <c r="Y616" s="305"/>
      <c r="Z616" s="305"/>
    </row>
    <row r="617" spans="1:26" ht="15.75" customHeight="1" x14ac:dyDescent="0.25">
      <c r="A617" s="305"/>
      <c r="B617" s="305"/>
      <c r="C617" s="305"/>
      <c r="D617" s="305"/>
      <c r="E617" s="305"/>
      <c r="F617" s="305"/>
      <c r="G617" s="305"/>
      <c r="H617" s="305"/>
      <c r="I617" s="305"/>
      <c r="J617" s="305"/>
      <c r="K617" s="305"/>
      <c r="L617" s="305"/>
      <c r="M617" s="305"/>
      <c r="N617" s="305"/>
      <c r="O617" s="305"/>
      <c r="P617" s="305"/>
      <c r="Q617" s="305"/>
      <c r="R617" s="305"/>
      <c r="S617" s="305"/>
      <c r="T617" s="305"/>
      <c r="U617" s="305"/>
      <c r="V617" s="305"/>
      <c r="W617" s="305"/>
      <c r="X617" s="305"/>
      <c r="Y617" s="305"/>
      <c r="Z617" s="305"/>
    </row>
    <row r="618" spans="1:26" ht="15.75" customHeight="1" x14ac:dyDescent="0.25">
      <c r="A618" s="305"/>
      <c r="B618" s="305"/>
      <c r="C618" s="305"/>
      <c r="D618" s="305"/>
      <c r="E618" s="305"/>
      <c r="F618" s="305"/>
      <c r="G618" s="305"/>
      <c r="H618" s="305"/>
      <c r="I618" s="305"/>
      <c r="J618" s="305"/>
      <c r="K618" s="305"/>
      <c r="L618" s="305"/>
      <c r="M618" s="305"/>
      <c r="N618" s="305"/>
      <c r="O618" s="305"/>
      <c r="P618" s="305"/>
      <c r="Q618" s="305"/>
      <c r="R618" s="305"/>
      <c r="S618" s="305"/>
      <c r="T618" s="305"/>
      <c r="U618" s="305"/>
      <c r="V618" s="305"/>
      <c r="W618" s="305"/>
      <c r="X618" s="305"/>
      <c r="Y618" s="305"/>
      <c r="Z618" s="305"/>
    </row>
    <row r="619" spans="1:26" ht="15.75" customHeight="1" x14ac:dyDescent="0.25">
      <c r="A619" s="305"/>
      <c r="B619" s="305"/>
      <c r="C619" s="305"/>
      <c r="D619" s="305"/>
      <c r="E619" s="305"/>
      <c r="F619" s="305"/>
      <c r="G619" s="305"/>
      <c r="H619" s="305"/>
      <c r="I619" s="305"/>
      <c r="J619" s="305"/>
      <c r="K619" s="305"/>
      <c r="L619" s="305"/>
      <c r="M619" s="305"/>
      <c r="N619" s="305"/>
      <c r="O619" s="305"/>
      <c r="P619" s="305"/>
      <c r="Q619" s="305"/>
      <c r="R619" s="305"/>
      <c r="S619" s="305"/>
      <c r="T619" s="305"/>
      <c r="U619" s="305"/>
      <c r="V619" s="305"/>
      <c r="W619" s="305"/>
      <c r="X619" s="305"/>
      <c r="Y619" s="305"/>
      <c r="Z619" s="305"/>
    </row>
    <row r="620" spans="1:26" ht="15.75" customHeight="1" x14ac:dyDescent="0.25">
      <c r="A620" s="305"/>
      <c r="B620" s="305"/>
      <c r="C620" s="305"/>
      <c r="D620" s="305"/>
      <c r="E620" s="305"/>
      <c r="F620" s="305"/>
      <c r="G620" s="305"/>
      <c r="H620" s="305"/>
      <c r="I620" s="305"/>
      <c r="J620" s="305"/>
      <c r="K620" s="305"/>
      <c r="L620" s="305"/>
      <c r="M620" s="305"/>
      <c r="N620" s="305"/>
      <c r="O620" s="305"/>
      <c r="P620" s="305"/>
      <c r="Q620" s="305"/>
      <c r="R620" s="305"/>
      <c r="S620" s="305"/>
      <c r="T620" s="305"/>
      <c r="U620" s="305"/>
      <c r="V620" s="305"/>
      <c r="W620" s="305"/>
      <c r="X620" s="305"/>
      <c r="Y620" s="305"/>
      <c r="Z620" s="305"/>
    </row>
    <row r="621" spans="1:26" ht="15.75" customHeight="1" x14ac:dyDescent="0.25">
      <c r="A621" s="305"/>
      <c r="B621" s="305"/>
      <c r="C621" s="305"/>
      <c r="D621" s="305"/>
      <c r="E621" s="305"/>
      <c r="F621" s="305"/>
      <c r="G621" s="305"/>
      <c r="H621" s="305"/>
      <c r="I621" s="305"/>
      <c r="J621" s="305"/>
      <c r="K621" s="305"/>
      <c r="L621" s="305"/>
      <c r="M621" s="305"/>
      <c r="N621" s="305"/>
      <c r="O621" s="305"/>
      <c r="P621" s="305"/>
      <c r="Q621" s="305"/>
      <c r="R621" s="305"/>
      <c r="S621" s="305"/>
      <c r="T621" s="305"/>
      <c r="U621" s="305"/>
      <c r="V621" s="305"/>
      <c r="W621" s="305"/>
      <c r="X621" s="305"/>
      <c r="Y621" s="305"/>
      <c r="Z621" s="305"/>
    </row>
    <row r="622" spans="1:26" ht="15.75" customHeight="1" x14ac:dyDescent="0.25">
      <c r="A622" s="305"/>
      <c r="B622" s="305"/>
      <c r="C622" s="305"/>
      <c r="D622" s="305"/>
      <c r="E622" s="305"/>
      <c r="F622" s="305"/>
      <c r="G622" s="305"/>
      <c r="H622" s="305"/>
      <c r="I622" s="305"/>
      <c r="J622" s="305"/>
      <c r="K622" s="305"/>
      <c r="L622" s="305"/>
      <c r="M622" s="305"/>
      <c r="N622" s="305"/>
      <c r="O622" s="305"/>
      <c r="P622" s="305"/>
      <c r="Q622" s="305"/>
      <c r="R622" s="305"/>
      <c r="S622" s="305"/>
      <c r="T622" s="305"/>
      <c r="U622" s="305"/>
      <c r="V622" s="305"/>
      <c r="W622" s="305"/>
      <c r="X622" s="305"/>
      <c r="Y622" s="305"/>
      <c r="Z622" s="305"/>
    </row>
    <row r="623" spans="1:26" ht="15.75" customHeight="1" x14ac:dyDescent="0.25">
      <c r="A623" s="305"/>
      <c r="B623" s="305"/>
      <c r="C623" s="305"/>
      <c r="D623" s="305"/>
      <c r="E623" s="305"/>
      <c r="F623" s="305"/>
      <c r="G623" s="305"/>
      <c r="H623" s="305"/>
      <c r="I623" s="305"/>
      <c r="J623" s="305"/>
      <c r="K623" s="305"/>
      <c r="L623" s="305"/>
      <c r="M623" s="305"/>
      <c r="N623" s="305"/>
      <c r="O623" s="305"/>
      <c r="P623" s="305"/>
      <c r="Q623" s="305"/>
      <c r="R623" s="305"/>
      <c r="S623" s="305"/>
      <c r="T623" s="305"/>
      <c r="U623" s="305"/>
      <c r="V623" s="305"/>
      <c r="W623" s="305"/>
      <c r="X623" s="305"/>
      <c r="Y623" s="305"/>
      <c r="Z623" s="305"/>
    </row>
    <row r="624" spans="1:26" ht="15.75" customHeight="1" x14ac:dyDescent="0.25">
      <c r="A624" s="305"/>
      <c r="B624" s="305"/>
      <c r="C624" s="305"/>
      <c r="D624" s="305"/>
      <c r="E624" s="305"/>
      <c r="F624" s="305"/>
      <c r="G624" s="305"/>
      <c r="H624" s="305"/>
      <c r="I624" s="305"/>
      <c r="J624" s="305"/>
      <c r="K624" s="305"/>
      <c r="L624" s="305"/>
      <c r="M624" s="305"/>
      <c r="N624" s="305"/>
      <c r="O624" s="305"/>
      <c r="P624" s="305"/>
      <c r="Q624" s="305"/>
      <c r="R624" s="305"/>
      <c r="S624" s="305"/>
      <c r="T624" s="305"/>
      <c r="U624" s="305"/>
      <c r="V624" s="305"/>
      <c r="W624" s="305"/>
      <c r="X624" s="305"/>
      <c r="Y624" s="305"/>
      <c r="Z624" s="305"/>
    </row>
    <row r="625" spans="1:26" ht="15.75" customHeight="1" x14ac:dyDescent="0.25">
      <c r="A625" s="305"/>
      <c r="B625" s="305"/>
      <c r="C625" s="305"/>
      <c r="D625" s="305"/>
      <c r="E625" s="305"/>
      <c r="F625" s="305"/>
      <c r="G625" s="305"/>
      <c r="H625" s="305"/>
      <c r="I625" s="305"/>
      <c r="J625" s="305"/>
      <c r="K625" s="305"/>
      <c r="L625" s="305"/>
      <c r="M625" s="305"/>
      <c r="N625" s="305"/>
      <c r="O625" s="305"/>
      <c r="P625" s="305"/>
      <c r="Q625" s="305"/>
      <c r="R625" s="305"/>
      <c r="S625" s="305"/>
      <c r="T625" s="305"/>
      <c r="U625" s="305"/>
      <c r="V625" s="305"/>
      <c r="W625" s="305"/>
      <c r="X625" s="305"/>
      <c r="Y625" s="305"/>
      <c r="Z625" s="305"/>
    </row>
    <row r="626" spans="1:26" ht="15.75" customHeight="1" x14ac:dyDescent="0.25">
      <c r="A626" s="305"/>
      <c r="B626" s="305"/>
      <c r="C626" s="305"/>
      <c r="D626" s="305"/>
      <c r="E626" s="305"/>
      <c r="F626" s="305"/>
      <c r="G626" s="305"/>
      <c r="H626" s="305"/>
      <c r="I626" s="305"/>
      <c r="J626" s="305"/>
      <c r="K626" s="305"/>
      <c r="L626" s="305"/>
      <c r="M626" s="305"/>
      <c r="N626" s="305"/>
      <c r="O626" s="305"/>
      <c r="P626" s="305"/>
      <c r="Q626" s="305"/>
      <c r="R626" s="305"/>
      <c r="S626" s="305"/>
      <c r="T626" s="305"/>
      <c r="U626" s="305"/>
      <c r="V626" s="305"/>
      <c r="W626" s="305"/>
      <c r="X626" s="305"/>
      <c r="Y626" s="305"/>
      <c r="Z626" s="305"/>
    </row>
    <row r="627" spans="1:26" ht="15.75" customHeight="1" x14ac:dyDescent="0.25">
      <c r="A627" s="305"/>
      <c r="B627" s="305"/>
      <c r="C627" s="305"/>
      <c r="D627" s="305"/>
      <c r="E627" s="305"/>
      <c r="F627" s="305"/>
      <c r="G627" s="305"/>
      <c r="H627" s="305"/>
      <c r="I627" s="305"/>
      <c r="J627" s="305"/>
      <c r="K627" s="305"/>
      <c r="L627" s="305"/>
      <c r="M627" s="305"/>
      <c r="N627" s="305"/>
      <c r="O627" s="305"/>
      <c r="P627" s="305"/>
      <c r="Q627" s="305"/>
      <c r="R627" s="305"/>
      <c r="S627" s="305"/>
      <c r="T627" s="305"/>
      <c r="U627" s="305"/>
      <c r="V627" s="305"/>
      <c r="W627" s="305"/>
      <c r="X627" s="305"/>
      <c r="Y627" s="305"/>
      <c r="Z627" s="305"/>
    </row>
    <row r="628" spans="1:26" ht="15.75" customHeight="1" x14ac:dyDescent="0.25">
      <c r="A628" s="305"/>
      <c r="B628" s="305"/>
      <c r="C628" s="305"/>
      <c r="D628" s="305"/>
      <c r="E628" s="305"/>
      <c r="F628" s="305"/>
      <c r="G628" s="305"/>
      <c r="H628" s="305"/>
      <c r="I628" s="305"/>
      <c r="J628" s="305"/>
      <c r="K628" s="305"/>
      <c r="L628" s="305"/>
      <c r="M628" s="305"/>
      <c r="N628" s="305"/>
      <c r="O628" s="305"/>
      <c r="P628" s="305"/>
      <c r="Q628" s="305"/>
      <c r="R628" s="305"/>
      <c r="S628" s="305"/>
      <c r="T628" s="305"/>
      <c r="U628" s="305"/>
      <c r="V628" s="305"/>
      <c r="W628" s="305"/>
      <c r="X628" s="305"/>
      <c r="Y628" s="305"/>
      <c r="Z628" s="305"/>
    </row>
    <row r="629" spans="1:26" ht="15.75" customHeight="1" x14ac:dyDescent="0.25">
      <c r="A629" s="305"/>
      <c r="B629" s="305"/>
      <c r="C629" s="305"/>
      <c r="D629" s="305"/>
      <c r="E629" s="305"/>
      <c r="F629" s="305"/>
      <c r="G629" s="305"/>
      <c r="H629" s="305"/>
      <c r="I629" s="305"/>
      <c r="J629" s="305"/>
      <c r="K629" s="305"/>
      <c r="L629" s="305"/>
      <c r="M629" s="305"/>
      <c r="N629" s="305"/>
      <c r="O629" s="305"/>
      <c r="P629" s="305"/>
      <c r="Q629" s="305"/>
      <c r="R629" s="305"/>
      <c r="S629" s="305"/>
      <c r="T629" s="305"/>
      <c r="U629" s="305"/>
      <c r="V629" s="305"/>
      <c r="W629" s="305"/>
      <c r="X629" s="305"/>
      <c r="Y629" s="305"/>
      <c r="Z629" s="305"/>
    </row>
    <row r="630" spans="1:26" ht="15.75" customHeight="1" x14ac:dyDescent="0.25">
      <c r="A630" s="305"/>
      <c r="B630" s="305"/>
      <c r="C630" s="305"/>
      <c r="D630" s="305"/>
      <c r="E630" s="305"/>
      <c r="F630" s="305"/>
      <c r="G630" s="305"/>
      <c r="H630" s="305"/>
      <c r="I630" s="305"/>
      <c r="J630" s="305"/>
      <c r="K630" s="305"/>
      <c r="L630" s="305"/>
      <c r="M630" s="305"/>
      <c r="N630" s="305"/>
      <c r="O630" s="305"/>
      <c r="P630" s="305"/>
      <c r="Q630" s="305"/>
      <c r="R630" s="305"/>
      <c r="S630" s="305"/>
      <c r="T630" s="305"/>
      <c r="U630" s="305"/>
      <c r="V630" s="305"/>
      <c r="W630" s="305"/>
      <c r="X630" s="305"/>
      <c r="Y630" s="305"/>
      <c r="Z630" s="305"/>
    </row>
    <row r="631" spans="1:26" ht="15.75" customHeight="1" x14ac:dyDescent="0.25">
      <c r="A631" s="305"/>
      <c r="B631" s="305"/>
      <c r="C631" s="305"/>
      <c r="D631" s="305"/>
      <c r="E631" s="305"/>
      <c r="F631" s="305"/>
      <c r="G631" s="305"/>
      <c r="H631" s="305"/>
      <c r="I631" s="305"/>
      <c r="J631" s="305"/>
      <c r="K631" s="305"/>
      <c r="L631" s="305"/>
      <c r="M631" s="305"/>
      <c r="N631" s="305"/>
      <c r="O631" s="305"/>
      <c r="P631" s="305"/>
      <c r="Q631" s="305"/>
      <c r="R631" s="305"/>
      <c r="S631" s="305"/>
      <c r="T631" s="305"/>
      <c r="U631" s="305"/>
      <c r="V631" s="305"/>
      <c r="W631" s="305"/>
      <c r="X631" s="305"/>
      <c r="Y631" s="305"/>
      <c r="Z631" s="305"/>
    </row>
    <row r="632" spans="1:26" ht="15.75" customHeight="1" x14ac:dyDescent="0.25">
      <c r="A632" s="305"/>
      <c r="B632" s="305"/>
      <c r="C632" s="305"/>
      <c r="D632" s="305"/>
      <c r="E632" s="305"/>
      <c r="F632" s="305"/>
      <c r="G632" s="305"/>
      <c r="H632" s="305"/>
      <c r="I632" s="305"/>
      <c r="J632" s="305"/>
      <c r="K632" s="305"/>
      <c r="L632" s="305"/>
      <c r="M632" s="305"/>
      <c r="N632" s="305"/>
      <c r="O632" s="305"/>
      <c r="P632" s="305"/>
      <c r="Q632" s="305"/>
      <c r="R632" s="305"/>
      <c r="S632" s="305"/>
      <c r="T632" s="305"/>
      <c r="U632" s="305"/>
      <c r="V632" s="305"/>
      <c r="W632" s="305"/>
      <c r="X632" s="305"/>
      <c r="Y632" s="305"/>
      <c r="Z632" s="305"/>
    </row>
    <row r="633" spans="1:26" ht="15.75" customHeight="1" x14ac:dyDescent="0.25">
      <c r="A633" s="305"/>
      <c r="B633" s="305"/>
      <c r="C633" s="305"/>
      <c r="D633" s="305"/>
      <c r="E633" s="305"/>
      <c r="F633" s="305"/>
      <c r="G633" s="305"/>
      <c r="H633" s="305"/>
      <c r="I633" s="305"/>
      <c r="J633" s="305"/>
      <c r="K633" s="305"/>
      <c r="L633" s="305"/>
      <c r="M633" s="305"/>
      <c r="N633" s="305"/>
      <c r="O633" s="305"/>
      <c r="P633" s="305"/>
      <c r="Q633" s="305"/>
      <c r="R633" s="305"/>
      <c r="S633" s="305"/>
      <c r="T633" s="305"/>
      <c r="U633" s="305"/>
      <c r="V633" s="305"/>
      <c r="W633" s="305"/>
      <c r="X633" s="305"/>
      <c r="Y633" s="305"/>
      <c r="Z633" s="305"/>
    </row>
    <row r="634" spans="1:26" ht="15.75" customHeight="1" x14ac:dyDescent="0.25">
      <c r="A634" s="305"/>
      <c r="B634" s="305"/>
      <c r="C634" s="305"/>
      <c r="D634" s="305"/>
      <c r="E634" s="305"/>
      <c r="F634" s="305"/>
      <c r="G634" s="305"/>
      <c r="H634" s="305"/>
      <c r="I634" s="305"/>
      <c r="J634" s="305"/>
      <c r="K634" s="305"/>
      <c r="L634" s="305"/>
      <c r="M634" s="305"/>
      <c r="N634" s="305"/>
      <c r="O634" s="305"/>
      <c r="P634" s="305"/>
      <c r="Q634" s="305"/>
      <c r="R634" s="305"/>
      <c r="S634" s="305"/>
      <c r="T634" s="305"/>
      <c r="U634" s="305"/>
      <c r="V634" s="305"/>
      <c r="W634" s="305"/>
      <c r="X634" s="305"/>
      <c r="Y634" s="305"/>
      <c r="Z634" s="305"/>
    </row>
    <row r="635" spans="1:26" ht="15.75" customHeight="1" x14ac:dyDescent="0.25">
      <c r="A635" s="305"/>
      <c r="B635" s="305"/>
      <c r="C635" s="305"/>
      <c r="D635" s="305"/>
      <c r="E635" s="305"/>
      <c r="F635" s="305"/>
      <c r="G635" s="305"/>
      <c r="H635" s="305"/>
      <c r="I635" s="305"/>
      <c r="J635" s="305"/>
      <c r="K635" s="305"/>
      <c r="L635" s="305"/>
      <c r="M635" s="305"/>
      <c r="N635" s="305"/>
      <c r="O635" s="305"/>
      <c r="P635" s="305"/>
      <c r="Q635" s="305"/>
      <c r="R635" s="305"/>
      <c r="S635" s="305"/>
      <c r="T635" s="305"/>
      <c r="U635" s="305"/>
      <c r="V635" s="305"/>
      <c r="W635" s="305"/>
      <c r="X635" s="305"/>
      <c r="Y635" s="305"/>
      <c r="Z635" s="305"/>
    </row>
    <row r="636" spans="1:26" ht="15.75" customHeight="1" x14ac:dyDescent="0.25">
      <c r="A636" s="305"/>
      <c r="B636" s="305"/>
      <c r="C636" s="305"/>
      <c r="D636" s="305"/>
      <c r="E636" s="305"/>
      <c r="F636" s="305"/>
      <c r="G636" s="305"/>
      <c r="H636" s="305"/>
      <c r="I636" s="305"/>
      <c r="J636" s="305"/>
      <c r="K636" s="305"/>
      <c r="L636" s="305"/>
      <c r="M636" s="305"/>
      <c r="N636" s="305"/>
      <c r="O636" s="305"/>
      <c r="P636" s="305"/>
      <c r="Q636" s="305"/>
      <c r="R636" s="305"/>
      <c r="S636" s="305"/>
      <c r="T636" s="305"/>
      <c r="U636" s="305"/>
      <c r="V636" s="305"/>
      <c r="W636" s="305"/>
      <c r="X636" s="305"/>
      <c r="Y636" s="305"/>
      <c r="Z636" s="305"/>
    </row>
    <row r="637" spans="1:26" ht="15.75" customHeight="1" x14ac:dyDescent="0.25">
      <c r="A637" s="305"/>
      <c r="B637" s="305"/>
      <c r="C637" s="305"/>
      <c r="D637" s="305"/>
      <c r="E637" s="305"/>
      <c r="F637" s="305"/>
      <c r="G637" s="305"/>
      <c r="H637" s="305"/>
      <c r="I637" s="305"/>
      <c r="J637" s="305"/>
      <c r="K637" s="305"/>
      <c r="L637" s="305"/>
      <c r="M637" s="305"/>
      <c r="N637" s="305"/>
      <c r="O637" s="305"/>
      <c r="P637" s="305"/>
      <c r="Q637" s="305"/>
      <c r="R637" s="305"/>
      <c r="S637" s="305"/>
      <c r="T637" s="305"/>
      <c r="U637" s="305"/>
      <c r="V637" s="305"/>
      <c r="W637" s="305"/>
      <c r="X637" s="305"/>
      <c r="Y637" s="305"/>
      <c r="Z637" s="305"/>
    </row>
    <row r="638" spans="1:26" ht="15.75" customHeight="1" x14ac:dyDescent="0.25">
      <c r="A638" s="305"/>
      <c r="B638" s="305"/>
      <c r="C638" s="305"/>
      <c r="D638" s="305"/>
      <c r="E638" s="305"/>
      <c r="F638" s="305"/>
      <c r="G638" s="305"/>
      <c r="H638" s="305"/>
      <c r="I638" s="305"/>
      <c r="J638" s="305"/>
      <c r="K638" s="305"/>
      <c r="L638" s="305"/>
      <c r="M638" s="305"/>
      <c r="N638" s="305"/>
      <c r="O638" s="305"/>
      <c r="P638" s="305"/>
      <c r="Q638" s="305"/>
      <c r="R638" s="305"/>
      <c r="S638" s="305"/>
      <c r="T638" s="305"/>
      <c r="U638" s="305"/>
      <c r="V638" s="305"/>
      <c r="W638" s="305"/>
      <c r="X638" s="305"/>
      <c r="Y638" s="305"/>
      <c r="Z638" s="305"/>
    </row>
    <row r="639" spans="1:26" ht="15.75" customHeight="1" x14ac:dyDescent="0.25">
      <c r="A639" s="305"/>
      <c r="B639" s="305"/>
      <c r="C639" s="305"/>
      <c r="D639" s="305"/>
      <c r="E639" s="305"/>
      <c r="F639" s="305"/>
      <c r="G639" s="305"/>
      <c r="H639" s="305"/>
      <c r="I639" s="305"/>
      <c r="J639" s="305"/>
      <c r="K639" s="305"/>
      <c r="L639" s="305"/>
      <c r="M639" s="305"/>
      <c r="N639" s="305"/>
      <c r="O639" s="305"/>
      <c r="P639" s="305"/>
      <c r="Q639" s="305"/>
      <c r="R639" s="305"/>
      <c r="S639" s="305"/>
      <c r="T639" s="305"/>
      <c r="U639" s="305"/>
      <c r="V639" s="305"/>
      <c r="W639" s="305"/>
      <c r="X639" s="305"/>
      <c r="Y639" s="305"/>
      <c r="Z639" s="305"/>
    </row>
    <row r="640" spans="1:26" ht="15.75" customHeight="1" x14ac:dyDescent="0.25">
      <c r="A640" s="305"/>
      <c r="B640" s="305"/>
      <c r="C640" s="305"/>
      <c r="D640" s="305"/>
      <c r="E640" s="305"/>
      <c r="F640" s="305"/>
      <c r="G640" s="305"/>
      <c r="H640" s="305"/>
      <c r="I640" s="305"/>
      <c r="J640" s="305"/>
      <c r="K640" s="305"/>
      <c r="L640" s="305"/>
      <c r="M640" s="305"/>
      <c r="N640" s="305"/>
      <c r="O640" s="305"/>
      <c r="P640" s="305"/>
      <c r="Q640" s="305"/>
      <c r="R640" s="305"/>
      <c r="S640" s="305"/>
      <c r="T640" s="305"/>
      <c r="U640" s="305"/>
      <c r="V640" s="305"/>
      <c r="W640" s="305"/>
      <c r="X640" s="305"/>
      <c r="Y640" s="305"/>
      <c r="Z640" s="305"/>
    </row>
    <row r="641" spans="1:26" ht="15.75" customHeight="1" x14ac:dyDescent="0.25">
      <c r="A641" s="305"/>
      <c r="B641" s="305"/>
      <c r="C641" s="305"/>
      <c r="D641" s="305"/>
      <c r="E641" s="305"/>
      <c r="F641" s="305"/>
      <c r="G641" s="305"/>
      <c r="H641" s="305"/>
      <c r="I641" s="305"/>
      <c r="J641" s="305"/>
      <c r="K641" s="305"/>
      <c r="L641" s="305"/>
      <c r="M641" s="305"/>
      <c r="N641" s="305"/>
      <c r="O641" s="305"/>
      <c r="P641" s="305"/>
      <c r="Q641" s="305"/>
      <c r="R641" s="305"/>
      <c r="S641" s="305"/>
      <c r="T641" s="305"/>
      <c r="U641" s="305"/>
      <c r="V641" s="305"/>
      <c r="W641" s="305"/>
      <c r="X641" s="305"/>
      <c r="Y641" s="305"/>
      <c r="Z641" s="305"/>
    </row>
    <row r="642" spans="1:26" ht="15.75" customHeight="1" x14ac:dyDescent="0.25">
      <c r="A642" s="305"/>
      <c r="B642" s="305"/>
      <c r="C642" s="305"/>
      <c r="D642" s="305"/>
      <c r="E642" s="305"/>
      <c r="F642" s="305"/>
      <c r="G642" s="305"/>
      <c r="H642" s="305"/>
      <c r="I642" s="305"/>
      <c r="J642" s="305"/>
      <c r="K642" s="305"/>
      <c r="L642" s="305"/>
      <c r="M642" s="305"/>
      <c r="N642" s="305"/>
      <c r="O642" s="305"/>
      <c r="P642" s="305"/>
      <c r="Q642" s="305"/>
      <c r="R642" s="305"/>
      <c r="S642" s="305"/>
      <c r="T642" s="305"/>
      <c r="U642" s="305"/>
      <c r="V642" s="305"/>
      <c r="W642" s="305"/>
      <c r="X642" s="305"/>
      <c r="Y642" s="305"/>
      <c r="Z642" s="305"/>
    </row>
    <row r="643" spans="1:26" ht="15.75" customHeight="1" x14ac:dyDescent="0.25">
      <c r="A643" s="305"/>
      <c r="B643" s="305"/>
      <c r="C643" s="305"/>
      <c r="D643" s="305"/>
      <c r="E643" s="305"/>
      <c r="F643" s="305"/>
      <c r="G643" s="305"/>
      <c r="H643" s="305"/>
      <c r="I643" s="305"/>
      <c r="J643" s="305"/>
      <c r="K643" s="305"/>
      <c r="L643" s="305"/>
      <c r="M643" s="305"/>
      <c r="N643" s="305"/>
      <c r="O643" s="305"/>
      <c r="P643" s="305"/>
      <c r="Q643" s="305"/>
      <c r="R643" s="305"/>
      <c r="S643" s="305"/>
      <c r="T643" s="305"/>
      <c r="U643" s="305"/>
      <c r="V643" s="305"/>
      <c r="W643" s="305"/>
      <c r="X643" s="305"/>
      <c r="Y643" s="305"/>
      <c r="Z643" s="305"/>
    </row>
    <row r="644" spans="1:26" ht="15.75" customHeight="1" x14ac:dyDescent="0.25">
      <c r="A644" s="305"/>
      <c r="B644" s="305"/>
      <c r="C644" s="305"/>
      <c r="D644" s="305"/>
      <c r="E644" s="305"/>
      <c r="F644" s="305"/>
      <c r="G644" s="305"/>
      <c r="H644" s="305"/>
      <c r="I644" s="305"/>
      <c r="J644" s="305"/>
      <c r="K644" s="305"/>
      <c r="L644" s="305"/>
      <c r="M644" s="305"/>
      <c r="N644" s="305"/>
      <c r="O644" s="305"/>
      <c r="P644" s="305"/>
      <c r="Q644" s="305"/>
      <c r="R644" s="305"/>
      <c r="S644" s="305"/>
      <c r="T644" s="305"/>
      <c r="U644" s="305"/>
      <c r="V644" s="305"/>
      <c r="W644" s="305"/>
      <c r="X644" s="305"/>
      <c r="Y644" s="305"/>
      <c r="Z644" s="305"/>
    </row>
    <row r="645" spans="1:26" ht="15.75" customHeight="1" x14ac:dyDescent="0.25">
      <c r="A645" s="305"/>
      <c r="B645" s="305"/>
      <c r="C645" s="305"/>
      <c r="D645" s="305"/>
      <c r="E645" s="305"/>
      <c r="F645" s="305"/>
      <c r="G645" s="305"/>
      <c r="H645" s="305"/>
      <c r="I645" s="305"/>
      <c r="J645" s="305"/>
      <c r="K645" s="305"/>
      <c r="L645" s="305"/>
      <c r="M645" s="305"/>
      <c r="N645" s="305"/>
      <c r="O645" s="305"/>
      <c r="P645" s="305"/>
      <c r="Q645" s="305"/>
      <c r="R645" s="305"/>
      <c r="S645" s="305"/>
      <c r="T645" s="305"/>
      <c r="U645" s="305"/>
      <c r="V645" s="305"/>
      <c r="W645" s="305"/>
      <c r="X645" s="305"/>
      <c r="Y645" s="305"/>
      <c r="Z645" s="305"/>
    </row>
    <row r="646" spans="1:26" ht="15.75" customHeight="1" x14ac:dyDescent="0.25">
      <c r="A646" s="305"/>
      <c r="B646" s="305"/>
      <c r="C646" s="305"/>
      <c r="D646" s="305"/>
      <c r="E646" s="305"/>
      <c r="F646" s="305"/>
      <c r="G646" s="305"/>
      <c r="H646" s="305"/>
      <c r="I646" s="305"/>
      <c r="J646" s="305"/>
      <c r="K646" s="305"/>
      <c r="L646" s="305"/>
      <c r="M646" s="305"/>
      <c r="N646" s="305"/>
      <c r="O646" s="305"/>
      <c r="P646" s="305"/>
      <c r="Q646" s="305"/>
      <c r="R646" s="305"/>
      <c r="S646" s="305"/>
      <c r="T646" s="305"/>
      <c r="U646" s="305"/>
      <c r="V646" s="305"/>
      <c r="W646" s="305"/>
      <c r="X646" s="305"/>
      <c r="Y646" s="305"/>
      <c r="Z646" s="305"/>
    </row>
    <row r="647" spans="1:26" ht="15.75" customHeight="1" x14ac:dyDescent="0.25">
      <c r="A647" s="305"/>
      <c r="B647" s="305"/>
      <c r="C647" s="305"/>
      <c r="D647" s="305"/>
      <c r="E647" s="305"/>
      <c r="F647" s="305"/>
      <c r="G647" s="305"/>
      <c r="H647" s="305"/>
      <c r="I647" s="305"/>
      <c r="J647" s="305"/>
      <c r="K647" s="305"/>
      <c r="L647" s="305"/>
      <c r="M647" s="305"/>
      <c r="N647" s="305"/>
      <c r="O647" s="305"/>
      <c r="P647" s="305"/>
      <c r="Q647" s="305"/>
      <c r="R647" s="305"/>
      <c r="S647" s="305"/>
      <c r="T647" s="305"/>
      <c r="U647" s="305"/>
      <c r="V647" s="305"/>
      <c r="W647" s="305"/>
      <c r="X647" s="305"/>
      <c r="Y647" s="305"/>
      <c r="Z647" s="305"/>
    </row>
    <row r="648" spans="1:26" ht="15.75" customHeight="1" x14ac:dyDescent="0.25">
      <c r="A648" s="305"/>
      <c r="B648" s="305"/>
      <c r="C648" s="305"/>
      <c r="D648" s="305"/>
      <c r="E648" s="305"/>
      <c r="F648" s="305"/>
      <c r="G648" s="305"/>
      <c r="H648" s="305"/>
      <c r="I648" s="305"/>
      <c r="J648" s="305"/>
      <c r="K648" s="305"/>
      <c r="L648" s="305"/>
      <c r="M648" s="305"/>
      <c r="N648" s="305"/>
      <c r="O648" s="305"/>
      <c r="P648" s="305"/>
      <c r="Q648" s="305"/>
      <c r="R648" s="305"/>
      <c r="S648" s="305"/>
      <c r="T648" s="305"/>
      <c r="U648" s="305"/>
      <c r="V648" s="305"/>
      <c r="W648" s="305"/>
      <c r="X648" s="305"/>
      <c r="Y648" s="305"/>
      <c r="Z648" s="305"/>
    </row>
    <row r="649" spans="1:26" ht="15.75" customHeight="1" x14ac:dyDescent="0.25">
      <c r="A649" s="305"/>
      <c r="B649" s="305"/>
      <c r="C649" s="305"/>
      <c r="D649" s="305"/>
      <c r="E649" s="305"/>
      <c r="F649" s="305"/>
      <c r="G649" s="305"/>
      <c r="H649" s="305"/>
      <c r="I649" s="305"/>
      <c r="J649" s="305"/>
      <c r="K649" s="305"/>
      <c r="L649" s="305"/>
      <c r="M649" s="305"/>
      <c r="N649" s="305"/>
      <c r="O649" s="305"/>
      <c r="P649" s="305"/>
      <c r="Q649" s="305"/>
      <c r="R649" s="305"/>
      <c r="S649" s="305"/>
      <c r="T649" s="305"/>
      <c r="U649" s="305"/>
      <c r="V649" s="305"/>
      <c r="W649" s="305"/>
      <c r="X649" s="305"/>
      <c r="Y649" s="305"/>
      <c r="Z649" s="305"/>
    </row>
    <row r="650" spans="1:26" ht="15.75" customHeight="1" x14ac:dyDescent="0.25">
      <c r="A650" s="305"/>
      <c r="B650" s="305"/>
      <c r="C650" s="305"/>
      <c r="D650" s="305"/>
      <c r="E650" s="305"/>
      <c r="F650" s="305"/>
      <c r="G650" s="305"/>
      <c r="H650" s="305"/>
      <c r="I650" s="305"/>
      <c r="J650" s="305"/>
      <c r="K650" s="305"/>
      <c r="L650" s="305"/>
      <c r="M650" s="305"/>
      <c r="N650" s="305"/>
      <c r="O650" s="305"/>
      <c r="P650" s="305"/>
      <c r="Q650" s="305"/>
      <c r="R650" s="305"/>
      <c r="S650" s="305"/>
      <c r="T650" s="305"/>
      <c r="U650" s="305"/>
      <c r="V650" s="305"/>
      <c r="W650" s="305"/>
      <c r="X650" s="305"/>
      <c r="Y650" s="305"/>
      <c r="Z650" s="305"/>
    </row>
    <row r="651" spans="1:26" ht="15.75" customHeight="1" x14ac:dyDescent="0.25">
      <c r="A651" s="305"/>
      <c r="B651" s="305"/>
      <c r="C651" s="305"/>
      <c r="D651" s="305"/>
      <c r="E651" s="305"/>
      <c r="F651" s="305"/>
      <c r="G651" s="305"/>
      <c r="H651" s="305"/>
      <c r="I651" s="305"/>
      <c r="J651" s="305"/>
      <c r="K651" s="305"/>
      <c r="L651" s="305"/>
      <c r="M651" s="305"/>
      <c r="N651" s="305"/>
      <c r="O651" s="305"/>
      <c r="P651" s="305"/>
      <c r="Q651" s="305"/>
      <c r="R651" s="305"/>
      <c r="S651" s="305"/>
      <c r="T651" s="305"/>
      <c r="U651" s="305"/>
      <c r="V651" s="305"/>
      <c r="W651" s="305"/>
      <c r="X651" s="305"/>
      <c r="Y651" s="305"/>
      <c r="Z651" s="305"/>
    </row>
    <row r="652" spans="1:26" ht="15.75" customHeight="1" x14ac:dyDescent="0.25">
      <c r="A652" s="305"/>
      <c r="B652" s="305"/>
      <c r="C652" s="305"/>
      <c r="D652" s="305"/>
      <c r="E652" s="305"/>
      <c r="F652" s="305"/>
      <c r="G652" s="305"/>
      <c r="H652" s="305"/>
      <c r="I652" s="305"/>
      <c r="J652" s="305"/>
      <c r="K652" s="305"/>
      <c r="L652" s="305"/>
      <c r="M652" s="305"/>
      <c r="N652" s="305"/>
      <c r="O652" s="305"/>
      <c r="P652" s="305"/>
      <c r="Q652" s="305"/>
      <c r="R652" s="305"/>
      <c r="S652" s="305"/>
      <c r="T652" s="305"/>
      <c r="U652" s="305"/>
      <c r="V652" s="305"/>
      <c r="W652" s="305"/>
      <c r="X652" s="305"/>
      <c r="Y652" s="305"/>
      <c r="Z652" s="305"/>
    </row>
    <row r="653" spans="1:26" ht="15.75" customHeight="1" x14ac:dyDescent="0.25">
      <c r="A653" s="305"/>
      <c r="B653" s="305"/>
      <c r="C653" s="305"/>
      <c r="D653" s="305"/>
      <c r="E653" s="305"/>
      <c r="F653" s="305"/>
      <c r="G653" s="305"/>
      <c r="H653" s="305"/>
      <c r="I653" s="305"/>
      <c r="J653" s="305"/>
      <c r="K653" s="305"/>
      <c r="L653" s="305"/>
      <c r="M653" s="305"/>
      <c r="N653" s="305"/>
      <c r="O653" s="305"/>
      <c r="P653" s="305"/>
      <c r="Q653" s="305"/>
      <c r="R653" s="305"/>
      <c r="S653" s="305"/>
      <c r="T653" s="305"/>
      <c r="U653" s="305"/>
      <c r="V653" s="305"/>
      <c r="W653" s="305"/>
      <c r="X653" s="305"/>
      <c r="Y653" s="305"/>
      <c r="Z653" s="305"/>
    </row>
    <row r="654" spans="1:26" ht="15.75" customHeight="1" x14ac:dyDescent="0.25">
      <c r="A654" s="305"/>
      <c r="B654" s="305"/>
      <c r="C654" s="305"/>
      <c r="D654" s="305"/>
      <c r="E654" s="305"/>
      <c r="F654" s="305"/>
      <c r="G654" s="305"/>
      <c r="H654" s="305"/>
      <c r="I654" s="305"/>
      <c r="J654" s="305"/>
      <c r="K654" s="305"/>
      <c r="L654" s="305"/>
      <c r="M654" s="305"/>
      <c r="N654" s="305"/>
      <c r="O654" s="305"/>
      <c r="P654" s="305"/>
      <c r="Q654" s="305"/>
      <c r="R654" s="305"/>
      <c r="S654" s="305"/>
      <c r="T654" s="305"/>
      <c r="U654" s="305"/>
      <c r="V654" s="305"/>
      <c r="W654" s="305"/>
      <c r="X654" s="305"/>
      <c r="Y654" s="305"/>
      <c r="Z654" s="305"/>
    </row>
    <row r="655" spans="1:26" ht="15.75" customHeight="1" x14ac:dyDescent="0.25">
      <c r="A655" s="305"/>
      <c r="B655" s="305"/>
      <c r="C655" s="305"/>
      <c r="D655" s="305"/>
      <c r="E655" s="305"/>
      <c r="F655" s="305"/>
      <c r="G655" s="305"/>
      <c r="H655" s="305"/>
      <c r="I655" s="305"/>
      <c r="J655" s="305"/>
      <c r="K655" s="305"/>
      <c r="L655" s="305"/>
      <c r="M655" s="305"/>
      <c r="N655" s="305"/>
      <c r="O655" s="305"/>
      <c r="P655" s="305"/>
      <c r="Q655" s="305"/>
      <c r="R655" s="305"/>
      <c r="S655" s="305"/>
      <c r="T655" s="305"/>
      <c r="U655" s="305"/>
      <c r="V655" s="305"/>
      <c r="W655" s="305"/>
      <c r="X655" s="305"/>
      <c r="Y655" s="305"/>
      <c r="Z655" s="305"/>
    </row>
    <row r="656" spans="1:26" ht="15.75" customHeight="1" x14ac:dyDescent="0.25">
      <c r="A656" s="305"/>
      <c r="B656" s="305"/>
      <c r="C656" s="305"/>
      <c r="D656" s="305"/>
      <c r="E656" s="305"/>
      <c r="F656" s="305"/>
      <c r="G656" s="305"/>
      <c r="H656" s="305"/>
      <c r="I656" s="305"/>
      <c r="J656" s="305"/>
      <c r="K656" s="305"/>
      <c r="L656" s="305"/>
      <c r="M656" s="305"/>
      <c r="N656" s="305"/>
      <c r="O656" s="305"/>
      <c r="P656" s="305"/>
      <c r="Q656" s="305"/>
      <c r="R656" s="305"/>
      <c r="S656" s="305"/>
      <c r="T656" s="305"/>
      <c r="U656" s="305"/>
      <c r="V656" s="305"/>
      <c r="W656" s="305"/>
      <c r="X656" s="305"/>
      <c r="Y656" s="305"/>
      <c r="Z656" s="305"/>
    </row>
    <row r="657" spans="1:26" ht="15.75" customHeight="1" x14ac:dyDescent="0.25">
      <c r="A657" s="305"/>
      <c r="B657" s="305"/>
      <c r="C657" s="305"/>
      <c r="D657" s="305"/>
      <c r="E657" s="305"/>
      <c r="F657" s="305"/>
      <c r="G657" s="305"/>
      <c r="H657" s="305"/>
      <c r="I657" s="305"/>
      <c r="J657" s="305"/>
      <c r="K657" s="305"/>
      <c r="L657" s="305"/>
      <c r="M657" s="305"/>
      <c r="N657" s="305"/>
      <c r="O657" s="305"/>
      <c r="P657" s="305"/>
      <c r="Q657" s="305"/>
      <c r="R657" s="305"/>
      <c r="S657" s="305"/>
      <c r="T657" s="305"/>
      <c r="U657" s="305"/>
      <c r="V657" s="305"/>
      <c r="W657" s="305"/>
      <c r="X657" s="305"/>
      <c r="Y657" s="305"/>
      <c r="Z657" s="305"/>
    </row>
    <row r="658" spans="1:26" ht="15.75" customHeight="1" x14ac:dyDescent="0.25">
      <c r="A658" s="305"/>
      <c r="B658" s="305"/>
      <c r="C658" s="305"/>
      <c r="D658" s="305"/>
      <c r="E658" s="305"/>
      <c r="F658" s="305"/>
      <c r="G658" s="305"/>
      <c r="H658" s="305"/>
      <c r="I658" s="305"/>
      <c r="J658" s="305"/>
      <c r="K658" s="305"/>
      <c r="L658" s="305"/>
      <c r="M658" s="305"/>
      <c r="N658" s="305"/>
      <c r="O658" s="305"/>
      <c r="P658" s="305"/>
      <c r="Q658" s="305"/>
      <c r="R658" s="305"/>
      <c r="S658" s="305"/>
      <c r="T658" s="305"/>
      <c r="U658" s="305"/>
      <c r="V658" s="305"/>
      <c r="W658" s="305"/>
      <c r="X658" s="305"/>
      <c r="Y658" s="305"/>
      <c r="Z658" s="305"/>
    </row>
    <row r="659" spans="1:26" ht="15.75" customHeight="1" x14ac:dyDescent="0.25">
      <c r="A659" s="305"/>
      <c r="B659" s="305"/>
      <c r="C659" s="305"/>
      <c r="D659" s="305"/>
      <c r="E659" s="305"/>
      <c r="F659" s="305"/>
      <c r="G659" s="305"/>
      <c r="H659" s="305"/>
      <c r="I659" s="305"/>
      <c r="J659" s="305"/>
      <c r="K659" s="305"/>
      <c r="L659" s="305"/>
      <c r="M659" s="305"/>
      <c r="N659" s="305"/>
      <c r="O659" s="305"/>
      <c r="P659" s="305"/>
      <c r="Q659" s="305"/>
      <c r="R659" s="305"/>
      <c r="S659" s="305"/>
      <c r="T659" s="305"/>
      <c r="U659" s="305"/>
      <c r="V659" s="305"/>
      <c r="W659" s="305"/>
      <c r="X659" s="305"/>
      <c r="Y659" s="305"/>
      <c r="Z659" s="305"/>
    </row>
    <row r="660" spans="1:26" ht="15.75" customHeight="1" x14ac:dyDescent="0.25">
      <c r="A660" s="305"/>
      <c r="B660" s="305"/>
      <c r="C660" s="305"/>
      <c r="D660" s="305"/>
      <c r="E660" s="305"/>
      <c r="F660" s="305"/>
      <c r="G660" s="305"/>
      <c r="H660" s="305"/>
      <c r="I660" s="305"/>
      <c r="J660" s="305"/>
      <c r="K660" s="305"/>
      <c r="L660" s="305"/>
      <c r="M660" s="305"/>
      <c r="N660" s="305"/>
      <c r="O660" s="305"/>
      <c r="P660" s="305"/>
      <c r="Q660" s="305"/>
      <c r="R660" s="305"/>
      <c r="S660" s="305"/>
      <c r="T660" s="305"/>
      <c r="U660" s="305"/>
      <c r="V660" s="305"/>
      <c r="W660" s="305"/>
      <c r="X660" s="305"/>
      <c r="Y660" s="305"/>
      <c r="Z660" s="305"/>
    </row>
    <row r="661" spans="1:26" ht="15.75" customHeight="1" x14ac:dyDescent="0.25">
      <c r="A661" s="305"/>
      <c r="B661" s="305"/>
      <c r="C661" s="305"/>
      <c r="D661" s="305"/>
      <c r="E661" s="305"/>
      <c r="F661" s="305"/>
      <c r="G661" s="305"/>
      <c r="H661" s="305"/>
      <c r="I661" s="305"/>
      <c r="J661" s="305"/>
      <c r="K661" s="305"/>
      <c r="L661" s="305"/>
      <c r="M661" s="305"/>
      <c r="N661" s="305"/>
      <c r="O661" s="305"/>
      <c r="P661" s="305"/>
      <c r="Q661" s="305"/>
      <c r="R661" s="305"/>
      <c r="S661" s="305"/>
      <c r="T661" s="305"/>
      <c r="U661" s="305"/>
      <c r="V661" s="305"/>
      <c r="W661" s="305"/>
      <c r="X661" s="305"/>
      <c r="Y661" s="305"/>
      <c r="Z661" s="305"/>
    </row>
    <row r="662" spans="1:26" ht="15.75" customHeight="1" x14ac:dyDescent="0.25">
      <c r="A662" s="305"/>
      <c r="B662" s="305"/>
      <c r="C662" s="305"/>
      <c r="D662" s="305"/>
      <c r="E662" s="305"/>
      <c r="F662" s="305"/>
      <c r="G662" s="305"/>
      <c r="H662" s="305"/>
      <c r="I662" s="305"/>
      <c r="J662" s="305"/>
      <c r="K662" s="305"/>
      <c r="L662" s="305"/>
      <c r="M662" s="305"/>
      <c r="N662" s="305"/>
      <c r="O662" s="305"/>
      <c r="P662" s="305"/>
      <c r="Q662" s="305"/>
      <c r="R662" s="305"/>
      <c r="S662" s="305"/>
      <c r="T662" s="305"/>
      <c r="U662" s="305"/>
      <c r="V662" s="305"/>
      <c r="W662" s="305"/>
      <c r="X662" s="305"/>
      <c r="Y662" s="305"/>
      <c r="Z662" s="305"/>
    </row>
    <row r="663" spans="1:26" ht="15.75" customHeight="1" x14ac:dyDescent="0.25">
      <c r="A663" s="305"/>
      <c r="B663" s="305"/>
      <c r="C663" s="305"/>
      <c r="D663" s="305"/>
      <c r="E663" s="305"/>
      <c r="F663" s="305"/>
      <c r="G663" s="305"/>
      <c r="H663" s="305"/>
      <c r="I663" s="305"/>
      <c r="J663" s="305"/>
      <c r="K663" s="305"/>
      <c r="L663" s="305"/>
      <c r="M663" s="305"/>
      <c r="N663" s="305"/>
      <c r="O663" s="305"/>
      <c r="P663" s="305"/>
      <c r="Q663" s="305"/>
      <c r="R663" s="305"/>
      <c r="S663" s="305"/>
      <c r="T663" s="305"/>
      <c r="U663" s="305"/>
      <c r="V663" s="305"/>
      <c r="W663" s="305"/>
      <c r="X663" s="305"/>
      <c r="Y663" s="305"/>
      <c r="Z663" s="305"/>
    </row>
    <row r="664" spans="1:26" ht="15.75" customHeight="1" x14ac:dyDescent="0.25">
      <c r="A664" s="305"/>
      <c r="B664" s="305"/>
      <c r="C664" s="305"/>
      <c r="D664" s="305"/>
      <c r="E664" s="305"/>
      <c r="F664" s="305"/>
      <c r="G664" s="305"/>
      <c r="H664" s="305"/>
      <c r="I664" s="305"/>
      <c r="J664" s="305"/>
      <c r="K664" s="305"/>
      <c r="L664" s="305"/>
      <c r="M664" s="305"/>
      <c r="N664" s="305"/>
      <c r="O664" s="305"/>
      <c r="P664" s="305"/>
      <c r="Q664" s="305"/>
      <c r="R664" s="305"/>
      <c r="S664" s="305"/>
      <c r="T664" s="305"/>
      <c r="U664" s="305"/>
      <c r="V664" s="305"/>
      <c r="W664" s="305"/>
      <c r="X664" s="305"/>
      <c r="Y664" s="305"/>
      <c r="Z664" s="305"/>
    </row>
    <row r="665" spans="1:26" ht="15.75" customHeight="1" x14ac:dyDescent="0.25">
      <c r="A665" s="305"/>
      <c r="B665" s="305"/>
      <c r="C665" s="305"/>
      <c r="D665" s="305"/>
      <c r="E665" s="305"/>
      <c r="F665" s="305"/>
      <c r="G665" s="305"/>
      <c r="H665" s="305"/>
      <c r="I665" s="305"/>
      <c r="J665" s="305"/>
      <c r="K665" s="305"/>
      <c r="L665" s="305"/>
      <c r="M665" s="305"/>
      <c r="N665" s="305"/>
      <c r="O665" s="305"/>
      <c r="P665" s="305"/>
      <c r="Q665" s="305"/>
      <c r="R665" s="305"/>
      <c r="S665" s="305"/>
      <c r="T665" s="305"/>
      <c r="U665" s="305"/>
      <c r="V665" s="305"/>
      <c r="W665" s="305"/>
      <c r="X665" s="305"/>
      <c r="Y665" s="305"/>
      <c r="Z665" s="305"/>
    </row>
    <row r="666" spans="1:26" ht="15.75" customHeight="1" x14ac:dyDescent="0.25">
      <c r="A666" s="305"/>
      <c r="B666" s="305"/>
      <c r="C666" s="305"/>
      <c r="D666" s="305"/>
      <c r="E666" s="305"/>
      <c r="F666" s="305"/>
      <c r="G666" s="305"/>
      <c r="H666" s="305"/>
      <c r="I666" s="305"/>
      <c r="J666" s="305"/>
      <c r="K666" s="305"/>
      <c r="L666" s="305"/>
      <c r="M666" s="305"/>
      <c r="N666" s="305"/>
      <c r="O666" s="305"/>
      <c r="P666" s="305"/>
      <c r="Q666" s="305"/>
      <c r="R666" s="305"/>
      <c r="S666" s="305"/>
      <c r="T666" s="305"/>
      <c r="U666" s="305"/>
      <c r="V666" s="305"/>
      <c r="W666" s="305"/>
      <c r="X666" s="305"/>
      <c r="Y666" s="305"/>
      <c r="Z666" s="305"/>
    </row>
    <row r="667" spans="1:26" ht="15.75" customHeight="1" x14ac:dyDescent="0.25">
      <c r="A667" s="305"/>
      <c r="B667" s="305"/>
      <c r="C667" s="305"/>
      <c r="D667" s="305"/>
      <c r="E667" s="305"/>
      <c r="F667" s="305"/>
      <c r="G667" s="305"/>
      <c r="H667" s="305"/>
      <c r="I667" s="305"/>
      <c r="J667" s="305"/>
      <c r="K667" s="305"/>
      <c r="L667" s="305"/>
      <c r="M667" s="305"/>
      <c r="N667" s="305"/>
      <c r="O667" s="305"/>
      <c r="P667" s="305"/>
      <c r="Q667" s="305"/>
      <c r="R667" s="305"/>
      <c r="S667" s="305"/>
      <c r="T667" s="305"/>
      <c r="U667" s="305"/>
      <c r="V667" s="305"/>
      <c r="W667" s="305"/>
      <c r="X667" s="305"/>
      <c r="Y667" s="305"/>
      <c r="Z667" s="305"/>
    </row>
    <row r="668" spans="1:26" ht="15.75" customHeight="1" x14ac:dyDescent="0.25">
      <c r="A668" s="305"/>
      <c r="B668" s="305"/>
      <c r="C668" s="305"/>
      <c r="D668" s="305"/>
      <c r="E668" s="305"/>
      <c r="F668" s="305"/>
      <c r="G668" s="305"/>
      <c r="H668" s="305"/>
      <c r="I668" s="305"/>
      <c r="J668" s="305"/>
      <c r="K668" s="305"/>
      <c r="L668" s="305"/>
      <c r="M668" s="305"/>
      <c r="N668" s="305"/>
      <c r="O668" s="305"/>
      <c r="P668" s="305"/>
      <c r="Q668" s="305"/>
      <c r="R668" s="305"/>
      <c r="S668" s="305"/>
      <c r="T668" s="305"/>
      <c r="U668" s="305"/>
      <c r="V668" s="305"/>
      <c r="W668" s="305"/>
      <c r="X668" s="305"/>
      <c r="Y668" s="305"/>
      <c r="Z668" s="305"/>
    </row>
    <row r="669" spans="1:26" ht="15.75" customHeight="1" x14ac:dyDescent="0.25">
      <c r="A669" s="305"/>
      <c r="B669" s="305"/>
      <c r="C669" s="305"/>
      <c r="D669" s="305"/>
      <c r="E669" s="305"/>
      <c r="F669" s="305"/>
      <c r="G669" s="305"/>
      <c r="H669" s="305"/>
      <c r="I669" s="305"/>
      <c r="J669" s="305"/>
      <c r="K669" s="305"/>
      <c r="L669" s="305"/>
      <c r="M669" s="305"/>
      <c r="N669" s="305"/>
      <c r="O669" s="305"/>
      <c r="P669" s="305"/>
      <c r="Q669" s="305"/>
      <c r="R669" s="305"/>
      <c r="S669" s="305"/>
      <c r="T669" s="305"/>
      <c r="U669" s="305"/>
      <c r="V669" s="305"/>
      <c r="W669" s="305"/>
      <c r="X669" s="305"/>
      <c r="Y669" s="305"/>
      <c r="Z669" s="305"/>
    </row>
    <row r="670" spans="1:26" ht="15.75" customHeight="1" x14ac:dyDescent="0.25">
      <c r="A670" s="305"/>
      <c r="B670" s="305"/>
      <c r="C670" s="305"/>
      <c r="D670" s="305"/>
      <c r="E670" s="305"/>
      <c r="F670" s="305"/>
      <c r="G670" s="305"/>
      <c r="H670" s="305"/>
      <c r="I670" s="305"/>
      <c r="J670" s="305"/>
      <c r="K670" s="305"/>
      <c r="L670" s="305"/>
      <c r="M670" s="305"/>
      <c r="N670" s="305"/>
      <c r="O670" s="305"/>
      <c r="P670" s="305"/>
      <c r="Q670" s="305"/>
      <c r="R670" s="305"/>
      <c r="S670" s="305"/>
      <c r="T670" s="305"/>
      <c r="U670" s="305"/>
      <c r="V670" s="305"/>
      <c r="W670" s="305"/>
      <c r="X670" s="305"/>
      <c r="Y670" s="305"/>
      <c r="Z670" s="305"/>
    </row>
    <row r="671" spans="1:26" ht="15.75" customHeight="1" x14ac:dyDescent="0.25">
      <c r="A671" s="305"/>
      <c r="B671" s="305"/>
      <c r="C671" s="305"/>
      <c r="D671" s="305"/>
      <c r="E671" s="305"/>
      <c r="F671" s="305"/>
      <c r="G671" s="305"/>
      <c r="H671" s="305"/>
      <c r="I671" s="305"/>
      <c r="J671" s="305"/>
      <c r="K671" s="305"/>
      <c r="L671" s="305"/>
      <c r="M671" s="305"/>
      <c r="N671" s="305"/>
      <c r="O671" s="305"/>
      <c r="P671" s="305"/>
      <c r="Q671" s="305"/>
      <c r="R671" s="305"/>
      <c r="S671" s="305"/>
      <c r="T671" s="305"/>
      <c r="U671" s="305"/>
      <c r="V671" s="305"/>
      <c r="W671" s="305"/>
      <c r="X671" s="305"/>
      <c r="Y671" s="305"/>
      <c r="Z671" s="305"/>
    </row>
    <row r="672" spans="1:26" ht="15.75" customHeight="1" x14ac:dyDescent="0.25">
      <c r="A672" s="305"/>
      <c r="B672" s="305"/>
      <c r="C672" s="305"/>
      <c r="D672" s="305"/>
      <c r="E672" s="305"/>
      <c r="F672" s="305"/>
      <c r="G672" s="305"/>
      <c r="H672" s="305"/>
      <c r="I672" s="305"/>
      <c r="J672" s="305"/>
      <c r="K672" s="305"/>
      <c r="L672" s="305"/>
      <c r="M672" s="305"/>
      <c r="N672" s="305"/>
      <c r="O672" s="305"/>
      <c r="P672" s="305"/>
      <c r="Q672" s="305"/>
      <c r="R672" s="305"/>
      <c r="S672" s="305"/>
      <c r="T672" s="305"/>
      <c r="U672" s="305"/>
      <c r="V672" s="305"/>
      <c r="W672" s="305"/>
      <c r="X672" s="305"/>
      <c r="Y672" s="305"/>
      <c r="Z672" s="305"/>
    </row>
    <row r="673" spans="1:26" ht="15.75" customHeight="1" x14ac:dyDescent="0.25">
      <c r="A673" s="305"/>
      <c r="B673" s="305"/>
      <c r="C673" s="305"/>
      <c r="D673" s="305"/>
      <c r="E673" s="305"/>
      <c r="F673" s="305"/>
      <c r="G673" s="305"/>
      <c r="H673" s="305"/>
      <c r="I673" s="305"/>
      <c r="J673" s="305"/>
      <c r="K673" s="305"/>
      <c r="L673" s="305"/>
      <c r="M673" s="305"/>
      <c r="N673" s="305"/>
      <c r="O673" s="305"/>
      <c r="P673" s="305"/>
      <c r="Q673" s="305"/>
      <c r="R673" s="305"/>
      <c r="S673" s="305"/>
      <c r="T673" s="305"/>
      <c r="U673" s="305"/>
      <c r="V673" s="305"/>
      <c r="W673" s="305"/>
      <c r="X673" s="305"/>
      <c r="Y673" s="305"/>
      <c r="Z673" s="305"/>
    </row>
    <row r="674" spans="1:26" ht="15.75" customHeight="1" x14ac:dyDescent="0.25">
      <c r="A674" s="305"/>
      <c r="B674" s="305"/>
      <c r="C674" s="305"/>
      <c r="D674" s="305"/>
      <c r="E674" s="305"/>
      <c r="F674" s="305"/>
      <c r="G674" s="305"/>
      <c r="H674" s="305"/>
      <c r="I674" s="305"/>
      <c r="J674" s="305"/>
      <c r="K674" s="305"/>
      <c r="L674" s="305"/>
      <c r="M674" s="305"/>
      <c r="N674" s="305"/>
      <c r="O674" s="305"/>
      <c r="P674" s="305"/>
      <c r="Q674" s="305"/>
      <c r="R674" s="305"/>
      <c r="S674" s="305"/>
      <c r="T674" s="305"/>
      <c r="U674" s="305"/>
      <c r="V674" s="305"/>
      <c r="W674" s="305"/>
      <c r="X674" s="305"/>
      <c r="Y674" s="305"/>
      <c r="Z674" s="305"/>
    </row>
    <row r="675" spans="1:26" ht="15.75" customHeight="1" x14ac:dyDescent="0.25">
      <c r="A675" s="305"/>
      <c r="B675" s="305"/>
      <c r="C675" s="305"/>
      <c r="D675" s="305"/>
      <c r="E675" s="305"/>
      <c r="F675" s="305"/>
      <c r="G675" s="305"/>
      <c r="H675" s="305"/>
      <c r="I675" s="305"/>
      <c r="J675" s="305"/>
      <c r="K675" s="305"/>
      <c r="L675" s="305"/>
      <c r="M675" s="305"/>
      <c r="N675" s="305"/>
      <c r="O675" s="305"/>
      <c r="P675" s="305"/>
      <c r="Q675" s="305"/>
      <c r="R675" s="305"/>
      <c r="S675" s="305"/>
      <c r="T675" s="305"/>
      <c r="U675" s="305"/>
      <c r="V675" s="305"/>
      <c r="W675" s="305"/>
      <c r="X675" s="305"/>
      <c r="Y675" s="305"/>
      <c r="Z675" s="305"/>
    </row>
    <row r="676" spans="1:26" ht="15.75" customHeight="1" x14ac:dyDescent="0.25">
      <c r="A676" s="305"/>
      <c r="B676" s="305"/>
      <c r="C676" s="305"/>
      <c r="D676" s="305"/>
      <c r="E676" s="305"/>
      <c r="F676" s="305"/>
      <c r="G676" s="305"/>
      <c r="H676" s="305"/>
      <c r="I676" s="305"/>
      <c r="J676" s="305"/>
      <c r="K676" s="305"/>
      <c r="L676" s="305"/>
      <c r="M676" s="305"/>
      <c r="N676" s="305"/>
      <c r="O676" s="305"/>
      <c r="P676" s="305"/>
      <c r="Q676" s="305"/>
      <c r="R676" s="305"/>
      <c r="S676" s="305"/>
      <c r="T676" s="305"/>
      <c r="U676" s="305"/>
      <c r="V676" s="305"/>
      <c r="W676" s="305"/>
      <c r="X676" s="305"/>
      <c r="Y676" s="305"/>
      <c r="Z676" s="305"/>
    </row>
    <row r="677" spans="1:26" ht="15.75" customHeight="1" x14ac:dyDescent="0.25">
      <c r="A677" s="305"/>
      <c r="B677" s="305"/>
      <c r="C677" s="305"/>
      <c r="D677" s="305"/>
      <c r="E677" s="305"/>
      <c r="F677" s="305"/>
      <c r="G677" s="305"/>
      <c r="H677" s="305"/>
      <c r="I677" s="305"/>
      <c r="J677" s="305"/>
      <c r="K677" s="305"/>
      <c r="L677" s="305"/>
      <c r="M677" s="305"/>
      <c r="N677" s="305"/>
      <c r="O677" s="305"/>
      <c r="P677" s="305"/>
      <c r="Q677" s="305"/>
      <c r="R677" s="305"/>
      <c r="S677" s="305"/>
      <c r="T677" s="305"/>
      <c r="U677" s="305"/>
      <c r="V677" s="305"/>
      <c r="W677" s="305"/>
      <c r="X677" s="305"/>
      <c r="Y677" s="305"/>
      <c r="Z677" s="305"/>
    </row>
    <row r="678" spans="1:26" ht="15.75" customHeight="1" x14ac:dyDescent="0.25">
      <c r="A678" s="305"/>
      <c r="B678" s="305"/>
      <c r="C678" s="305"/>
      <c r="D678" s="305"/>
      <c r="E678" s="305"/>
      <c r="F678" s="305"/>
      <c r="G678" s="305"/>
      <c r="H678" s="305"/>
      <c r="I678" s="305"/>
      <c r="J678" s="305"/>
      <c r="K678" s="305"/>
      <c r="L678" s="305"/>
      <c r="M678" s="305"/>
      <c r="N678" s="305"/>
      <c r="O678" s="305"/>
      <c r="P678" s="305"/>
      <c r="Q678" s="305"/>
      <c r="R678" s="305"/>
      <c r="S678" s="305"/>
      <c r="T678" s="305"/>
      <c r="U678" s="305"/>
      <c r="V678" s="305"/>
      <c r="W678" s="305"/>
      <c r="X678" s="305"/>
      <c r="Y678" s="305"/>
      <c r="Z678" s="305"/>
    </row>
    <row r="679" spans="1:26" ht="15.75" customHeight="1" x14ac:dyDescent="0.25">
      <c r="A679" s="305"/>
      <c r="B679" s="305"/>
      <c r="C679" s="305"/>
      <c r="D679" s="305"/>
      <c r="E679" s="305"/>
      <c r="F679" s="305"/>
      <c r="G679" s="305"/>
      <c r="H679" s="305"/>
      <c r="I679" s="305"/>
      <c r="J679" s="305"/>
      <c r="K679" s="305"/>
      <c r="L679" s="305"/>
      <c r="M679" s="305"/>
      <c r="N679" s="305"/>
      <c r="O679" s="305"/>
      <c r="P679" s="305"/>
      <c r="Q679" s="305"/>
      <c r="R679" s="305"/>
      <c r="S679" s="305"/>
      <c r="T679" s="305"/>
      <c r="U679" s="305"/>
      <c r="V679" s="305"/>
      <c r="W679" s="305"/>
      <c r="X679" s="305"/>
      <c r="Y679" s="305"/>
      <c r="Z679" s="305"/>
    </row>
    <row r="680" spans="1:26" ht="15.75" customHeight="1" x14ac:dyDescent="0.25">
      <c r="A680" s="305"/>
      <c r="B680" s="305"/>
      <c r="C680" s="305"/>
      <c r="D680" s="305"/>
      <c r="E680" s="305"/>
      <c r="F680" s="305"/>
      <c r="G680" s="305"/>
      <c r="H680" s="305"/>
      <c r="I680" s="305"/>
      <c r="J680" s="305"/>
      <c r="K680" s="305"/>
      <c r="L680" s="305"/>
      <c r="M680" s="305"/>
      <c r="N680" s="305"/>
      <c r="O680" s="305"/>
      <c r="P680" s="305"/>
      <c r="Q680" s="305"/>
      <c r="R680" s="305"/>
      <c r="S680" s="305"/>
      <c r="T680" s="305"/>
      <c r="U680" s="305"/>
      <c r="V680" s="305"/>
      <c r="W680" s="305"/>
      <c r="X680" s="305"/>
      <c r="Y680" s="305"/>
      <c r="Z680" s="305"/>
    </row>
    <row r="681" spans="1:26" ht="15.75" customHeight="1" x14ac:dyDescent="0.25">
      <c r="A681" s="305"/>
      <c r="B681" s="305"/>
      <c r="C681" s="305"/>
      <c r="D681" s="305"/>
      <c r="E681" s="305"/>
      <c r="F681" s="305"/>
      <c r="G681" s="305"/>
      <c r="H681" s="305"/>
      <c r="I681" s="305"/>
      <c r="J681" s="305"/>
      <c r="K681" s="305"/>
      <c r="L681" s="305"/>
      <c r="M681" s="305"/>
      <c r="N681" s="305"/>
      <c r="O681" s="305"/>
      <c r="P681" s="305"/>
      <c r="Q681" s="305"/>
      <c r="R681" s="305"/>
      <c r="S681" s="305"/>
      <c r="T681" s="305"/>
      <c r="U681" s="305"/>
      <c r="V681" s="305"/>
      <c r="W681" s="305"/>
      <c r="X681" s="305"/>
      <c r="Y681" s="305"/>
      <c r="Z681" s="305"/>
    </row>
    <row r="682" spans="1:26" ht="15.75" customHeight="1" x14ac:dyDescent="0.25">
      <c r="A682" s="305"/>
      <c r="B682" s="305"/>
      <c r="C682" s="305"/>
      <c r="D682" s="305"/>
      <c r="E682" s="305"/>
      <c r="F682" s="305"/>
      <c r="G682" s="305"/>
      <c r="H682" s="305"/>
      <c r="I682" s="305"/>
      <c r="J682" s="305"/>
      <c r="K682" s="305"/>
      <c r="L682" s="305"/>
      <c r="M682" s="305"/>
      <c r="N682" s="305"/>
      <c r="O682" s="305"/>
      <c r="P682" s="305"/>
      <c r="Q682" s="305"/>
      <c r="R682" s="305"/>
      <c r="S682" s="305"/>
      <c r="T682" s="305"/>
      <c r="U682" s="305"/>
      <c r="V682" s="305"/>
      <c r="W682" s="305"/>
      <c r="X682" s="305"/>
      <c r="Y682" s="305"/>
      <c r="Z682" s="305"/>
    </row>
    <row r="683" spans="1:26" ht="15.75" customHeight="1" x14ac:dyDescent="0.25">
      <c r="A683" s="305"/>
      <c r="B683" s="305"/>
      <c r="C683" s="305"/>
      <c r="D683" s="305"/>
      <c r="E683" s="305"/>
      <c r="F683" s="305"/>
      <c r="G683" s="305"/>
      <c r="H683" s="305"/>
      <c r="I683" s="305"/>
      <c r="J683" s="305"/>
      <c r="K683" s="305"/>
      <c r="L683" s="305"/>
      <c r="M683" s="305"/>
      <c r="N683" s="305"/>
      <c r="O683" s="305"/>
      <c r="P683" s="305"/>
      <c r="Q683" s="305"/>
      <c r="R683" s="305"/>
      <c r="S683" s="305"/>
      <c r="T683" s="305"/>
      <c r="U683" s="305"/>
      <c r="V683" s="305"/>
      <c r="W683" s="305"/>
      <c r="X683" s="305"/>
      <c r="Y683" s="305"/>
      <c r="Z683" s="305"/>
    </row>
    <row r="684" spans="1:26" ht="15.75" customHeight="1" x14ac:dyDescent="0.25">
      <c r="A684" s="305"/>
      <c r="B684" s="305"/>
      <c r="C684" s="305"/>
      <c r="D684" s="305"/>
      <c r="E684" s="305"/>
      <c r="F684" s="305"/>
      <c r="G684" s="305"/>
      <c r="H684" s="305"/>
      <c r="I684" s="305"/>
      <c r="J684" s="305"/>
      <c r="K684" s="305"/>
      <c r="L684" s="305"/>
      <c r="M684" s="305"/>
      <c r="N684" s="305"/>
      <c r="O684" s="305"/>
      <c r="P684" s="305"/>
      <c r="Q684" s="305"/>
      <c r="R684" s="305"/>
      <c r="S684" s="305"/>
      <c r="T684" s="305"/>
      <c r="U684" s="305"/>
      <c r="V684" s="305"/>
      <c r="W684" s="305"/>
      <c r="X684" s="305"/>
      <c r="Y684" s="305"/>
      <c r="Z684" s="305"/>
    </row>
    <row r="685" spans="1:26" ht="15.75" customHeight="1" x14ac:dyDescent="0.25">
      <c r="A685" s="305"/>
      <c r="B685" s="305"/>
      <c r="C685" s="305"/>
      <c r="D685" s="305"/>
      <c r="E685" s="305"/>
      <c r="F685" s="305"/>
      <c r="G685" s="305"/>
      <c r="H685" s="305"/>
      <c r="I685" s="305"/>
      <c r="J685" s="305"/>
      <c r="K685" s="305"/>
      <c r="L685" s="305"/>
      <c r="M685" s="305"/>
      <c r="N685" s="305"/>
      <c r="O685" s="305"/>
      <c r="P685" s="305"/>
      <c r="Q685" s="305"/>
      <c r="R685" s="305"/>
      <c r="S685" s="305"/>
      <c r="T685" s="305"/>
      <c r="U685" s="305"/>
      <c r="V685" s="305"/>
      <c r="W685" s="305"/>
      <c r="X685" s="305"/>
      <c r="Y685" s="305"/>
      <c r="Z685" s="305"/>
    </row>
    <row r="686" spans="1:26" ht="15.75" customHeight="1" x14ac:dyDescent="0.25">
      <c r="A686" s="305"/>
      <c r="B686" s="305"/>
      <c r="C686" s="305"/>
      <c r="D686" s="305"/>
      <c r="E686" s="305"/>
      <c r="F686" s="305"/>
      <c r="G686" s="305"/>
      <c r="H686" s="305"/>
      <c r="I686" s="305"/>
      <c r="J686" s="305"/>
      <c r="K686" s="305"/>
      <c r="L686" s="305"/>
      <c r="M686" s="305"/>
      <c r="N686" s="305"/>
      <c r="O686" s="305"/>
      <c r="P686" s="305"/>
      <c r="Q686" s="305"/>
      <c r="R686" s="305"/>
      <c r="S686" s="305"/>
      <c r="T686" s="305"/>
      <c r="U686" s="305"/>
      <c r="V686" s="305"/>
      <c r="W686" s="305"/>
      <c r="X686" s="305"/>
      <c r="Y686" s="305"/>
      <c r="Z686" s="305"/>
    </row>
    <row r="687" spans="1:26" ht="15.75" customHeight="1" x14ac:dyDescent="0.25">
      <c r="A687" s="305"/>
      <c r="B687" s="305"/>
      <c r="C687" s="305"/>
      <c r="D687" s="305"/>
      <c r="E687" s="305"/>
      <c r="F687" s="305"/>
      <c r="G687" s="305"/>
      <c r="H687" s="305"/>
      <c r="I687" s="305"/>
      <c r="J687" s="305"/>
      <c r="K687" s="305"/>
      <c r="L687" s="305"/>
      <c r="M687" s="305"/>
      <c r="N687" s="305"/>
      <c r="O687" s="305"/>
      <c r="P687" s="305"/>
      <c r="Q687" s="305"/>
      <c r="R687" s="305"/>
      <c r="S687" s="305"/>
      <c r="T687" s="305"/>
      <c r="U687" s="305"/>
      <c r="V687" s="305"/>
      <c r="W687" s="305"/>
      <c r="X687" s="305"/>
      <c r="Y687" s="305"/>
      <c r="Z687" s="305"/>
    </row>
    <row r="688" spans="1:26" ht="15.75" customHeight="1" x14ac:dyDescent="0.25">
      <c r="A688" s="305"/>
      <c r="B688" s="305"/>
      <c r="C688" s="305"/>
      <c r="D688" s="305"/>
      <c r="E688" s="305"/>
      <c r="F688" s="305"/>
      <c r="G688" s="305"/>
      <c r="H688" s="305"/>
      <c r="I688" s="305"/>
      <c r="J688" s="305"/>
      <c r="K688" s="305"/>
      <c r="L688" s="305"/>
      <c r="M688" s="305"/>
      <c r="N688" s="305"/>
      <c r="O688" s="305"/>
      <c r="P688" s="305"/>
      <c r="Q688" s="305"/>
      <c r="R688" s="305"/>
      <c r="S688" s="305"/>
      <c r="T688" s="305"/>
      <c r="U688" s="305"/>
      <c r="V688" s="305"/>
      <c r="W688" s="305"/>
      <c r="X688" s="305"/>
      <c r="Y688" s="305"/>
      <c r="Z688" s="305"/>
    </row>
    <row r="689" spans="1:26" ht="15.75" customHeight="1" x14ac:dyDescent="0.25">
      <c r="A689" s="305"/>
      <c r="B689" s="305"/>
      <c r="C689" s="305"/>
      <c r="D689" s="305"/>
      <c r="E689" s="305"/>
      <c r="F689" s="305"/>
      <c r="G689" s="305"/>
      <c r="H689" s="305"/>
      <c r="I689" s="305"/>
      <c r="J689" s="305"/>
      <c r="K689" s="305"/>
      <c r="L689" s="305"/>
      <c r="M689" s="305"/>
      <c r="N689" s="305"/>
      <c r="O689" s="305"/>
      <c r="P689" s="305"/>
      <c r="Q689" s="305"/>
      <c r="R689" s="305"/>
      <c r="S689" s="305"/>
      <c r="T689" s="305"/>
      <c r="U689" s="305"/>
      <c r="V689" s="305"/>
      <c r="W689" s="305"/>
      <c r="X689" s="305"/>
      <c r="Y689" s="305"/>
      <c r="Z689" s="305"/>
    </row>
    <row r="690" spans="1:26" ht="15.75" customHeight="1" x14ac:dyDescent="0.25">
      <c r="A690" s="305"/>
      <c r="B690" s="305"/>
      <c r="C690" s="305"/>
      <c r="D690" s="305"/>
      <c r="E690" s="305"/>
      <c r="F690" s="305"/>
      <c r="G690" s="305"/>
      <c r="H690" s="305"/>
      <c r="I690" s="305"/>
      <c r="J690" s="305"/>
      <c r="K690" s="305"/>
      <c r="L690" s="305"/>
      <c r="M690" s="305"/>
      <c r="N690" s="305"/>
      <c r="O690" s="305"/>
      <c r="P690" s="305"/>
      <c r="Q690" s="305"/>
      <c r="R690" s="305"/>
      <c r="S690" s="305"/>
      <c r="T690" s="305"/>
      <c r="U690" s="305"/>
      <c r="V690" s="305"/>
      <c r="W690" s="305"/>
      <c r="X690" s="305"/>
      <c r="Y690" s="305"/>
      <c r="Z690" s="305"/>
    </row>
    <row r="691" spans="1:26" ht="15.75" customHeight="1" x14ac:dyDescent="0.25">
      <c r="A691" s="305"/>
      <c r="B691" s="305"/>
      <c r="C691" s="305"/>
      <c r="D691" s="305"/>
      <c r="E691" s="305"/>
      <c r="F691" s="305"/>
      <c r="G691" s="305"/>
      <c r="H691" s="305"/>
      <c r="I691" s="305"/>
      <c r="J691" s="305"/>
      <c r="K691" s="305"/>
      <c r="L691" s="305"/>
      <c r="M691" s="305"/>
      <c r="N691" s="305"/>
      <c r="O691" s="305"/>
      <c r="P691" s="305"/>
      <c r="Q691" s="305"/>
      <c r="R691" s="305"/>
      <c r="S691" s="305"/>
      <c r="T691" s="305"/>
      <c r="U691" s="305"/>
      <c r="V691" s="305"/>
      <c r="W691" s="305"/>
      <c r="X691" s="305"/>
      <c r="Y691" s="305"/>
      <c r="Z691" s="305"/>
    </row>
    <row r="692" spans="1:26" ht="15.75" customHeight="1" x14ac:dyDescent="0.25">
      <c r="A692" s="305"/>
      <c r="B692" s="305"/>
      <c r="C692" s="305"/>
      <c r="D692" s="305"/>
      <c r="E692" s="305"/>
      <c r="F692" s="305"/>
      <c r="G692" s="305"/>
      <c r="H692" s="305"/>
      <c r="I692" s="305"/>
      <c r="J692" s="305"/>
      <c r="K692" s="305"/>
      <c r="L692" s="305"/>
      <c r="M692" s="305"/>
      <c r="N692" s="305"/>
      <c r="O692" s="305"/>
      <c r="P692" s="305"/>
      <c r="Q692" s="305"/>
      <c r="R692" s="305"/>
      <c r="S692" s="305"/>
      <c r="T692" s="305"/>
      <c r="U692" s="305"/>
      <c r="V692" s="305"/>
      <c r="W692" s="305"/>
      <c r="X692" s="305"/>
      <c r="Y692" s="305"/>
      <c r="Z692" s="305"/>
    </row>
    <row r="693" spans="1:26" ht="15.75" customHeight="1" x14ac:dyDescent="0.25">
      <c r="A693" s="305"/>
      <c r="B693" s="305"/>
      <c r="C693" s="305"/>
      <c r="D693" s="305"/>
      <c r="E693" s="305"/>
      <c r="F693" s="305"/>
      <c r="G693" s="305"/>
      <c r="H693" s="305"/>
      <c r="I693" s="305"/>
      <c r="J693" s="305"/>
      <c r="K693" s="305"/>
      <c r="L693" s="305"/>
      <c r="M693" s="305"/>
      <c r="N693" s="305"/>
      <c r="O693" s="305"/>
      <c r="P693" s="305"/>
      <c r="Q693" s="305"/>
      <c r="R693" s="305"/>
      <c r="S693" s="305"/>
      <c r="T693" s="305"/>
      <c r="U693" s="305"/>
      <c r="V693" s="305"/>
      <c r="W693" s="305"/>
      <c r="X693" s="305"/>
      <c r="Y693" s="305"/>
      <c r="Z693" s="305"/>
    </row>
    <row r="694" spans="1:26" ht="15.75" customHeight="1" x14ac:dyDescent="0.25">
      <c r="A694" s="305"/>
      <c r="B694" s="305"/>
      <c r="C694" s="305"/>
      <c r="D694" s="305"/>
      <c r="E694" s="305"/>
      <c r="F694" s="305"/>
      <c r="G694" s="305"/>
      <c r="H694" s="305"/>
      <c r="I694" s="305"/>
      <c r="J694" s="305"/>
      <c r="K694" s="305"/>
      <c r="L694" s="305"/>
      <c r="M694" s="305"/>
      <c r="N694" s="305"/>
      <c r="O694" s="305"/>
      <c r="P694" s="305"/>
      <c r="Q694" s="305"/>
      <c r="R694" s="305"/>
      <c r="S694" s="305"/>
      <c r="T694" s="305"/>
      <c r="U694" s="305"/>
      <c r="V694" s="305"/>
      <c r="W694" s="305"/>
      <c r="X694" s="305"/>
      <c r="Y694" s="305"/>
      <c r="Z694" s="305"/>
    </row>
    <row r="695" spans="1:26" ht="15.75" customHeight="1" x14ac:dyDescent="0.25">
      <c r="A695" s="305"/>
      <c r="B695" s="305"/>
      <c r="C695" s="305"/>
      <c r="D695" s="305"/>
      <c r="E695" s="305"/>
      <c r="F695" s="305"/>
      <c r="G695" s="305"/>
      <c r="H695" s="305"/>
      <c r="I695" s="305"/>
      <c r="J695" s="305"/>
      <c r="K695" s="305"/>
      <c r="L695" s="305"/>
      <c r="M695" s="305"/>
      <c r="N695" s="305"/>
      <c r="O695" s="305"/>
      <c r="P695" s="305"/>
      <c r="Q695" s="305"/>
      <c r="R695" s="305"/>
      <c r="S695" s="305"/>
      <c r="T695" s="305"/>
      <c r="U695" s="305"/>
      <c r="V695" s="305"/>
      <c r="W695" s="305"/>
      <c r="X695" s="305"/>
      <c r="Y695" s="305"/>
      <c r="Z695" s="305"/>
    </row>
    <row r="696" spans="1:26" ht="15.75" customHeight="1" x14ac:dyDescent="0.25">
      <c r="A696" s="305"/>
      <c r="B696" s="305"/>
      <c r="C696" s="305"/>
      <c r="D696" s="305"/>
      <c r="E696" s="305"/>
      <c r="F696" s="305"/>
      <c r="G696" s="305"/>
      <c r="H696" s="305"/>
      <c r="I696" s="305"/>
      <c r="J696" s="305"/>
      <c r="K696" s="305"/>
      <c r="L696" s="305"/>
      <c r="M696" s="305"/>
      <c r="N696" s="305"/>
      <c r="O696" s="305"/>
      <c r="P696" s="305"/>
      <c r="Q696" s="305"/>
      <c r="R696" s="305"/>
      <c r="S696" s="305"/>
      <c r="T696" s="305"/>
      <c r="U696" s="305"/>
      <c r="V696" s="305"/>
      <c r="W696" s="305"/>
      <c r="X696" s="305"/>
      <c r="Y696" s="305"/>
      <c r="Z696" s="305"/>
    </row>
    <row r="697" spans="1:26" ht="15.75" customHeight="1" x14ac:dyDescent="0.25">
      <c r="A697" s="305"/>
      <c r="B697" s="305"/>
      <c r="C697" s="305"/>
      <c r="D697" s="305"/>
      <c r="E697" s="305"/>
      <c r="F697" s="305"/>
      <c r="G697" s="305"/>
      <c r="H697" s="305"/>
      <c r="I697" s="305"/>
      <c r="J697" s="305"/>
      <c r="K697" s="305"/>
      <c r="L697" s="305"/>
      <c r="M697" s="305"/>
      <c r="N697" s="305"/>
      <c r="O697" s="305"/>
      <c r="P697" s="305"/>
      <c r="Q697" s="305"/>
      <c r="R697" s="305"/>
      <c r="S697" s="305"/>
      <c r="T697" s="305"/>
      <c r="U697" s="305"/>
      <c r="V697" s="305"/>
      <c r="W697" s="305"/>
      <c r="X697" s="305"/>
      <c r="Y697" s="305"/>
      <c r="Z697" s="305"/>
    </row>
    <row r="698" spans="1:26" ht="15.75" customHeight="1" x14ac:dyDescent="0.25">
      <c r="A698" s="305"/>
      <c r="B698" s="305"/>
      <c r="C698" s="305"/>
      <c r="D698" s="305"/>
      <c r="E698" s="305"/>
      <c r="F698" s="305"/>
      <c r="G698" s="305"/>
      <c r="H698" s="305"/>
      <c r="I698" s="305"/>
      <c r="J698" s="305"/>
      <c r="K698" s="305"/>
      <c r="L698" s="305"/>
      <c r="M698" s="305"/>
      <c r="N698" s="305"/>
      <c r="O698" s="305"/>
      <c r="P698" s="305"/>
      <c r="Q698" s="305"/>
      <c r="R698" s="305"/>
      <c r="S698" s="305"/>
      <c r="T698" s="305"/>
      <c r="U698" s="305"/>
      <c r="V698" s="305"/>
      <c r="W698" s="305"/>
      <c r="X698" s="305"/>
      <c r="Y698" s="305"/>
      <c r="Z698" s="305"/>
    </row>
    <row r="699" spans="1:26" ht="15.75" customHeight="1" x14ac:dyDescent="0.25">
      <c r="A699" s="305"/>
      <c r="B699" s="305"/>
      <c r="C699" s="305"/>
      <c r="D699" s="305"/>
      <c r="E699" s="305"/>
      <c r="F699" s="305"/>
      <c r="G699" s="305"/>
      <c r="H699" s="305"/>
      <c r="I699" s="305"/>
      <c r="J699" s="305"/>
      <c r="K699" s="305"/>
      <c r="L699" s="305"/>
      <c r="M699" s="305"/>
      <c r="N699" s="305"/>
      <c r="O699" s="305"/>
      <c r="P699" s="305"/>
      <c r="Q699" s="305"/>
      <c r="R699" s="305"/>
      <c r="S699" s="305"/>
      <c r="T699" s="305"/>
      <c r="U699" s="305"/>
      <c r="V699" s="305"/>
      <c r="W699" s="305"/>
      <c r="X699" s="305"/>
      <c r="Y699" s="305"/>
      <c r="Z699" s="305"/>
    </row>
    <row r="700" spans="1:26" ht="15.75" customHeight="1" x14ac:dyDescent="0.25">
      <c r="A700" s="305"/>
      <c r="B700" s="305"/>
      <c r="C700" s="305"/>
      <c r="D700" s="305"/>
      <c r="E700" s="305"/>
      <c r="F700" s="305"/>
      <c r="G700" s="305"/>
      <c r="H700" s="305"/>
      <c r="I700" s="305"/>
      <c r="J700" s="305"/>
      <c r="K700" s="305"/>
      <c r="L700" s="305"/>
      <c r="M700" s="305"/>
      <c r="N700" s="305"/>
      <c r="O700" s="305"/>
      <c r="P700" s="305"/>
      <c r="Q700" s="305"/>
      <c r="R700" s="305"/>
      <c r="S700" s="305"/>
      <c r="T700" s="305"/>
      <c r="U700" s="305"/>
      <c r="V700" s="305"/>
      <c r="W700" s="305"/>
      <c r="X700" s="305"/>
      <c r="Y700" s="305"/>
      <c r="Z700" s="305"/>
    </row>
    <row r="701" spans="1:26" ht="15.75" customHeight="1" x14ac:dyDescent="0.25">
      <c r="A701" s="305"/>
      <c r="B701" s="305"/>
      <c r="C701" s="305"/>
      <c r="D701" s="305"/>
      <c r="E701" s="305"/>
      <c r="F701" s="305"/>
      <c r="G701" s="305"/>
      <c r="H701" s="305"/>
      <c r="I701" s="305"/>
      <c r="J701" s="305"/>
      <c r="K701" s="305"/>
      <c r="L701" s="305"/>
      <c r="M701" s="305"/>
      <c r="N701" s="305"/>
      <c r="O701" s="305"/>
      <c r="P701" s="305"/>
      <c r="Q701" s="305"/>
      <c r="R701" s="305"/>
      <c r="S701" s="305"/>
      <c r="T701" s="305"/>
      <c r="U701" s="305"/>
      <c r="V701" s="305"/>
      <c r="W701" s="305"/>
      <c r="X701" s="305"/>
      <c r="Y701" s="305"/>
      <c r="Z701" s="305"/>
    </row>
    <row r="702" spans="1:26" ht="15.75" customHeight="1" x14ac:dyDescent="0.25">
      <c r="A702" s="305"/>
      <c r="B702" s="305"/>
      <c r="C702" s="305"/>
      <c r="D702" s="305"/>
      <c r="E702" s="305"/>
      <c r="F702" s="305"/>
      <c r="G702" s="305"/>
      <c r="H702" s="305"/>
      <c r="I702" s="305"/>
      <c r="J702" s="305"/>
      <c r="K702" s="305"/>
      <c r="L702" s="305"/>
      <c r="M702" s="305"/>
      <c r="N702" s="305"/>
      <c r="O702" s="305"/>
      <c r="P702" s="305"/>
      <c r="Q702" s="305"/>
      <c r="R702" s="305"/>
      <c r="S702" s="305"/>
      <c r="T702" s="305"/>
      <c r="U702" s="305"/>
      <c r="V702" s="305"/>
      <c r="W702" s="305"/>
      <c r="X702" s="305"/>
      <c r="Y702" s="305"/>
      <c r="Z702" s="305"/>
    </row>
    <row r="703" spans="1:26" ht="15.75" customHeight="1" x14ac:dyDescent="0.25">
      <c r="A703" s="305"/>
      <c r="B703" s="305"/>
      <c r="C703" s="305"/>
      <c r="D703" s="305"/>
      <c r="E703" s="305"/>
      <c r="F703" s="305"/>
      <c r="G703" s="305"/>
      <c r="H703" s="305"/>
      <c r="I703" s="305"/>
      <c r="J703" s="305"/>
      <c r="K703" s="305"/>
      <c r="L703" s="305"/>
      <c r="M703" s="305"/>
      <c r="N703" s="305"/>
      <c r="O703" s="305"/>
      <c r="P703" s="305"/>
      <c r="Q703" s="305"/>
      <c r="R703" s="305"/>
      <c r="S703" s="305"/>
      <c r="T703" s="305"/>
      <c r="U703" s="305"/>
      <c r="V703" s="305"/>
      <c r="W703" s="305"/>
      <c r="X703" s="305"/>
      <c r="Y703" s="305"/>
      <c r="Z703" s="305"/>
    </row>
    <row r="704" spans="1:26" ht="15.75" customHeight="1" x14ac:dyDescent="0.25">
      <c r="A704" s="305"/>
      <c r="B704" s="305"/>
      <c r="C704" s="305"/>
      <c r="D704" s="305"/>
      <c r="E704" s="305"/>
      <c r="F704" s="305"/>
      <c r="G704" s="305"/>
      <c r="H704" s="305"/>
      <c r="I704" s="305"/>
      <c r="J704" s="305"/>
      <c r="K704" s="305"/>
      <c r="L704" s="305"/>
      <c r="M704" s="305"/>
      <c r="N704" s="305"/>
      <c r="O704" s="305"/>
      <c r="P704" s="305"/>
      <c r="Q704" s="305"/>
      <c r="R704" s="305"/>
      <c r="S704" s="305"/>
      <c r="T704" s="305"/>
      <c r="U704" s="305"/>
      <c r="V704" s="305"/>
      <c r="W704" s="305"/>
      <c r="X704" s="305"/>
      <c r="Y704" s="305"/>
      <c r="Z704" s="305"/>
    </row>
    <row r="705" spans="1:26" ht="15.75" customHeight="1" x14ac:dyDescent="0.25">
      <c r="A705" s="305"/>
      <c r="B705" s="305"/>
      <c r="C705" s="305"/>
      <c r="D705" s="305"/>
      <c r="E705" s="305"/>
      <c r="F705" s="305"/>
      <c r="G705" s="305"/>
      <c r="H705" s="305"/>
      <c r="I705" s="305"/>
      <c r="J705" s="305"/>
      <c r="K705" s="305"/>
      <c r="L705" s="305"/>
      <c r="M705" s="305"/>
      <c r="N705" s="305"/>
      <c r="O705" s="305"/>
      <c r="P705" s="305"/>
      <c r="Q705" s="305"/>
      <c r="R705" s="305"/>
      <c r="S705" s="305"/>
      <c r="T705" s="305"/>
      <c r="U705" s="305"/>
      <c r="V705" s="305"/>
      <c r="W705" s="305"/>
      <c r="X705" s="305"/>
      <c r="Y705" s="305"/>
      <c r="Z705" s="305"/>
    </row>
    <row r="706" spans="1:26" ht="15.75" customHeight="1" x14ac:dyDescent="0.25">
      <c r="A706" s="305"/>
      <c r="B706" s="305"/>
      <c r="C706" s="305"/>
      <c r="D706" s="305"/>
      <c r="E706" s="305"/>
      <c r="F706" s="305"/>
      <c r="G706" s="305"/>
      <c r="H706" s="305"/>
      <c r="I706" s="305"/>
      <c r="J706" s="305"/>
      <c r="K706" s="305"/>
      <c r="L706" s="305"/>
      <c r="M706" s="305"/>
      <c r="N706" s="305"/>
      <c r="O706" s="305"/>
      <c r="P706" s="305"/>
      <c r="Q706" s="305"/>
      <c r="R706" s="305"/>
      <c r="S706" s="305"/>
      <c r="T706" s="305"/>
      <c r="U706" s="305"/>
      <c r="V706" s="305"/>
      <c r="W706" s="305"/>
      <c r="X706" s="305"/>
      <c r="Y706" s="305"/>
      <c r="Z706" s="305"/>
    </row>
    <row r="707" spans="1:26" ht="15.75" customHeight="1" x14ac:dyDescent="0.25">
      <c r="A707" s="305"/>
      <c r="B707" s="305"/>
      <c r="C707" s="305"/>
      <c r="D707" s="305"/>
      <c r="E707" s="305"/>
      <c r="F707" s="305"/>
      <c r="G707" s="305"/>
      <c r="H707" s="305"/>
      <c r="I707" s="305"/>
      <c r="J707" s="305"/>
      <c r="K707" s="305"/>
      <c r="L707" s="305"/>
      <c r="M707" s="305"/>
      <c r="N707" s="305"/>
      <c r="O707" s="305"/>
      <c r="P707" s="305"/>
      <c r="Q707" s="305"/>
      <c r="R707" s="305"/>
      <c r="S707" s="305"/>
      <c r="T707" s="305"/>
      <c r="U707" s="305"/>
      <c r="V707" s="305"/>
      <c r="W707" s="305"/>
      <c r="X707" s="305"/>
      <c r="Y707" s="305"/>
      <c r="Z707" s="305"/>
    </row>
    <row r="708" spans="1:26" ht="15.75" customHeight="1" x14ac:dyDescent="0.25">
      <c r="A708" s="305"/>
      <c r="B708" s="305"/>
      <c r="C708" s="305"/>
      <c r="D708" s="305"/>
      <c r="E708" s="305"/>
      <c r="F708" s="305"/>
      <c r="G708" s="305"/>
      <c r="H708" s="305"/>
      <c r="I708" s="305"/>
      <c r="J708" s="305"/>
      <c r="K708" s="305"/>
      <c r="L708" s="305"/>
      <c r="M708" s="305"/>
      <c r="N708" s="305"/>
      <c r="O708" s="305"/>
      <c r="P708" s="305"/>
      <c r="Q708" s="305"/>
      <c r="R708" s="305"/>
      <c r="S708" s="305"/>
      <c r="T708" s="305"/>
      <c r="U708" s="305"/>
      <c r="V708" s="305"/>
      <c r="W708" s="305"/>
      <c r="X708" s="305"/>
      <c r="Y708" s="305"/>
      <c r="Z708" s="305"/>
    </row>
    <row r="709" spans="1:26" ht="15.75" customHeight="1" x14ac:dyDescent="0.25">
      <c r="A709" s="305"/>
      <c r="B709" s="305"/>
      <c r="C709" s="305"/>
      <c r="D709" s="305"/>
      <c r="E709" s="305"/>
      <c r="F709" s="305"/>
      <c r="G709" s="305"/>
      <c r="H709" s="305"/>
      <c r="I709" s="305"/>
      <c r="J709" s="305"/>
      <c r="K709" s="305"/>
      <c r="L709" s="305"/>
      <c r="M709" s="305"/>
      <c r="N709" s="305"/>
      <c r="O709" s="305"/>
      <c r="P709" s="305"/>
      <c r="Q709" s="305"/>
      <c r="R709" s="305"/>
      <c r="S709" s="305"/>
      <c r="T709" s="305"/>
      <c r="U709" s="305"/>
      <c r="V709" s="305"/>
      <c r="W709" s="305"/>
      <c r="X709" s="305"/>
      <c r="Y709" s="305"/>
      <c r="Z709" s="305"/>
    </row>
    <row r="710" spans="1:26" ht="15.75" customHeight="1" x14ac:dyDescent="0.25">
      <c r="A710" s="305"/>
      <c r="B710" s="305"/>
      <c r="C710" s="305"/>
      <c r="D710" s="305"/>
      <c r="E710" s="305"/>
      <c r="F710" s="305"/>
      <c r="G710" s="305"/>
      <c r="H710" s="305"/>
      <c r="I710" s="305"/>
      <c r="J710" s="305"/>
      <c r="K710" s="305"/>
      <c r="L710" s="305"/>
      <c r="M710" s="305"/>
      <c r="N710" s="305"/>
      <c r="O710" s="305"/>
      <c r="P710" s="305"/>
      <c r="Q710" s="305"/>
      <c r="R710" s="305"/>
      <c r="S710" s="305"/>
      <c r="T710" s="305"/>
      <c r="U710" s="305"/>
      <c r="V710" s="305"/>
      <c r="W710" s="305"/>
      <c r="X710" s="305"/>
      <c r="Y710" s="305"/>
      <c r="Z710" s="305"/>
    </row>
    <row r="711" spans="1:26" ht="15.75" customHeight="1" x14ac:dyDescent="0.25">
      <c r="A711" s="305"/>
      <c r="B711" s="305"/>
      <c r="C711" s="305"/>
      <c r="D711" s="305"/>
      <c r="E711" s="305"/>
      <c r="F711" s="305"/>
      <c r="G711" s="305"/>
      <c r="H711" s="305"/>
      <c r="I711" s="305"/>
      <c r="J711" s="305"/>
      <c r="K711" s="305"/>
      <c r="L711" s="305"/>
      <c r="M711" s="305"/>
      <c r="N711" s="305"/>
      <c r="O711" s="305"/>
      <c r="P711" s="305"/>
      <c r="Q711" s="305"/>
      <c r="R711" s="305"/>
      <c r="S711" s="305"/>
      <c r="T711" s="305"/>
      <c r="U711" s="305"/>
      <c r="V711" s="305"/>
      <c r="W711" s="305"/>
      <c r="X711" s="305"/>
      <c r="Y711" s="305"/>
      <c r="Z711" s="305"/>
    </row>
    <row r="712" spans="1:26" ht="15.75" customHeight="1" x14ac:dyDescent="0.25">
      <c r="A712" s="305"/>
      <c r="B712" s="305"/>
      <c r="C712" s="305"/>
      <c r="D712" s="305"/>
      <c r="E712" s="305"/>
      <c r="F712" s="305"/>
      <c r="G712" s="305"/>
      <c r="H712" s="305"/>
      <c r="I712" s="305"/>
      <c r="J712" s="305"/>
      <c r="K712" s="305"/>
      <c r="L712" s="305"/>
      <c r="M712" s="305"/>
      <c r="N712" s="305"/>
      <c r="O712" s="305"/>
      <c r="P712" s="305"/>
      <c r="Q712" s="305"/>
      <c r="R712" s="305"/>
      <c r="S712" s="305"/>
      <c r="T712" s="305"/>
      <c r="U712" s="305"/>
      <c r="V712" s="305"/>
      <c r="W712" s="305"/>
      <c r="X712" s="305"/>
      <c r="Y712" s="305"/>
      <c r="Z712" s="305"/>
    </row>
    <row r="713" spans="1:26" ht="15.75" customHeight="1" x14ac:dyDescent="0.25">
      <c r="A713" s="305"/>
      <c r="B713" s="305"/>
      <c r="C713" s="305"/>
      <c r="D713" s="305"/>
      <c r="E713" s="305"/>
      <c r="F713" s="305"/>
      <c r="G713" s="305"/>
      <c r="H713" s="305"/>
      <c r="I713" s="305"/>
      <c r="J713" s="305"/>
      <c r="K713" s="305"/>
      <c r="L713" s="305"/>
      <c r="M713" s="305"/>
      <c r="N713" s="305"/>
      <c r="O713" s="305"/>
      <c r="P713" s="305"/>
      <c r="Q713" s="305"/>
      <c r="R713" s="305"/>
      <c r="S713" s="305"/>
      <c r="T713" s="305"/>
      <c r="U713" s="305"/>
      <c r="V713" s="305"/>
      <c r="W713" s="305"/>
      <c r="X713" s="305"/>
      <c r="Y713" s="305"/>
      <c r="Z713" s="305"/>
    </row>
    <row r="714" spans="1:26" ht="15.75" customHeight="1" x14ac:dyDescent="0.25">
      <c r="A714" s="305"/>
      <c r="B714" s="305"/>
      <c r="C714" s="305"/>
      <c r="D714" s="305"/>
      <c r="E714" s="305"/>
      <c r="F714" s="305"/>
      <c r="G714" s="305"/>
      <c r="H714" s="305"/>
      <c r="I714" s="305"/>
      <c r="J714" s="305"/>
      <c r="K714" s="305"/>
      <c r="L714" s="305"/>
      <c r="M714" s="305"/>
      <c r="N714" s="305"/>
      <c r="O714" s="305"/>
      <c r="P714" s="305"/>
      <c r="Q714" s="305"/>
      <c r="R714" s="305"/>
      <c r="S714" s="305"/>
      <c r="T714" s="305"/>
      <c r="U714" s="305"/>
      <c r="V714" s="305"/>
      <c r="W714" s="305"/>
      <c r="X714" s="305"/>
      <c r="Y714" s="305"/>
      <c r="Z714" s="305"/>
    </row>
    <row r="715" spans="1:26" ht="15.75" customHeight="1" x14ac:dyDescent="0.25">
      <c r="A715" s="305"/>
      <c r="B715" s="305"/>
      <c r="C715" s="305"/>
      <c r="D715" s="305"/>
      <c r="E715" s="305"/>
      <c r="F715" s="305"/>
      <c r="G715" s="305"/>
      <c r="H715" s="305"/>
      <c r="I715" s="305"/>
      <c r="J715" s="305"/>
      <c r="K715" s="305"/>
      <c r="L715" s="305"/>
      <c r="M715" s="305"/>
      <c r="N715" s="305"/>
      <c r="O715" s="305"/>
      <c r="P715" s="305"/>
      <c r="Q715" s="305"/>
      <c r="R715" s="305"/>
      <c r="S715" s="305"/>
      <c r="T715" s="305"/>
      <c r="U715" s="305"/>
      <c r="V715" s="305"/>
      <c r="W715" s="305"/>
      <c r="X715" s="305"/>
      <c r="Y715" s="305"/>
      <c r="Z715" s="305"/>
    </row>
    <row r="716" spans="1:26" ht="15.75" customHeight="1" x14ac:dyDescent="0.25">
      <c r="A716" s="305"/>
      <c r="B716" s="305"/>
      <c r="C716" s="305"/>
      <c r="D716" s="305"/>
      <c r="E716" s="305"/>
      <c r="F716" s="305"/>
      <c r="G716" s="305"/>
      <c r="H716" s="305"/>
      <c r="I716" s="305"/>
      <c r="J716" s="305"/>
      <c r="K716" s="305"/>
      <c r="L716" s="305"/>
      <c r="M716" s="305"/>
      <c r="N716" s="305"/>
      <c r="O716" s="305"/>
      <c r="P716" s="305"/>
      <c r="Q716" s="305"/>
      <c r="R716" s="305"/>
      <c r="S716" s="305"/>
      <c r="T716" s="305"/>
      <c r="U716" s="305"/>
      <c r="V716" s="305"/>
      <c r="W716" s="305"/>
      <c r="X716" s="305"/>
      <c r="Y716" s="305"/>
      <c r="Z716" s="305"/>
    </row>
    <row r="717" spans="1:26" ht="15.75" customHeight="1" x14ac:dyDescent="0.25">
      <c r="A717" s="305"/>
      <c r="B717" s="305"/>
      <c r="C717" s="305"/>
      <c r="D717" s="305"/>
      <c r="E717" s="305"/>
      <c r="F717" s="305"/>
      <c r="G717" s="305"/>
      <c r="H717" s="305"/>
      <c r="I717" s="305"/>
      <c r="J717" s="305"/>
      <c r="K717" s="305"/>
      <c r="L717" s="305"/>
      <c r="M717" s="305"/>
      <c r="N717" s="305"/>
      <c r="O717" s="305"/>
      <c r="P717" s="305"/>
      <c r="Q717" s="305"/>
      <c r="R717" s="305"/>
      <c r="S717" s="305"/>
      <c r="T717" s="305"/>
      <c r="U717" s="305"/>
      <c r="V717" s="305"/>
      <c r="W717" s="305"/>
      <c r="X717" s="305"/>
      <c r="Y717" s="305"/>
      <c r="Z717" s="305"/>
    </row>
    <row r="718" spans="1:26" ht="15.75" customHeight="1" x14ac:dyDescent="0.25">
      <c r="A718" s="305"/>
      <c r="B718" s="305"/>
      <c r="C718" s="305"/>
      <c r="D718" s="305"/>
      <c r="E718" s="305"/>
      <c r="F718" s="305"/>
      <c r="G718" s="305"/>
      <c r="H718" s="305"/>
      <c r="I718" s="305"/>
      <c r="J718" s="305"/>
      <c r="K718" s="305"/>
      <c r="L718" s="305"/>
      <c r="M718" s="305"/>
      <c r="N718" s="305"/>
      <c r="O718" s="305"/>
      <c r="P718" s="305"/>
      <c r="Q718" s="305"/>
      <c r="R718" s="305"/>
      <c r="S718" s="305"/>
      <c r="T718" s="305"/>
      <c r="U718" s="305"/>
      <c r="V718" s="305"/>
      <c r="W718" s="305"/>
      <c r="X718" s="305"/>
      <c r="Y718" s="305"/>
      <c r="Z718" s="305"/>
    </row>
    <row r="719" spans="1:26" ht="15.75" customHeight="1" x14ac:dyDescent="0.25">
      <c r="A719" s="305"/>
      <c r="B719" s="305"/>
      <c r="C719" s="305"/>
      <c r="D719" s="305"/>
      <c r="E719" s="305"/>
      <c r="F719" s="305"/>
      <c r="G719" s="305"/>
      <c r="H719" s="305"/>
      <c r="I719" s="305"/>
      <c r="J719" s="305"/>
      <c r="K719" s="305"/>
      <c r="L719" s="305"/>
      <c r="M719" s="305"/>
      <c r="N719" s="305"/>
      <c r="O719" s="305"/>
      <c r="P719" s="305"/>
      <c r="Q719" s="305"/>
      <c r="R719" s="305"/>
      <c r="S719" s="305"/>
      <c r="T719" s="305"/>
      <c r="U719" s="305"/>
      <c r="V719" s="305"/>
      <c r="W719" s="305"/>
      <c r="X719" s="305"/>
      <c r="Y719" s="305"/>
      <c r="Z719" s="305"/>
    </row>
    <row r="720" spans="1:26" ht="15.75" customHeight="1" x14ac:dyDescent="0.25">
      <c r="A720" s="305"/>
      <c r="B720" s="305"/>
      <c r="C720" s="305"/>
      <c r="D720" s="305"/>
      <c r="E720" s="305"/>
      <c r="F720" s="305"/>
      <c r="G720" s="305"/>
      <c r="H720" s="305"/>
      <c r="I720" s="305"/>
      <c r="J720" s="305"/>
      <c r="K720" s="305"/>
      <c r="L720" s="305"/>
      <c r="M720" s="305"/>
      <c r="N720" s="305"/>
      <c r="O720" s="305"/>
      <c r="P720" s="305"/>
      <c r="Q720" s="305"/>
      <c r="R720" s="305"/>
      <c r="S720" s="305"/>
      <c r="T720" s="305"/>
      <c r="U720" s="305"/>
      <c r="V720" s="305"/>
      <c r="W720" s="305"/>
      <c r="X720" s="305"/>
      <c r="Y720" s="305"/>
      <c r="Z720" s="305"/>
    </row>
    <row r="721" spans="1:26" ht="15.75" customHeight="1" x14ac:dyDescent="0.25">
      <c r="A721" s="305"/>
      <c r="B721" s="305"/>
      <c r="C721" s="305"/>
      <c r="D721" s="305"/>
      <c r="E721" s="305"/>
      <c r="F721" s="305"/>
      <c r="G721" s="305"/>
      <c r="H721" s="305"/>
      <c r="I721" s="305"/>
      <c r="J721" s="305"/>
      <c r="K721" s="305"/>
      <c r="L721" s="305"/>
      <c r="M721" s="305"/>
      <c r="N721" s="305"/>
      <c r="O721" s="305"/>
      <c r="P721" s="305"/>
      <c r="Q721" s="305"/>
      <c r="R721" s="305"/>
      <c r="S721" s="305"/>
      <c r="T721" s="305"/>
      <c r="U721" s="305"/>
      <c r="V721" s="305"/>
      <c r="W721" s="305"/>
      <c r="X721" s="305"/>
      <c r="Y721" s="305"/>
      <c r="Z721" s="305"/>
    </row>
    <row r="722" spans="1:26" ht="15.75" customHeight="1" x14ac:dyDescent="0.25">
      <c r="A722" s="305"/>
      <c r="B722" s="305"/>
      <c r="C722" s="305"/>
      <c r="D722" s="305"/>
      <c r="E722" s="305"/>
      <c r="F722" s="305"/>
      <c r="G722" s="305"/>
      <c r="H722" s="305"/>
      <c r="I722" s="305"/>
      <c r="J722" s="305"/>
      <c r="K722" s="305"/>
      <c r="L722" s="305"/>
      <c r="M722" s="305"/>
      <c r="N722" s="305"/>
      <c r="O722" s="305"/>
      <c r="P722" s="305"/>
      <c r="Q722" s="305"/>
      <c r="R722" s="305"/>
      <c r="S722" s="305"/>
      <c r="T722" s="305"/>
      <c r="U722" s="305"/>
      <c r="V722" s="305"/>
      <c r="W722" s="305"/>
      <c r="X722" s="305"/>
      <c r="Y722" s="305"/>
      <c r="Z722" s="305"/>
    </row>
    <row r="723" spans="1:26" ht="15.75" customHeight="1" x14ac:dyDescent="0.25">
      <c r="A723" s="305"/>
      <c r="B723" s="305"/>
      <c r="C723" s="305"/>
      <c r="D723" s="305"/>
      <c r="E723" s="305"/>
      <c r="F723" s="305"/>
      <c r="G723" s="305"/>
      <c r="H723" s="305"/>
      <c r="I723" s="305"/>
      <c r="J723" s="305"/>
      <c r="K723" s="305"/>
      <c r="L723" s="305"/>
      <c r="M723" s="305"/>
      <c r="N723" s="305"/>
      <c r="O723" s="305"/>
      <c r="P723" s="305"/>
      <c r="Q723" s="305"/>
      <c r="R723" s="305"/>
      <c r="S723" s="305"/>
      <c r="T723" s="305"/>
      <c r="U723" s="305"/>
      <c r="V723" s="305"/>
      <c r="W723" s="305"/>
      <c r="X723" s="305"/>
      <c r="Y723" s="305"/>
      <c r="Z723" s="305"/>
    </row>
    <row r="724" spans="1:26" ht="15.75" customHeight="1" x14ac:dyDescent="0.25">
      <c r="A724" s="305"/>
      <c r="B724" s="305"/>
      <c r="C724" s="305"/>
      <c r="D724" s="305"/>
      <c r="E724" s="305"/>
      <c r="F724" s="305"/>
      <c r="G724" s="305"/>
      <c r="H724" s="305"/>
      <c r="I724" s="305"/>
      <c r="J724" s="305"/>
      <c r="K724" s="305"/>
      <c r="L724" s="305"/>
      <c r="M724" s="305"/>
      <c r="N724" s="305"/>
      <c r="O724" s="305"/>
      <c r="P724" s="305"/>
      <c r="Q724" s="305"/>
      <c r="R724" s="305"/>
      <c r="S724" s="305"/>
      <c r="T724" s="305"/>
      <c r="U724" s="305"/>
      <c r="V724" s="305"/>
      <c r="W724" s="305"/>
      <c r="X724" s="305"/>
      <c r="Y724" s="305"/>
      <c r="Z724" s="305"/>
    </row>
    <row r="725" spans="1:26" ht="15.75" customHeight="1" x14ac:dyDescent="0.25">
      <c r="A725" s="305"/>
      <c r="B725" s="305"/>
      <c r="C725" s="305"/>
      <c r="D725" s="305"/>
      <c r="E725" s="305"/>
      <c r="F725" s="305"/>
      <c r="G725" s="305"/>
      <c r="H725" s="305"/>
      <c r="I725" s="305"/>
      <c r="J725" s="305"/>
      <c r="K725" s="305"/>
      <c r="L725" s="305"/>
      <c r="M725" s="305"/>
      <c r="N725" s="305"/>
      <c r="O725" s="305"/>
      <c r="P725" s="305"/>
      <c r="Q725" s="305"/>
      <c r="R725" s="305"/>
      <c r="S725" s="305"/>
      <c r="T725" s="305"/>
      <c r="U725" s="305"/>
      <c r="V725" s="305"/>
      <c r="W725" s="305"/>
      <c r="X725" s="305"/>
      <c r="Y725" s="305"/>
      <c r="Z725" s="305"/>
    </row>
    <row r="726" spans="1:26" ht="15.75" customHeight="1" x14ac:dyDescent="0.25">
      <c r="A726" s="305"/>
      <c r="B726" s="305"/>
      <c r="C726" s="305"/>
      <c r="D726" s="305"/>
      <c r="E726" s="305"/>
      <c r="F726" s="305"/>
      <c r="G726" s="305"/>
      <c r="H726" s="305"/>
      <c r="I726" s="305"/>
      <c r="J726" s="305"/>
      <c r="K726" s="305"/>
      <c r="L726" s="305"/>
      <c r="M726" s="305"/>
      <c r="N726" s="305"/>
      <c r="O726" s="305"/>
      <c r="P726" s="305"/>
      <c r="Q726" s="305"/>
      <c r="R726" s="305"/>
      <c r="S726" s="305"/>
      <c r="T726" s="305"/>
      <c r="U726" s="305"/>
      <c r="V726" s="305"/>
      <c r="W726" s="305"/>
      <c r="X726" s="305"/>
      <c r="Y726" s="305"/>
      <c r="Z726" s="305"/>
    </row>
    <row r="727" spans="1:26" ht="15.75" customHeight="1" x14ac:dyDescent="0.25">
      <c r="A727" s="305"/>
      <c r="B727" s="305"/>
      <c r="C727" s="305"/>
      <c r="D727" s="305"/>
      <c r="E727" s="305"/>
      <c r="F727" s="305"/>
      <c r="G727" s="305"/>
      <c r="H727" s="305"/>
      <c r="I727" s="305"/>
      <c r="J727" s="305"/>
      <c r="K727" s="305"/>
      <c r="L727" s="305"/>
      <c r="M727" s="305"/>
      <c r="N727" s="305"/>
      <c r="O727" s="305"/>
      <c r="P727" s="305"/>
      <c r="Q727" s="305"/>
      <c r="R727" s="305"/>
      <c r="S727" s="305"/>
      <c r="T727" s="305"/>
      <c r="U727" s="305"/>
      <c r="V727" s="305"/>
      <c r="W727" s="305"/>
      <c r="X727" s="305"/>
      <c r="Y727" s="305"/>
      <c r="Z727" s="305"/>
    </row>
    <row r="728" spans="1:26" ht="15.75" customHeight="1" x14ac:dyDescent="0.25">
      <c r="A728" s="305"/>
      <c r="B728" s="305"/>
      <c r="C728" s="305"/>
      <c r="D728" s="305"/>
      <c r="E728" s="305"/>
      <c r="F728" s="305"/>
      <c r="G728" s="305"/>
      <c r="H728" s="305"/>
      <c r="I728" s="305"/>
      <c r="J728" s="305"/>
      <c r="K728" s="305"/>
      <c r="L728" s="305"/>
      <c r="M728" s="305"/>
      <c r="N728" s="305"/>
      <c r="O728" s="305"/>
      <c r="P728" s="305"/>
      <c r="Q728" s="305"/>
      <c r="R728" s="305"/>
      <c r="S728" s="305"/>
      <c r="T728" s="305"/>
      <c r="U728" s="305"/>
      <c r="V728" s="305"/>
      <c r="W728" s="305"/>
      <c r="X728" s="305"/>
      <c r="Y728" s="305"/>
      <c r="Z728" s="305"/>
    </row>
    <row r="729" spans="1:26" ht="15.75" customHeight="1" x14ac:dyDescent="0.25">
      <c r="A729" s="305"/>
      <c r="B729" s="305"/>
      <c r="C729" s="305"/>
      <c r="D729" s="305"/>
      <c r="E729" s="305"/>
      <c r="F729" s="305"/>
      <c r="G729" s="305"/>
      <c r="H729" s="305"/>
      <c r="I729" s="305"/>
      <c r="J729" s="305"/>
      <c r="K729" s="305"/>
      <c r="L729" s="305"/>
      <c r="M729" s="305"/>
      <c r="N729" s="305"/>
      <c r="O729" s="305"/>
      <c r="P729" s="305"/>
      <c r="Q729" s="305"/>
      <c r="R729" s="305"/>
      <c r="S729" s="305"/>
      <c r="T729" s="305"/>
      <c r="U729" s="305"/>
      <c r="V729" s="305"/>
      <c r="W729" s="305"/>
      <c r="X729" s="305"/>
      <c r="Y729" s="305"/>
      <c r="Z729" s="305"/>
    </row>
    <row r="730" spans="1:26" ht="15.75" customHeight="1" x14ac:dyDescent="0.25">
      <c r="A730" s="305"/>
      <c r="B730" s="305"/>
      <c r="C730" s="305"/>
      <c r="D730" s="305"/>
      <c r="E730" s="305"/>
      <c r="F730" s="305"/>
      <c r="G730" s="305"/>
      <c r="H730" s="305"/>
      <c r="I730" s="305"/>
      <c r="J730" s="305"/>
      <c r="K730" s="305"/>
      <c r="L730" s="305"/>
      <c r="M730" s="305"/>
      <c r="N730" s="305"/>
      <c r="O730" s="305"/>
      <c r="P730" s="305"/>
      <c r="Q730" s="305"/>
      <c r="R730" s="305"/>
      <c r="S730" s="305"/>
      <c r="T730" s="305"/>
      <c r="U730" s="305"/>
      <c r="V730" s="305"/>
      <c r="W730" s="305"/>
      <c r="X730" s="305"/>
      <c r="Y730" s="305"/>
      <c r="Z730" s="305"/>
    </row>
    <row r="731" spans="1:26" ht="15.75" customHeight="1" x14ac:dyDescent="0.25">
      <c r="A731" s="305"/>
      <c r="B731" s="305"/>
      <c r="C731" s="305"/>
      <c r="D731" s="305"/>
      <c r="E731" s="305"/>
      <c r="F731" s="305"/>
      <c r="G731" s="305"/>
      <c r="H731" s="305"/>
      <c r="I731" s="305"/>
      <c r="J731" s="305"/>
      <c r="K731" s="305"/>
      <c r="L731" s="305"/>
      <c r="M731" s="305"/>
      <c r="N731" s="305"/>
      <c r="O731" s="305"/>
      <c r="P731" s="305"/>
      <c r="Q731" s="305"/>
      <c r="R731" s="305"/>
      <c r="S731" s="305"/>
      <c r="T731" s="305"/>
      <c r="U731" s="305"/>
      <c r="V731" s="305"/>
      <c r="W731" s="305"/>
      <c r="X731" s="305"/>
      <c r="Y731" s="305"/>
      <c r="Z731" s="305"/>
    </row>
    <row r="732" spans="1:26" ht="15.75" customHeight="1" x14ac:dyDescent="0.25">
      <c r="A732" s="305"/>
      <c r="B732" s="305"/>
      <c r="C732" s="305"/>
      <c r="D732" s="305"/>
      <c r="E732" s="305"/>
      <c r="F732" s="305"/>
      <c r="G732" s="305"/>
      <c r="H732" s="305"/>
      <c r="I732" s="305"/>
      <c r="J732" s="305"/>
      <c r="K732" s="305"/>
      <c r="L732" s="305"/>
      <c r="M732" s="305"/>
      <c r="N732" s="305"/>
      <c r="O732" s="305"/>
      <c r="P732" s="305"/>
      <c r="Q732" s="305"/>
      <c r="R732" s="305"/>
      <c r="S732" s="305"/>
      <c r="T732" s="305"/>
      <c r="U732" s="305"/>
      <c r="V732" s="305"/>
      <c r="W732" s="305"/>
      <c r="X732" s="305"/>
      <c r="Y732" s="305"/>
      <c r="Z732" s="305"/>
    </row>
    <row r="733" spans="1:26" ht="15.75" customHeight="1" x14ac:dyDescent="0.25">
      <c r="A733" s="305"/>
      <c r="B733" s="305"/>
      <c r="C733" s="305"/>
      <c r="D733" s="305"/>
      <c r="E733" s="305"/>
      <c r="F733" s="305"/>
      <c r="G733" s="305"/>
      <c r="H733" s="305"/>
      <c r="I733" s="305"/>
      <c r="J733" s="305"/>
      <c r="K733" s="305"/>
      <c r="L733" s="305"/>
      <c r="M733" s="305"/>
      <c r="N733" s="305"/>
      <c r="O733" s="305"/>
      <c r="P733" s="305"/>
      <c r="Q733" s="305"/>
      <c r="R733" s="305"/>
      <c r="S733" s="305"/>
      <c r="T733" s="305"/>
      <c r="U733" s="305"/>
      <c r="V733" s="305"/>
      <c r="W733" s="305"/>
      <c r="X733" s="305"/>
      <c r="Y733" s="305"/>
      <c r="Z733" s="305"/>
    </row>
    <row r="734" spans="1:26" ht="15.75" customHeight="1" x14ac:dyDescent="0.25">
      <c r="A734" s="305"/>
      <c r="B734" s="305"/>
      <c r="C734" s="305"/>
      <c r="D734" s="305"/>
      <c r="E734" s="305"/>
      <c r="F734" s="305"/>
      <c r="G734" s="305"/>
      <c r="H734" s="305"/>
      <c r="I734" s="305"/>
      <c r="J734" s="305"/>
      <c r="K734" s="305"/>
      <c r="L734" s="305"/>
      <c r="M734" s="305"/>
      <c r="N734" s="305"/>
      <c r="O734" s="305"/>
      <c r="P734" s="305"/>
      <c r="Q734" s="305"/>
      <c r="R734" s="305"/>
      <c r="S734" s="305"/>
      <c r="T734" s="305"/>
      <c r="U734" s="305"/>
      <c r="V734" s="305"/>
      <c r="W734" s="305"/>
      <c r="X734" s="305"/>
      <c r="Y734" s="305"/>
      <c r="Z734" s="305"/>
    </row>
    <row r="735" spans="1:26" ht="15.75" customHeight="1" x14ac:dyDescent="0.25">
      <c r="A735" s="305"/>
      <c r="B735" s="305"/>
      <c r="C735" s="305"/>
      <c r="D735" s="305"/>
      <c r="E735" s="305"/>
      <c r="F735" s="305"/>
      <c r="G735" s="305"/>
      <c r="H735" s="305"/>
      <c r="I735" s="305"/>
      <c r="J735" s="305"/>
      <c r="K735" s="305"/>
      <c r="L735" s="305"/>
      <c r="M735" s="305"/>
      <c r="N735" s="305"/>
      <c r="O735" s="305"/>
      <c r="P735" s="305"/>
      <c r="Q735" s="305"/>
      <c r="R735" s="305"/>
      <c r="S735" s="305"/>
      <c r="T735" s="305"/>
      <c r="U735" s="305"/>
      <c r="V735" s="305"/>
      <c r="W735" s="305"/>
      <c r="X735" s="305"/>
      <c r="Y735" s="305"/>
      <c r="Z735" s="305"/>
    </row>
    <row r="736" spans="1:26" ht="15.75" customHeight="1" x14ac:dyDescent="0.25">
      <c r="A736" s="305"/>
      <c r="B736" s="305"/>
      <c r="C736" s="305"/>
      <c r="D736" s="305"/>
      <c r="E736" s="305"/>
      <c r="F736" s="305"/>
      <c r="G736" s="305"/>
      <c r="H736" s="305"/>
      <c r="I736" s="305"/>
      <c r="J736" s="305"/>
      <c r="K736" s="305"/>
      <c r="L736" s="305"/>
      <c r="M736" s="305"/>
      <c r="N736" s="305"/>
      <c r="O736" s="305"/>
      <c r="P736" s="305"/>
      <c r="Q736" s="305"/>
      <c r="R736" s="305"/>
      <c r="S736" s="305"/>
      <c r="T736" s="305"/>
      <c r="U736" s="305"/>
      <c r="V736" s="305"/>
      <c r="W736" s="305"/>
      <c r="X736" s="305"/>
      <c r="Y736" s="305"/>
      <c r="Z736" s="305"/>
    </row>
    <row r="737" spans="1:26" ht="15.75" customHeight="1" x14ac:dyDescent="0.25">
      <c r="A737" s="305"/>
      <c r="B737" s="305"/>
      <c r="C737" s="305"/>
      <c r="D737" s="305"/>
      <c r="E737" s="305"/>
      <c r="F737" s="305"/>
      <c r="G737" s="305"/>
      <c r="H737" s="305"/>
      <c r="I737" s="305"/>
      <c r="J737" s="305"/>
      <c r="K737" s="305"/>
      <c r="L737" s="305"/>
      <c r="M737" s="305"/>
      <c r="N737" s="305"/>
      <c r="O737" s="305"/>
      <c r="P737" s="305"/>
      <c r="Q737" s="305"/>
      <c r="R737" s="305"/>
      <c r="S737" s="305"/>
      <c r="T737" s="305"/>
      <c r="U737" s="305"/>
      <c r="V737" s="305"/>
      <c r="W737" s="305"/>
      <c r="X737" s="305"/>
      <c r="Y737" s="305"/>
      <c r="Z737" s="305"/>
    </row>
    <row r="738" spans="1:26" ht="15.75" customHeight="1" x14ac:dyDescent="0.25">
      <c r="A738" s="305"/>
      <c r="B738" s="305"/>
      <c r="C738" s="305"/>
      <c r="D738" s="305"/>
      <c r="E738" s="305"/>
      <c r="F738" s="305"/>
      <c r="G738" s="305"/>
      <c r="H738" s="305"/>
      <c r="I738" s="305"/>
      <c r="J738" s="305"/>
      <c r="K738" s="305"/>
      <c r="L738" s="305"/>
      <c r="M738" s="305"/>
      <c r="N738" s="305"/>
      <c r="O738" s="305"/>
      <c r="P738" s="305"/>
      <c r="Q738" s="305"/>
      <c r="R738" s="305"/>
      <c r="S738" s="305"/>
      <c r="T738" s="305"/>
      <c r="U738" s="305"/>
      <c r="V738" s="305"/>
      <c r="W738" s="305"/>
      <c r="X738" s="305"/>
      <c r="Y738" s="305"/>
      <c r="Z738" s="305"/>
    </row>
    <row r="739" spans="1:26" ht="15.75" customHeight="1" x14ac:dyDescent="0.25">
      <c r="A739" s="305"/>
      <c r="B739" s="305"/>
      <c r="C739" s="305"/>
      <c r="D739" s="305"/>
      <c r="E739" s="305"/>
      <c r="F739" s="305"/>
      <c r="G739" s="305"/>
      <c r="H739" s="305"/>
      <c r="I739" s="305"/>
      <c r="J739" s="305"/>
      <c r="K739" s="305"/>
      <c r="L739" s="305"/>
      <c r="M739" s="305"/>
      <c r="N739" s="305"/>
      <c r="O739" s="305"/>
      <c r="P739" s="305"/>
      <c r="Q739" s="305"/>
      <c r="R739" s="305"/>
      <c r="S739" s="305"/>
      <c r="T739" s="305"/>
      <c r="U739" s="305"/>
      <c r="V739" s="305"/>
      <c r="W739" s="305"/>
      <c r="X739" s="305"/>
      <c r="Y739" s="305"/>
      <c r="Z739" s="305"/>
    </row>
    <row r="740" spans="1:26" ht="15.75" customHeight="1" x14ac:dyDescent="0.25">
      <c r="A740" s="305"/>
      <c r="B740" s="305"/>
      <c r="C740" s="305"/>
      <c r="D740" s="305"/>
      <c r="E740" s="305"/>
      <c r="F740" s="305"/>
      <c r="G740" s="305"/>
      <c r="H740" s="305"/>
      <c r="I740" s="305"/>
      <c r="J740" s="305"/>
      <c r="K740" s="305"/>
      <c r="L740" s="305"/>
      <c r="M740" s="305"/>
      <c r="N740" s="305"/>
      <c r="O740" s="305"/>
      <c r="P740" s="305"/>
      <c r="Q740" s="305"/>
      <c r="R740" s="305"/>
      <c r="S740" s="305"/>
      <c r="T740" s="305"/>
      <c r="U740" s="305"/>
      <c r="V740" s="305"/>
      <c r="W740" s="305"/>
      <c r="X740" s="305"/>
      <c r="Y740" s="305"/>
      <c r="Z740" s="305"/>
    </row>
    <row r="741" spans="1:26" ht="15.75" customHeight="1" x14ac:dyDescent="0.25">
      <c r="A741" s="305"/>
      <c r="B741" s="305"/>
      <c r="C741" s="305"/>
      <c r="D741" s="305"/>
      <c r="E741" s="305"/>
      <c r="F741" s="305"/>
      <c r="G741" s="305"/>
      <c r="H741" s="305"/>
      <c r="I741" s="305"/>
      <c r="J741" s="305"/>
      <c r="K741" s="305"/>
      <c r="L741" s="305"/>
      <c r="M741" s="305"/>
      <c r="N741" s="305"/>
      <c r="O741" s="305"/>
      <c r="P741" s="305"/>
      <c r="Q741" s="305"/>
      <c r="R741" s="305"/>
      <c r="S741" s="305"/>
      <c r="T741" s="305"/>
      <c r="U741" s="305"/>
      <c r="V741" s="305"/>
      <c r="W741" s="305"/>
      <c r="X741" s="305"/>
      <c r="Y741" s="305"/>
      <c r="Z741" s="305"/>
    </row>
    <row r="742" spans="1:26" ht="15.75" customHeight="1" x14ac:dyDescent="0.25">
      <c r="A742" s="305"/>
      <c r="B742" s="305"/>
      <c r="C742" s="305"/>
      <c r="D742" s="305"/>
      <c r="E742" s="305"/>
      <c r="F742" s="305"/>
      <c r="G742" s="305"/>
      <c r="H742" s="305"/>
      <c r="I742" s="305"/>
      <c r="J742" s="305"/>
      <c r="K742" s="305"/>
      <c r="L742" s="305"/>
      <c r="M742" s="305"/>
      <c r="N742" s="305"/>
      <c r="O742" s="305"/>
      <c r="P742" s="305"/>
      <c r="Q742" s="305"/>
      <c r="R742" s="305"/>
      <c r="S742" s="305"/>
      <c r="T742" s="305"/>
      <c r="U742" s="305"/>
      <c r="V742" s="305"/>
      <c r="W742" s="305"/>
      <c r="X742" s="305"/>
      <c r="Y742" s="305"/>
      <c r="Z742" s="305"/>
    </row>
    <row r="743" spans="1:26" ht="15.75" customHeight="1" x14ac:dyDescent="0.25">
      <c r="A743" s="305"/>
      <c r="B743" s="305"/>
      <c r="C743" s="305"/>
      <c r="D743" s="305"/>
      <c r="E743" s="305"/>
      <c r="F743" s="305"/>
      <c r="G743" s="305"/>
      <c r="H743" s="305"/>
      <c r="I743" s="305"/>
      <c r="J743" s="305"/>
      <c r="K743" s="305"/>
      <c r="L743" s="305"/>
      <c r="M743" s="305"/>
      <c r="N743" s="305"/>
      <c r="O743" s="305"/>
      <c r="P743" s="305"/>
      <c r="Q743" s="305"/>
      <c r="R743" s="305"/>
      <c r="S743" s="305"/>
      <c r="T743" s="305"/>
      <c r="U743" s="305"/>
      <c r="V743" s="305"/>
      <c r="W743" s="305"/>
      <c r="X743" s="305"/>
      <c r="Y743" s="305"/>
      <c r="Z743" s="305"/>
    </row>
    <row r="744" spans="1:26" ht="15.75" customHeight="1" x14ac:dyDescent="0.25">
      <c r="A744" s="305"/>
      <c r="B744" s="305"/>
      <c r="C744" s="305"/>
      <c r="D744" s="305"/>
      <c r="E744" s="305"/>
      <c r="F744" s="305"/>
      <c r="G744" s="305"/>
      <c r="H744" s="305"/>
      <c r="I744" s="305"/>
      <c r="J744" s="305"/>
      <c r="K744" s="305"/>
      <c r="L744" s="305"/>
      <c r="M744" s="305"/>
      <c r="N744" s="305"/>
      <c r="O744" s="305"/>
      <c r="P744" s="305"/>
      <c r="Q744" s="305"/>
      <c r="R744" s="305"/>
      <c r="S744" s="305"/>
      <c r="T744" s="305"/>
      <c r="U744" s="305"/>
      <c r="V744" s="305"/>
      <c r="W744" s="305"/>
      <c r="X744" s="305"/>
      <c r="Y744" s="305"/>
      <c r="Z744" s="305"/>
    </row>
    <row r="745" spans="1:26" ht="15.75" customHeight="1" x14ac:dyDescent="0.25">
      <c r="A745" s="305"/>
      <c r="B745" s="305"/>
      <c r="C745" s="305"/>
      <c r="D745" s="305"/>
      <c r="E745" s="305"/>
      <c r="F745" s="305"/>
      <c r="G745" s="305"/>
      <c r="H745" s="305"/>
      <c r="I745" s="305"/>
      <c r="J745" s="305"/>
      <c r="K745" s="305"/>
      <c r="L745" s="305"/>
      <c r="M745" s="305"/>
      <c r="N745" s="305"/>
      <c r="O745" s="305"/>
      <c r="P745" s="305"/>
      <c r="Q745" s="305"/>
      <c r="R745" s="305"/>
      <c r="S745" s="305"/>
      <c r="T745" s="305"/>
      <c r="U745" s="305"/>
      <c r="V745" s="305"/>
      <c r="W745" s="305"/>
      <c r="X745" s="305"/>
      <c r="Y745" s="305"/>
      <c r="Z745" s="305"/>
    </row>
    <row r="746" spans="1:26" ht="15.75" customHeight="1" x14ac:dyDescent="0.25">
      <c r="A746" s="305"/>
      <c r="B746" s="305"/>
      <c r="C746" s="305"/>
      <c r="D746" s="305"/>
      <c r="E746" s="305"/>
      <c r="F746" s="305"/>
      <c r="G746" s="305"/>
      <c r="H746" s="305"/>
      <c r="I746" s="305"/>
      <c r="J746" s="305"/>
      <c r="K746" s="305"/>
      <c r="L746" s="305"/>
      <c r="M746" s="305"/>
      <c r="N746" s="305"/>
      <c r="O746" s="305"/>
      <c r="P746" s="305"/>
      <c r="Q746" s="305"/>
      <c r="R746" s="305"/>
      <c r="S746" s="305"/>
      <c r="T746" s="305"/>
      <c r="U746" s="305"/>
      <c r="V746" s="305"/>
      <c r="W746" s="305"/>
      <c r="X746" s="305"/>
      <c r="Y746" s="305"/>
      <c r="Z746" s="305"/>
    </row>
    <row r="747" spans="1:26" ht="15.75" customHeight="1" x14ac:dyDescent="0.25">
      <c r="A747" s="305"/>
      <c r="B747" s="305"/>
      <c r="C747" s="305"/>
      <c r="D747" s="305"/>
      <c r="E747" s="305"/>
      <c r="F747" s="305"/>
      <c r="G747" s="305"/>
      <c r="H747" s="305"/>
      <c r="I747" s="305"/>
      <c r="J747" s="305"/>
      <c r="K747" s="305"/>
      <c r="L747" s="305"/>
      <c r="M747" s="305"/>
      <c r="N747" s="305"/>
      <c r="O747" s="305"/>
      <c r="P747" s="305"/>
      <c r="Q747" s="305"/>
      <c r="R747" s="305"/>
      <c r="S747" s="305"/>
      <c r="T747" s="305"/>
      <c r="U747" s="305"/>
      <c r="V747" s="305"/>
      <c r="W747" s="305"/>
      <c r="X747" s="305"/>
      <c r="Y747" s="305"/>
      <c r="Z747" s="305"/>
    </row>
    <row r="748" spans="1:26" ht="15.75" customHeight="1" x14ac:dyDescent="0.25">
      <c r="A748" s="305"/>
      <c r="B748" s="305"/>
      <c r="C748" s="305"/>
      <c r="D748" s="305"/>
      <c r="E748" s="305"/>
      <c r="F748" s="305"/>
      <c r="G748" s="305"/>
      <c r="H748" s="305"/>
      <c r="I748" s="305"/>
      <c r="J748" s="305"/>
      <c r="K748" s="305"/>
      <c r="L748" s="305"/>
      <c r="M748" s="305"/>
      <c r="N748" s="305"/>
      <c r="O748" s="305"/>
      <c r="P748" s="305"/>
      <c r="Q748" s="305"/>
      <c r="R748" s="305"/>
      <c r="S748" s="305"/>
      <c r="T748" s="305"/>
      <c r="U748" s="305"/>
      <c r="V748" s="305"/>
      <c r="W748" s="305"/>
      <c r="X748" s="305"/>
      <c r="Y748" s="305"/>
      <c r="Z748" s="305"/>
    </row>
    <row r="749" spans="1:26" ht="15.75" customHeight="1" x14ac:dyDescent="0.25">
      <c r="A749" s="305"/>
      <c r="B749" s="305"/>
      <c r="C749" s="305"/>
      <c r="D749" s="305"/>
      <c r="E749" s="305"/>
      <c r="F749" s="305"/>
      <c r="G749" s="305"/>
      <c r="H749" s="305"/>
      <c r="I749" s="305"/>
      <c r="J749" s="305"/>
      <c r="K749" s="305"/>
      <c r="L749" s="305"/>
      <c r="M749" s="305"/>
      <c r="N749" s="305"/>
      <c r="O749" s="305"/>
      <c r="P749" s="305"/>
      <c r="Q749" s="305"/>
      <c r="R749" s="305"/>
      <c r="S749" s="305"/>
      <c r="T749" s="305"/>
      <c r="U749" s="305"/>
      <c r="V749" s="305"/>
      <c r="W749" s="305"/>
      <c r="X749" s="305"/>
      <c r="Y749" s="305"/>
      <c r="Z749" s="305"/>
    </row>
    <row r="750" spans="1:26" ht="15.75" customHeight="1" x14ac:dyDescent="0.25">
      <c r="A750" s="305"/>
      <c r="B750" s="305"/>
      <c r="C750" s="305"/>
      <c r="D750" s="305"/>
      <c r="E750" s="305"/>
      <c r="F750" s="305"/>
      <c r="G750" s="305"/>
      <c r="H750" s="305"/>
      <c r="I750" s="305"/>
      <c r="J750" s="305"/>
      <c r="K750" s="305"/>
      <c r="L750" s="305"/>
      <c r="M750" s="305"/>
      <c r="N750" s="305"/>
      <c r="O750" s="305"/>
      <c r="P750" s="305"/>
      <c r="Q750" s="305"/>
      <c r="R750" s="305"/>
      <c r="S750" s="305"/>
      <c r="T750" s="305"/>
      <c r="U750" s="305"/>
      <c r="V750" s="305"/>
      <c r="W750" s="305"/>
      <c r="X750" s="305"/>
      <c r="Y750" s="305"/>
      <c r="Z750" s="305"/>
    </row>
    <row r="751" spans="1:26" ht="15.75" customHeight="1" x14ac:dyDescent="0.25">
      <c r="A751" s="305"/>
      <c r="B751" s="305"/>
      <c r="C751" s="305"/>
      <c r="D751" s="305"/>
      <c r="E751" s="305"/>
      <c r="F751" s="305"/>
      <c r="G751" s="305"/>
      <c r="H751" s="305"/>
      <c r="I751" s="305"/>
      <c r="J751" s="305"/>
      <c r="K751" s="305"/>
      <c r="L751" s="305"/>
      <c r="M751" s="305"/>
      <c r="N751" s="305"/>
      <c r="O751" s="305"/>
      <c r="P751" s="305"/>
      <c r="Q751" s="305"/>
      <c r="R751" s="305"/>
      <c r="S751" s="305"/>
      <c r="T751" s="305"/>
      <c r="U751" s="305"/>
      <c r="V751" s="305"/>
      <c r="W751" s="305"/>
      <c r="X751" s="305"/>
      <c r="Y751" s="305"/>
      <c r="Z751" s="305"/>
    </row>
    <row r="752" spans="1:26" ht="15.75" customHeight="1" x14ac:dyDescent="0.25">
      <c r="A752" s="305"/>
      <c r="B752" s="305"/>
      <c r="C752" s="305"/>
      <c r="D752" s="305"/>
      <c r="E752" s="305"/>
      <c r="F752" s="305"/>
      <c r="G752" s="305"/>
      <c r="H752" s="305"/>
      <c r="I752" s="305"/>
      <c r="J752" s="305"/>
      <c r="K752" s="305"/>
      <c r="L752" s="305"/>
      <c r="M752" s="305"/>
      <c r="N752" s="305"/>
      <c r="O752" s="305"/>
      <c r="P752" s="305"/>
      <c r="Q752" s="305"/>
      <c r="R752" s="305"/>
      <c r="S752" s="305"/>
      <c r="T752" s="305"/>
      <c r="U752" s="305"/>
      <c r="V752" s="305"/>
      <c r="W752" s="305"/>
      <c r="X752" s="305"/>
      <c r="Y752" s="305"/>
      <c r="Z752" s="305"/>
    </row>
    <row r="753" spans="1:26" ht="15.75" customHeight="1" x14ac:dyDescent="0.25">
      <c r="A753" s="305"/>
      <c r="B753" s="305"/>
      <c r="C753" s="305"/>
      <c r="D753" s="305"/>
      <c r="E753" s="305"/>
      <c r="F753" s="305"/>
      <c r="G753" s="305"/>
      <c r="H753" s="305"/>
      <c r="I753" s="305"/>
      <c r="J753" s="305"/>
      <c r="K753" s="305"/>
      <c r="L753" s="305"/>
      <c r="M753" s="305"/>
      <c r="N753" s="305"/>
      <c r="O753" s="305"/>
      <c r="P753" s="305"/>
      <c r="Q753" s="305"/>
      <c r="R753" s="305"/>
      <c r="S753" s="305"/>
      <c r="T753" s="305"/>
      <c r="U753" s="305"/>
      <c r="V753" s="305"/>
      <c r="W753" s="305"/>
      <c r="X753" s="305"/>
      <c r="Y753" s="305"/>
      <c r="Z753" s="305"/>
    </row>
    <row r="754" spans="1:26" ht="15.75" customHeight="1" x14ac:dyDescent="0.25">
      <c r="A754" s="305"/>
      <c r="B754" s="305"/>
      <c r="C754" s="305"/>
      <c r="D754" s="305"/>
      <c r="E754" s="305"/>
      <c r="F754" s="305"/>
      <c r="G754" s="305"/>
      <c r="H754" s="305"/>
      <c r="I754" s="305"/>
      <c r="J754" s="305"/>
      <c r="K754" s="305"/>
      <c r="L754" s="305"/>
      <c r="M754" s="305"/>
      <c r="N754" s="305"/>
      <c r="O754" s="305"/>
      <c r="P754" s="305"/>
      <c r="Q754" s="305"/>
      <c r="R754" s="305"/>
      <c r="S754" s="305"/>
      <c r="T754" s="305"/>
      <c r="U754" s="305"/>
      <c r="V754" s="305"/>
      <c r="W754" s="305"/>
      <c r="X754" s="305"/>
      <c r="Y754" s="305"/>
      <c r="Z754" s="305"/>
    </row>
    <row r="755" spans="1:26" ht="15.75" customHeight="1" x14ac:dyDescent="0.25">
      <c r="A755" s="305"/>
      <c r="B755" s="305"/>
      <c r="C755" s="305"/>
      <c r="D755" s="305"/>
      <c r="E755" s="305"/>
      <c r="F755" s="305"/>
      <c r="G755" s="305"/>
      <c r="H755" s="305"/>
      <c r="I755" s="305"/>
      <c r="J755" s="305"/>
      <c r="K755" s="305"/>
      <c r="L755" s="305"/>
      <c r="M755" s="305"/>
      <c r="N755" s="305"/>
      <c r="O755" s="305"/>
      <c r="P755" s="305"/>
      <c r="Q755" s="305"/>
      <c r="R755" s="305"/>
      <c r="S755" s="305"/>
      <c r="T755" s="305"/>
      <c r="U755" s="305"/>
      <c r="V755" s="305"/>
      <c r="W755" s="305"/>
      <c r="X755" s="305"/>
      <c r="Y755" s="305"/>
      <c r="Z755" s="305"/>
    </row>
    <row r="756" spans="1:26" ht="15.75" customHeight="1" x14ac:dyDescent="0.25">
      <c r="A756" s="305"/>
      <c r="B756" s="305"/>
      <c r="C756" s="305"/>
      <c r="D756" s="305"/>
      <c r="E756" s="305"/>
      <c r="F756" s="305"/>
      <c r="G756" s="305"/>
      <c r="H756" s="305"/>
      <c r="I756" s="305"/>
      <c r="J756" s="305"/>
      <c r="K756" s="305"/>
      <c r="L756" s="305"/>
      <c r="M756" s="305"/>
      <c r="N756" s="305"/>
      <c r="O756" s="305"/>
      <c r="P756" s="305"/>
      <c r="Q756" s="305"/>
      <c r="R756" s="305"/>
      <c r="S756" s="305"/>
      <c r="T756" s="305"/>
      <c r="U756" s="305"/>
      <c r="V756" s="305"/>
      <c r="W756" s="305"/>
      <c r="X756" s="305"/>
      <c r="Y756" s="305"/>
      <c r="Z756" s="305"/>
    </row>
    <row r="757" spans="1:26" ht="15.75" customHeight="1" x14ac:dyDescent="0.25">
      <c r="A757" s="305"/>
      <c r="B757" s="305"/>
      <c r="C757" s="305"/>
      <c r="D757" s="305"/>
      <c r="E757" s="305"/>
      <c r="F757" s="305"/>
      <c r="G757" s="305"/>
      <c r="H757" s="305"/>
      <c r="I757" s="305"/>
      <c r="J757" s="305"/>
      <c r="K757" s="305"/>
      <c r="L757" s="305"/>
      <c r="M757" s="305"/>
      <c r="N757" s="305"/>
      <c r="O757" s="305"/>
      <c r="P757" s="305"/>
      <c r="Q757" s="305"/>
      <c r="R757" s="305"/>
      <c r="S757" s="305"/>
      <c r="T757" s="305"/>
      <c r="U757" s="305"/>
      <c r="V757" s="305"/>
      <c r="W757" s="305"/>
      <c r="X757" s="305"/>
      <c r="Y757" s="305"/>
      <c r="Z757" s="305"/>
    </row>
    <row r="758" spans="1:26" ht="15.75" customHeight="1" x14ac:dyDescent="0.25">
      <c r="A758" s="305"/>
      <c r="B758" s="305"/>
      <c r="C758" s="305"/>
      <c r="D758" s="305"/>
      <c r="E758" s="305"/>
      <c r="F758" s="305"/>
      <c r="G758" s="305"/>
      <c r="H758" s="305"/>
      <c r="I758" s="305"/>
      <c r="J758" s="305"/>
      <c r="K758" s="305"/>
      <c r="L758" s="305"/>
      <c r="M758" s="305"/>
      <c r="N758" s="305"/>
      <c r="O758" s="305"/>
      <c r="P758" s="305"/>
      <c r="Q758" s="305"/>
      <c r="R758" s="305"/>
      <c r="S758" s="305"/>
      <c r="T758" s="305"/>
      <c r="U758" s="305"/>
      <c r="V758" s="305"/>
      <c r="W758" s="305"/>
      <c r="X758" s="305"/>
      <c r="Y758" s="305"/>
      <c r="Z758" s="305"/>
    </row>
    <row r="759" spans="1:26" ht="15.75" customHeight="1" x14ac:dyDescent="0.25">
      <c r="A759" s="305"/>
      <c r="B759" s="305"/>
      <c r="C759" s="305"/>
      <c r="D759" s="305"/>
      <c r="E759" s="305"/>
      <c r="F759" s="305"/>
      <c r="G759" s="305"/>
      <c r="H759" s="305"/>
      <c r="I759" s="305"/>
      <c r="J759" s="305"/>
      <c r="K759" s="305"/>
      <c r="L759" s="305"/>
      <c r="M759" s="305"/>
      <c r="N759" s="305"/>
      <c r="O759" s="305"/>
      <c r="P759" s="305"/>
      <c r="Q759" s="305"/>
      <c r="R759" s="305"/>
      <c r="S759" s="305"/>
      <c r="T759" s="305"/>
      <c r="U759" s="305"/>
      <c r="V759" s="305"/>
      <c r="W759" s="305"/>
      <c r="X759" s="305"/>
      <c r="Y759" s="305"/>
      <c r="Z759" s="305"/>
    </row>
    <row r="760" spans="1:26" ht="15.75" customHeight="1" x14ac:dyDescent="0.25">
      <c r="A760" s="305"/>
      <c r="B760" s="305"/>
      <c r="C760" s="305"/>
      <c r="D760" s="305"/>
      <c r="E760" s="305"/>
      <c r="F760" s="305"/>
      <c r="G760" s="305"/>
      <c r="H760" s="305"/>
      <c r="I760" s="305"/>
      <c r="J760" s="305"/>
      <c r="K760" s="305"/>
      <c r="L760" s="305"/>
      <c r="M760" s="305"/>
      <c r="N760" s="305"/>
      <c r="O760" s="305"/>
      <c r="P760" s="305"/>
      <c r="Q760" s="305"/>
      <c r="R760" s="305"/>
      <c r="S760" s="305"/>
      <c r="T760" s="305"/>
      <c r="U760" s="305"/>
      <c r="V760" s="305"/>
      <c r="W760" s="305"/>
      <c r="X760" s="305"/>
      <c r="Y760" s="305"/>
      <c r="Z760" s="305"/>
    </row>
    <row r="761" spans="1:26" ht="15.75" customHeight="1" x14ac:dyDescent="0.25">
      <c r="A761" s="305"/>
      <c r="B761" s="305"/>
      <c r="C761" s="305"/>
      <c r="D761" s="305"/>
      <c r="E761" s="305"/>
      <c r="F761" s="305"/>
      <c r="G761" s="305"/>
      <c r="H761" s="305"/>
      <c r="I761" s="305"/>
      <c r="J761" s="305"/>
      <c r="K761" s="305"/>
      <c r="L761" s="305"/>
      <c r="M761" s="305"/>
      <c r="N761" s="305"/>
      <c r="O761" s="305"/>
      <c r="P761" s="305"/>
      <c r="Q761" s="305"/>
      <c r="R761" s="305"/>
      <c r="S761" s="305"/>
      <c r="T761" s="305"/>
      <c r="U761" s="305"/>
      <c r="V761" s="305"/>
      <c r="W761" s="305"/>
      <c r="X761" s="305"/>
      <c r="Y761" s="305"/>
      <c r="Z761" s="305"/>
    </row>
    <row r="762" spans="1:26" ht="15.75" customHeight="1" x14ac:dyDescent="0.25">
      <c r="A762" s="305"/>
      <c r="B762" s="305"/>
      <c r="C762" s="305"/>
      <c r="D762" s="305"/>
      <c r="E762" s="305"/>
      <c r="F762" s="305"/>
      <c r="G762" s="305"/>
      <c r="H762" s="305"/>
      <c r="I762" s="305"/>
      <c r="J762" s="305"/>
      <c r="K762" s="305"/>
      <c r="L762" s="305"/>
      <c r="M762" s="305"/>
      <c r="N762" s="305"/>
      <c r="O762" s="305"/>
      <c r="P762" s="305"/>
      <c r="Q762" s="305"/>
      <c r="R762" s="305"/>
      <c r="S762" s="305"/>
      <c r="T762" s="305"/>
      <c r="U762" s="305"/>
      <c r="V762" s="305"/>
      <c r="W762" s="305"/>
      <c r="X762" s="305"/>
      <c r="Y762" s="305"/>
      <c r="Z762" s="305"/>
    </row>
    <row r="763" spans="1:26" ht="15.75" customHeight="1" x14ac:dyDescent="0.25">
      <c r="A763" s="305"/>
      <c r="B763" s="305"/>
      <c r="C763" s="305"/>
      <c r="D763" s="305"/>
      <c r="E763" s="305"/>
      <c r="F763" s="305"/>
      <c r="G763" s="305"/>
      <c r="H763" s="305"/>
      <c r="I763" s="305"/>
      <c r="J763" s="305"/>
      <c r="K763" s="305"/>
      <c r="L763" s="305"/>
      <c r="M763" s="305"/>
      <c r="N763" s="305"/>
      <c r="O763" s="305"/>
      <c r="P763" s="305"/>
      <c r="Q763" s="305"/>
      <c r="R763" s="305"/>
      <c r="S763" s="305"/>
      <c r="T763" s="305"/>
      <c r="U763" s="305"/>
      <c r="V763" s="305"/>
      <c r="W763" s="305"/>
      <c r="X763" s="305"/>
      <c r="Y763" s="305"/>
      <c r="Z763" s="305"/>
    </row>
    <row r="764" spans="1:26" ht="15.75" customHeight="1" x14ac:dyDescent="0.25">
      <c r="A764" s="305"/>
      <c r="B764" s="305"/>
      <c r="C764" s="305"/>
      <c r="D764" s="305"/>
      <c r="E764" s="305"/>
      <c r="F764" s="305"/>
      <c r="G764" s="305"/>
      <c r="H764" s="305"/>
      <c r="I764" s="305"/>
      <c r="J764" s="305"/>
      <c r="K764" s="305"/>
      <c r="L764" s="305"/>
      <c r="M764" s="305"/>
      <c r="N764" s="305"/>
      <c r="O764" s="305"/>
      <c r="P764" s="305"/>
      <c r="Q764" s="305"/>
      <c r="R764" s="305"/>
      <c r="S764" s="305"/>
      <c r="T764" s="305"/>
      <c r="U764" s="305"/>
      <c r="V764" s="305"/>
      <c r="W764" s="305"/>
      <c r="X764" s="305"/>
      <c r="Y764" s="305"/>
      <c r="Z764" s="305"/>
    </row>
    <row r="765" spans="1:26" ht="15.75" customHeight="1" x14ac:dyDescent="0.25">
      <c r="A765" s="305"/>
      <c r="B765" s="305"/>
      <c r="C765" s="305"/>
      <c r="D765" s="305"/>
      <c r="E765" s="305"/>
      <c r="F765" s="305"/>
      <c r="G765" s="305"/>
      <c r="H765" s="305"/>
      <c r="I765" s="305"/>
      <c r="J765" s="305"/>
      <c r="K765" s="305"/>
      <c r="L765" s="305"/>
      <c r="M765" s="305"/>
      <c r="N765" s="305"/>
      <c r="O765" s="305"/>
      <c r="P765" s="305"/>
      <c r="Q765" s="305"/>
      <c r="R765" s="305"/>
      <c r="S765" s="305"/>
      <c r="T765" s="305"/>
      <c r="U765" s="305"/>
      <c r="V765" s="305"/>
      <c r="W765" s="305"/>
      <c r="X765" s="305"/>
      <c r="Y765" s="305"/>
      <c r="Z765" s="305"/>
    </row>
    <row r="766" spans="1:26" ht="15.75" customHeight="1" x14ac:dyDescent="0.25">
      <c r="A766" s="305"/>
      <c r="B766" s="305"/>
      <c r="C766" s="305"/>
      <c r="D766" s="305"/>
      <c r="E766" s="305"/>
      <c r="F766" s="305"/>
      <c r="G766" s="305"/>
      <c r="H766" s="305"/>
      <c r="I766" s="305"/>
      <c r="J766" s="305"/>
      <c r="K766" s="305"/>
      <c r="L766" s="305"/>
      <c r="M766" s="305"/>
      <c r="N766" s="305"/>
      <c r="O766" s="305"/>
      <c r="P766" s="305"/>
      <c r="Q766" s="305"/>
      <c r="R766" s="305"/>
      <c r="S766" s="305"/>
      <c r="T766" s="305"/>
      <c r="U766" s="305"/>
      <c r="V766" s="305"/>
      <c r="W766" s="305"/>
      <c r="X766" s="305"/>
      <c r="Y766" s="305"/>
      <c r="Z766" s="305"/>
    </row>
    <row r="767" spans="1:26" ht="15.75" customHeight="1" x14ac:dyDescent="0.25">
      <c r="A767" s="305"/>
      <c r="B767" s="305"/>
      <c r="C767" s="305"/>
      <c r="D767" s="305"/>
      <c r="E767" s="305"/>
      <c r="F767" s="305"/>
      <c r="G767" s="305"/>
      <c r="H767" s="305"/>
      <c r="I767" s="305"/>
      <c r="J767" s="305"/>
      <c r="K767" s="305"/>
      <c r="L767" s="305"/>
      <c r="M767" s="305"/>
      <c r="N767" s="305"/>
      <c r="O767" s="305"/>
      <c r="P767" s="305"/>
      <c r="Q767" s="305"/>
      <c r="R767" s="305"/>
      <c r="S767" s="305"/>
      <c r="T767" s="305"/>
      <c r="U767" s="305"/>
      <c r="V767" s="305"/>
      <c r="W767" s="305"/>
      <c r="X767" s="305"/>
      <c r="Y767" s="305"/>
      <c r="Z767" s="305"/>
    </row>
    <row r="768" spans="1:26" ht="15.75" customHeight="1" x14ac:dyDescent="0.25">
      <c r="A768" s="305"/>
      <c r="B768" s="305"/>
      <c r="C768" s="305"/>
      <c r="D768" s="305"/>
      <c r="E768" s="305"/>
      <c r="F768" s="305"/>
      <c r="G768" s="305"/>
      <c r="H768" s="305"/>
      <c r="I768" s="305"/>
      <c r="J768" s="305"/>
      <c r="K768" s="305"/>
      <c r="L768" s="305"/>
      <c r="M768" s="305"/>
      <c r="N768" s="305"/>
      <c r="O768" s="305"/>
      <c r="P768" s="305"/>
      <c r="Q768" s="305"/>
      <c r="R768" s="305"/>
      <c r="S768" s="305"/>
      <c r="T768" s="305"/>
      <c r="U768" s="305"/>
      <c r="V768" s="305"/>
      <c r="W768" s="305"/>
      <c r="X768" s="305"/>
      <c r="Y768" s="305"/>
      <c r="Z768" s="305"/>
    </row>
    <row r="769" spans="1:26" ht="15.75" customHeight="1" x14ac:dyDescent="0.25">
      <c r="A769" s="305"/>
      <c r="B769" s="305"/>
      <c r="C769" s="305"/>
      <c r="D769" s="305"/>
      <c r="E769" s="305"/>
      <c r="F769" s="305"/>
      <c r="G769" s="305"/>
      <c r="H769" s="305"/>
      <c r="I769" s="305"/>
      <c r="J769" s="305"/>
      <c r="K769" s="305"/>
      <c r="L769" s="305"/>
      <c r="M769" s="305"/>
      <c r="N769" s="305"/>
      <c r="O769" s="305"/>
      <c r="P769" s="305"/>
      <c r="Q769" s="305"/>
      <c r="R769" s="305"/>
      <c r="S769" s="305"/>
      <c r="T769" s="305"/>
      <c r="U769" s="305"/>
      <c r="V769" s="305"/>
      <c r="W769" s="305"/>
      <c r="X769" s="305"/>
      <c r="Y769" s="305"/>
      <c r="Z769" s="305"/>
    </row>
    <row r="770" spans="1:26" ht="15.75" customHeight="1" x14ac:dyDescent="0.25">
      <c r="A770" s="305"/>
      <c r="B770" s="305"/>
      <c r="C770" s="305"/>
      <c r="D770" s="305"/>
      <c r="E770" s="305"/>
      <c r="F770" s="305"/>
      <c r="G770" s="305"/>
      <c r="H770" s="305"/>
      <c r="I770" s="305"/>
      <c r="J770" s="305"/>
      <c r="K770" s="305"/>
      <c r="L770" s="305"/>
      <c r="M770" s="305"/>
      <c r="N770" s="305"/>
      <c r="O770" s="305"/>
      <c r="P770" s="305"/>
      <c r="Q770" s="305"/>
      <c r="R770" s="305"/>
      <c r="S770" s="305"/>
      <c r="T770" s="305"/>
      <c r="U770" s="305"/>
      <c r="V770" s="305"/>
      <c r="W770" s="305"/>
      <c r="X770" s="305"/>
      <c r="Y770" s="305"/>
      <c r="Z770" s="305"/>
    </row>
    <row r="771" spans="1:26" ht="15.75" customHeight="1" x14ac:dyDescent="0.25">
      <c r="A771" s="305"/>
      <c r="B771" s="305"/>
      <c r="C771" s="305"/>
      <c r="D771" s="305"/>
      <c r="E771" s="305"/>
      <c r="F771" s="305"/>
      <c r="G771" s="305"/>
      <c r="H771" s="305"/>
      <c r="I771" s="305"/>
      <c r="J771" s="305"/>
      <c r="K771" s="305"/>
      <c r="L771" s="305"/>
      <c r="M771" s="305"/>
      <c r="N771" s="305"/>
      <c r="O771" s="305"/>
      <c r="P771" s="305"/>
      <c r="Q771" s="305"/>
      <c r="R771" s="305"/>
      <c r="S771" s="305"/>
      <c r="T771" s="305"/>
      <c r="U771" s="305"/>
      <c r="V771" s="305"/>
      <c r="W771" s="305"/>
      <c r="X771" s="305"/>
      <c r="Y771" s="305"/>
      <c r="Z771" s="305"/>
    </row>
    <row r="772" spans="1:26" ht="15.75" customHeight="1" x14ac:dyDescent="0.25">
      <c r="A772" s="305"/>
      <c r="B772" s="305"/>
      <c r="C772" s="305"/>
      <c r="D772" s="305"/>
      <c r="E772" s="305"/>
      <c r="F772" s="305"/>
      <c r="G772" s="305"/>
      <c r="H772" s="305"/>
      <c r="I772" s="305"/>
      <c r="J772" s="305"/>
      <c r="K772" s="305"/>
      <c r="L772" s="305"/>
      <c r="M772" s="305"/>
      <c r="N772" s="305"/>
      <c r="O772" s="305"/>
      <c r="P772" s="305"/>
      <c r="Q772" s="305"/>
      <c r="R772" s="305"/>
      <c r="S772" s="305"/>
      <c r="T772" s="305"/>
      <c r="U772" s="305"/>
      <c r="V772" s="305"/>
      <c r="W772" s="305"/>
      <c r="X772" s="305"/>
      <c r="Y772" s="305"/>
      <c r="Z772" s="305"/>
    </row>
    <row r="773" spans="1:26" ht="15.75" customHeight="1" x14ac:dyDescent="0.25">
      <c r="A773" s="305"/>
      <c r="B773" s="305"/>
      <c r="C773" s="305"/>
      <c r="D773" s="305"/>
      <c r="E773" s="305"/>
      <c r="F773" s="305"/>
      <c r="G773" s="305"/>
      <c r="H773" s="305"/>
      <c r="I773" s="305"/>
      <c r="J773" s="305"/>
      <c r="K773" s="305"/>
      <c r="L773" s="305"/>
      <c r="M773" s="305"/>
      <c r="N773" s="305"/>
      <c r="O773" s="305"/>
      <c r="P773" s="305"/>
      <c r="Q773" s="305"/>
      <c r="R773" s="305"/>
      <c r="S773" s="305"/>
      <c r="T773" s="305"/>
      <c r="U773" s="305"/>
      <c r="V773" s="305"/>
      <c r="W773" s="305"/>
      <c r="X773" s="305"/>
      <c r="Y773" s="305"/>
      <c r="Z773" s="305"/>
    </row>
    <row r="774" spans="1:26" ht="15.75" customHeight="1" x14ac:dyDescent="0.25">
      <c r="A774" s="305"/>
      <c r="B774" s="305"/>
      <c r="C774" s="305"/>
      <c r="D774" s="305"/>
      <c r="E774" s="305"/>
      <c r="F774" s="305"/>
      <c r="G774" s="305"/>
      <c r="H774" s="305"/>
      <c r="I774" s="305"/>
      <c r="J774" s="305"/>
      <c r="K774" s="305"/>
      <c r="L774" s="305"/>
      <c r="M774" s="305"/>
      <c r="N774" s="305"/>
      <c r="O774" s="305"/>
      <c r="P774" s="305"/>
      <c r="Q774" s="305"/>
      <c r="R774" s="305"/>
      <c r="S774" s="305"/>
      <c r="T774" s="305"/>
      <c r="U774" s="305"/>
      <c r="V774" s="305"/>
      <c r="W774" s="305"/>
      <c r="X774" s="305"/>
      <c r="Y774" s="305"/>
      <c r="Z774" s="305"/>
    </row>
    <row r="775" spans="1:26" ht="15.75" customHeight="1" x14ac:dyDescent="0.25">
      <c r="A775" s="305"/>
      <c r="B775" s="305"/>
      <c r="C775" s="305"/>
      <c r="D775" s="305"/>
      <c r="E775" s="305"/>
      <c r="F775" s="305"/>
      <c r="G775" s="305"/>
      <c r="H775" s="305"/>
      <c r="I775" s="305"/>
      <c r="J775" s="305"/>
      <c r="K775" s="305"/>
      <c r="L775" s="305"/>
      <c r="M775" s="305"/>
      <c r="N775" s="305"/>
      <c r="O775" s="305"/>
      <c r="P775" s="305"/>
      <c r="Q775" s="305"/>
      <c r="R775" s="305"/>
      <c r="S775" s="305"/>
      <c r="T775" s="305"/>
      <c r="U775" s="305"/>
      <c r="V775" s="305"/>
      <c r="W775" s="305"/>
      <c r="X775" s="305"/>
      <c r="Y775" s="305"/>
      <c r="Z775" s="305"/>
    </row>
    <row r="776" spans="1:26" ht="15.75" customHeight="1" x14ac:dyDescent="0.25">
      <c r="A776" s="305"/>
      <c r="B776" s="305"/>
      <c r="C776" s="305"/>
      <c r="D776" s="305"/>
      <c r="E776" s="305"/>
      <c r="F776" s="305"/>
      <c r="G776" s="305"/>
      <c r="H776" s="305"/>
      <c r="I776" s="305"/>
      <c r="J776" s="305"/>
      <c r="K776" s="305"/>
      <c r="L776" s="305"/>
      <c r="M776" s="305"/>
      <c r="N776" s="305"/>
      <c r="O776" s="305"/>
      <c r="P776" s="305"/>
      <c r="Q776" s="305"/>
      <c r="R776" s="305"/>
      <c r="S776" s="305"/>
      <c r="T776" s="305"/>
      <c r="U776" s="305"/>
      <c r="V776" s="305"/>
      <c r="W776" s="305"/>
      <c r="X776" s="305"/>
      <c r="Y776" s="305"/>
      <c r="Z776" s="305"/>
    </row>
    <row r="777" spans="1:26" ht="15.75" customHeight="1" x14ac:dyDescent="0.25">
      <c r="A777" s="305"/>
      <c r="B777" s="305"/>
      <c r="C777" s="305"/>
      <c r="D777" s="305"/>
      <c r="E777" s="305"/>
      <c r="F777" s="305"/>
      <c r="G777" s="305"/>
      <c r="H777" s="305"/>
      <c r="I777" s="305"/>
      <c r="J777" s="305"/>
      <c r="K777" s="305"/>
      <c r="L777" s="305"/>
      <c r="M777" s="305"/>
      <c r="N777" s="305"/>
      <c r="O777" s="305"/>
      <c r="P777" s="305"/>
      <c r="Q777" s="305"/>
      <c r="R777" s="305"/>
      <c r="S777" s="305"/>
      <c r="T777" s="305"/>
      <c r="U777" s="305"/>
      <c r="V777" s="305"/>
      <c r="W777" s="305"/>
      <c r="X777" s="305"/>
      <c r="Y777" s="305"/>
      <c r="Z777" s="305"/>
    </row>
    <row r="778" spans="1:26" ht="15.75" customHeight="1" x14ac:dyDescent="0.25">
      <c r="A778" s="305"/>
      <c r="B778" s="305"/>
      <c r="C778" s="305"/>
      <c r="D778" s="305"/>
      <c r="E778" s="305"/>
      <c r="F778" s="305"/>
      <c r="G778" s="305"/>
      <c r="H778" s="305"/>
      <c r="I778" s="305"/>
      <c r="J778" s="305"/>
      <c r="K778" s="305"/>
      <c r="L778" s="305"/>
      <c r="M778" s="305"/>
      <c r="N778" s="305"/>
      <c r="O778" s="305"/>
      <c r="P778" s="305"/>
      <c r="Q778" s="305"/>
      <c r="R778" s="305"/>
      <c r="S778" s="305"/>
      <c r="T778" s="305"/>
      <c r="U778" s="305"/>
      <c r="V778" s="305"/>
      <c r="W778" s="305"/>
      <c r="X778" s="305"/>
      <c r="Y778" s="305"/>
      <c r="Z778" s="305"/>
    </row>
    <row r="779" spans="1:26" ht="15.75" customHeight="1" x14ac:dyDescent="0.25">
      <c r="A779" s="305"/>
      <c r="B779" s="305"/>
      <c r="C779" s="305"/>
      <c r="D779" s="305"/>
      <c r="E779" s="305"/>
      <c r="F779" s="305"/>
      <c r="G779" s="305"/>
      <c r="H779" s="305"/>
      <c r="I779" s="305"/>
      <c r="J779" s="305"/>
      <c r="K779" s="305"/>
      <c r="L779" s="305"/>
      <c r="M779" s="305"/>
      <c r="N779" s="305"/>
      <c r="O779" s="305"/>
      <c r="P779" s="305"/>
      <c r="Q779" s="305"/>
      <c r="R779" s="305"/>
      <c r="S779" s="305"/>
      <c r="T779" s="305"/>
      <c r="U779" s="305"/>
      <c r="V779" s="305"/>
      <c r="W779" s="305"/>
      <c r="X779" s="305"/>
      <c r="Y779" s="305"/>
      <c r="Z779" s="305"/>
    </row>
    <row r="780" spans="1:26" ht="15.75" customHeight="1" x14ac:dyDescent="0.25">
      <c r="A780" s="305"/>
      <c r="B780" s="305"/>
      <c r="C780" s="305"/>
      <c r="D780" s="305"/>
      <c r="E780" s="305"/>
      <c r="F780" s="305"/>
      <c r="G780" s="305"/>
      <c r="H780" s="305"/>
      <c r="I780" s="305"/>
      <c r="J780" s="305"/>
      <c r="K780" s="305"/>
      <c r="L780" s="305"/>
      <c r="M780" s="305"/>
      <c r="N780" s="305"/>
      <c r="O780" s="305"/>
      <c r="P780" s="305"/>
      <c r="Q780" s="305"/>
      <c r="R780" s="305"/>
      <c r="S780" s="305"/>
      <c r="T780" s="305"/>
      <c r="U780" s="305"/>
      <c r="V780" s="305"/>
      <c r="W780" s="305"/>
      <c r="X780" s="305"/>
      <c r="Y780" s="305"/>
      <c r="Z780" s="305"/>
    </row>
    <row r="781" spans="1:26" ht="15.75" customHeight="1" x14ac:dyDescent="0.25">
      <c r="A781" s="305"/>
      <c r="B781" s="305"/>
      <c r="C781" s="305"/>
      <c r="D781" s="305"/>
      <c r="E781" s="305"/>
      <c r="F781" s="305"/>
      <c r="G781" s="305"/>
      <c r="H781" s="305"/>
      <c r="I781" s="305"/>
      <c r="J781" s="305"/>
      <c r="K781" s="305"/>
      <c r="L781" s="305"/>
      <c r="M781" s="305"/>
      <c r="N781" s="305"/>
      <c r="O781" s="305"/>
      <c r="P781" s="305"/>
      <c r="Q781" s="305"/>
      <c r="R781" s="305"/>
      <c r="S781" s="305"/>
      <c r="T781" s="305"/>
      <c r="U781" s="305"/>
      <c r="V781" s="305"/>
      <c r="W781" s="305"/>
      <c r="X781" s="305"/>
      <c r="Y781" s="305"/>
      <c r="Z781" s="305"/>
    </row>
    <row r="782" spans="1:26" ht="15.75" customHeight="1" x14ac:dyDescent="0.25">
      <c r="A782" s="305"/>
      <c r="B782" s="305"/>
      <c r="C782" s="305"/>
      <c r="D782" s="305"/>
      <c r="E782" s="305"/>
      <c r="F782" s="305"/>
      <c r="G782" s="305"/>
      <c r="H782" s="305"/>
      <c r="I782" s="305"/>
      <c r="J782" s="305"/>
      <c r="K782" s="305"/>
      <c r="L782" s="305"/>
      <c r="M782" s="305"/>
      <c r="N782" s="305"/>
      <c r="O782" s="305"/>
      <c r="P782" s="305"/>
      <c r="Q782" s="305"/>
      <c r="R782" s="305"/>
      <c r="S782" s="305"/>
      <c r="T782" s="305"/>
      <c r="U782" s="305"/>
      <c r="V782" s="305"/>
      <c r="W782" s="305"/>
      <c r="X782" s="305"/>
      <c r="Y782" s="305"/>
      <c r="Z782" s="305"/>
    </row>
    <row r="783" spans="1:26" ht="15.75" customHeight="1" x14ac:dyDescent="0.25">
      <c r="A783" s="305"/>
      <c r="B783" s="305"/>
      <c r="C783" s="305"/>
      <c r="D783" s="305"/>
      <c r="E783" s="305"/>
      <c r="F783" s="305"/>
      <c r="G783" s="305"/>
      <c r="H783" s="305"/>
      <c r="I783" s="305"/>
      <c r="J783" s="305"/>
      <c r="K783" s="305"/>
      <c r="L783" s="305"/>
      <c r="M783" s="305"/>
      <c r="N783" s="305"/>
      <c r="O783" s="305"/>
      <c r="P783" s="305"/>
      <c r="Q783" s="305"/>
      <c r="R783" s="305"/>
      <c r="S783" s="305"/>
      <c r="T783" s="305"/>
      <c r="U783" s="305"/>
      <c r="V783" s="305"/>
      <c r="W783" s="305"/>
      <c r="X783" s="305"/>
      <c r="Y783" s="305"/>
      <c r="Z783" s="305"/>
    </row>
    <row r="784" spans="1:26" ht="15.75" customHeight="1" x14ac:dyDescent="0.25">
      <c r="A784" s="305"/>
      <c r="B784" s="305"/>
      <c r="C784" s="305"/>
      <c r="D784" s="305"/>
      <c r="E784" s="305"/>
      <c r="F784" s="305"/>
      <c r="G784" s="305"/>
      <c r="H784" s="305"/>
      <c r="I784" s="305"/>
      <c r="J784" s="305"/>
      <c r="K784" s="305"/>
      <c r="L784" s="305"/>
      <c r="M784" s="305"/>
      <c r="N784" s="305"/>
      <c r="O784" s="305"/>
      <c r="P784" s="305"/>
      <c r="Q784" s="305"/>
      <c r="R784" s="305"/>
      <c r="S784" s="305"/>
      <c r="T784" s="305"/>
      <c r="U784" s="305"/>
      <c r="V784" s="305"/>
      <c r="W784" s="305"/>
      <c r="X784" s="305"/>
      <c r="Y784" s="305"/>
      <c r="Z784" s="305"/>
    </row>
    <row r="785" spans="1:26" ht="15.75" customHeight="1" x14ac:dyDescent="0.25">
      <c r="A785" s="305"/>
      <c r="B785" s="305"/>
      <c r="C785" s="305"/>
      <c r="D785" s="305"/>
      <c r="E785" s="305"/>
      <c r="F785" s="305"/>
      <c r="G785" s="305"/>
      <c r="H785" s="305"/>
      <c r="I785" s="305"/>
      <c r="J785" s="305"/>
      <c r="K785" s="305"/>
      <c r="L785" s="305"/>
      <c r="M785" s="305"/>
      <c r="N785" s="305"/>
      <c r="O785" s="305"/>
      <c r="P785" s="305"/>
      <c r="Q785" s="305"/>
      <c r="R785" s="305"/>
      <c r="S785" s="305"/>
      <c r="T785" s="305"/>
      <c r="U785" s="305"/>
      <c r="V785" s="305"/>
      <c r="W785" s="305"/>
      <c r="X785" s="305"/>
      <c r="Y785" s="305"/>
      <c r="Z785" s="305"/>
    </row>
    <row r="786" spans="1:26" ht="15.75" customHeight="1" x14ac:dyDescent="0.25">
      <c r="A786" s="305"/>
      <c r="B786" s="305"/>
      <c r="C786" s="305"/>
      <c r="D786" s="305"/>
      <c r="E786" s="305"/>
      <c r="F786" s="305"/>
      <c r="G786" s="305"/>
      <c r="H786" s="305"/>
      <c r="I786" s="305"/>
      <c r="J786" s="305"/>
      <c r="K786" s="305"/>
      <c r="L786" s="305"/>
      <c r="M786" s="305"/>
      <c r="N786" s="305"/>
      <c r="O786" s="305"/>
      <c r="P786" s="305"/>
      <c r="Q786" s="305"/>
      <c r="R786" s="305"/>
      <c r="S786" s="305"/>
      <c r="T786" s="305"/>
      <c r="U786" s="305"/>
      <c r="V786" s="305"/>
      <c r="W786" s="305"/>
      <c r="X786" s="305"/>
      <c r="Y786" s="305"/>
      <c r="Z786" s="305"/>
    </row>
    <row r="787" spans="1:26" ht="15.75" customHeight="1" x14ac:dyDescent="0.25">
      <c r="A787" s="305"/>
      <c r="B787" s="305"/>
      <c r="C787" s="305"/>
      <c r="D787" s="305"/>
      <c r="E787" s="305"/>
      <c r="F787" s="305"/>
      <c r="G787" s="305"/>
      <c r="H787" s="305"/>
      <c r="I787" s="305"/>
      <c r="J787" s="305"/>
      <c r="K787" s="305"/>
      <c r="L787" s="305"/>
      <c r="M787" s="305"/>
      <c r="N787" s="305"/>
      <c r="O787" s="305"/>
      <c r="P787" s="305"/>
      <c r="Q787" s="305"/>
      <c r="R787" s="305"/>
      <c r="S787" s="305"/>
      <c r="T787" s="305"/>
      <c r="U787" s="305"/>
      <c r="V787" s="305"/>
      <c r="W787" s="305"/>
      <c r="X787" s="305"/>
      <c r="Y787" s="305"/>
      <c r="Z787" s="305"/>
    </row>
    <row r="788" spans="1:26" ht="15.75" customHeight="1" x14ac:dyDescent="0.25">
      <c r="A788" s="305"/>
      <c r="B788" s="305"/>
      <c r="C788" s="305"/>
      <c r="D788" s="305"/>
      <c r="E788" s="305"/>
      <c r="F788" s="305"/>
      <c r="G788" s="305"/>
      <c r="H788" s="305"/>
      <c r="I788" s="305"/>
      <c r="J788" s="305"/>
      <c r="K788" s="305"/>
      <c r="L788" s="305"/>
      <c r="M788" s="305"/>
      <c r="N788" s="305"/>
      <c r="O788" s="305"/>
      <c r="P788" s="305"/>
      <c r="Q788" s="305"/>
      <c r="R788" s="305"/>
      <c r="S788" s="305"/>
      <c r="T788" s="305"/>
      <c r="U788" s="305"/>
      <c r="V788" s="305"/>
      <c r="W788" s="305"/>
      <c r="X788" s="305"/>
      <c r="Y788" s="305"/>
      <c r="Z788" s="305"/>
    </row>
    <row r="789" spans="1:26" ht="15.75" customHeight="1" x14ac:dyDescent="0.25">
      <c r="A789" s="305"/>
      <c r="B789" s="305"/>
      <c r="C789" s="305"/>
      <c r="D789" s="305"/>
      <c r="E789" s="305"/>
      <c r="F789" s="305"/>
      <c r="G789" s="305"/>
      <c r="H789" s="305"/>
      <c r="I789" s="305"/>
      <c r="J789" s="305"/>
      <c r="K789" s="305"/>
      <c r="L789" s="305"/>
      <c r="M789" s="305"/>
      <c r="N789" s="305"/>
      <c r="O789" s="305"/>
      <c r="P789" s="305"/>
      <c r="Q789" s="305"/>
      <c r="R789" s="305"/>
      <c r="S789" s="305"/>
      <c r="T789" s="305"/>
      <c r="U789" s="305"/>
      <c r="V789" s="305"/>
      <c r="W789" s="305"/>
      <c r="X789" s="305"/>
      <c r="Y789" s="305"/>
      <c r="Z789" s="305"/>
    </row>
    <row r="790" spans="1:26" ht="15.75" customHeight="1" x14ac:dyDescent="0.25">
      <c r="A790" s="305"/>
      <c r="B790" s="305"/>
      <c r="C790" s="305"/>
      <c r="D790" s="305"/>
      <c r="E790" s="305"/>
      <c r="F790" s="305"/>
      <c r="G790" s="305"/>
      <c r="H790" s="305"/>
      <c r="I790" s="305"/>
      <c r="J790" s="305"/>
      <c r="K790" s="305"/>
      <c r="L790" s="305"/>
      <c r="M790" s="305"/>
      <c r="N790" s="305"/>
      <c r="O790" s="305"/>
      <c r="P790" s="305"/>
      <c r="Q790" s="305"/>
      <c r="R790" s="305"/>
      <c r="S790" s="305"/>
      <c r="T790" s="305"/>
      <c r="U790" s="305"/>
      <c r="V790" s="305"/>
      <c r="W790" s="305"/>
      <c r="X790" s="305"/>
      <c r="Y790" s="305"/>
      <c r="Z790" s="305"/>
    </row>
    <row r="791" spans="1:26" ht="15.75" customHeight="1" x14ac:dyDescent="0.25">
      <c r="A791" s="305"/>
      <c r="B791" s="305"/>
      <c r="C791" s="305"/>
      <c r="D791" s="305"/>
      <c r="E791" s="305"/>
      <c r="F791" s="305"/>
      <c r="G791" s="305"/>
      <c r="H791" s="305"/>
      <c r="I791" s="305"/>
      <c r="J791" s="305"/>
      <c r="K791" s="305"/>
      <c r="L791" s="305"/>
      <c r="M791" s="305"/>
      <c r="N791" s="305"/>
      <c r="O791" s="305"/>
      <c r="P791" s="305"/>
      <c r="Q791" s="305"/>
      <c r="R791" s="305"/>
      <c r="S791" s="305"/>
      <c r="T791" s="305"/>
      <c r="U791" s="305"/>
      <c r="V791" s="305"/>
      <c r="W791" s="305"/>
      <c r="X791" s="305"/>
      <c r="Y791" s="305"/>
      <c r="Z791" s="305"/>
    </row>
    <row r="792" spans="1:26" ht="15.75" customHeight="1" x14ac:dyDescent="0.25">
      <c r="A792" s="305"/>
      <c r="B792" s="305"/>
      <c r="C792" s="305"/>
      <c r="D792" s="305"/>
      <c r="E792" s="305"/>
      <c r="F792" s="305"/>
      <c r="G792" s="305"/>
      <c r="H792" s="305"/>
      <c r="I792" s="305"/>
      <c r="J792" s="305"/>
      <c r="K792" s="305"/>
      <c r="L792" s="305"/>
      <c r="M792" s="305"/>
      <c r="N792" s="305"/>
      <c r="O792" s="305"/>
      <c r="P792" s="305"/>
      <c r="Q792" s="305"/>
      <c r="R792" s="305"/>
      <c r="S792" s="305"/>
      <c r="T792" s="305"/>
      <c r="U792" s="305"/>
      <c r="V792" s="305"/>
      <c r="W792" s="305"/>
      <c r="X792" s="305"/>
      <c r="Y792" s="305"/>
      <c r="Z792" s="305"/>
    </row>
    <row r="793" spans="1:26" ht="15.75" customHeight="1" x14ac:dyDescent="0.25">
      <c r="A793" s="305"/>
      <c r="B793" s="305"/>
      <c r="C793" s="305"/>
      <c r="D793" s="305"/>
      <c r="E793" s="305"/>
      <c r="F793" s="305"/>
      <c r="G793" s="305"/>
      <c r="H793" s="305"/>
      <c r="I793" s="305"/>
      <c r="J793" s="305"/>
      <c r="K793" s="305"/>
      <c r="L793" s="305"/>
      <c r="M793" s="305"/>
      <c r="N793" s="305"/>
      <c r="O793" s="305"/>
      <c r="P793" s="305"/>
      <c r="Q793" s="305"/>
      <c r="R793" s="305"/>
      <c r="S793" s="305"/>
      <c r="T793" s="305"/>
      <c r="U793" s="305"/>
      <c r="V793" s="305"/>
      <c r="W793" s="305"/>
      <c r="X793" s="305"/>
      <c r="Y793" s="305"/>
      <c r="Z793" s="305"/>
    </row>
    <row r="794" spans="1:26" ht="15.75" customHeight="1" x14ac:dyDescent="0.25">
      <c r="A794" s="305"/>
      <c r="B794" s="305"/>
      <c r="C794" s="305"/>
      <c r="D794" s="305"/>
      <c r="E794" s="305"/>
      <c r="F794" s="305"/>
      <c r="G794" s="305"/>
      <c r="H794" s="305"/>
      <c r="I794" s="305"/>
      <c r="J794" s="305"/>
      <c r="K794" s="305"/>
      <c r="L794" s="305"/>
      <c r="M794" s="305"/>
      <c r="N794" s="305"/>
      <c r="O794" s="305"/>
      <c r="P794" s="305"/>
      <c r="Q794" s="305"/>
      <c r="R794" s="305"/>
      <c r="S794" s="305"/>
      <c r="T794" s="305"/>
      <c r="U794" s="305"/>
      <c r="V794" s="305"/>
      <c r="W794" s="305"/>
      <c r="X794" s="305"/>
      <c r="Y794" s="305"/>
      <c r="Z794" s="305"/>
    </row>
    <row r="795" spans="1:26" ht="15.75" customHeight="1" x14ac:dyDescent="0.25">
      <c r="A795" s="305"/>
      <c r="B795" s="305"/>
      <c r="C795" s="305"/>
      <c r="D795" s="305"/>
      <c r="E795" s="305"/>
      <c r="F795" s="305"/>
      <c r="G795" s="305"/>
      <c r="H795" s="305"/>
      <c r="I795" s="305"/>
      <c r="J795" s="305"/>
      <c r="K795" s="305"/>
      <c r="L795" s="305"/>
      <c r="M795" s="305"/>
      <c r="N795" s="305"/>
      <c r="O795" s="305"/>
      <c r="P795" s="305"/>
      <c r="Q795" s="305"/>
      <c r="R795" s="305"/>
      <c r="S795" s="305"/>
      <c r="T795" s="305"/>
      <c r="U795" s="305"/>
      <c r="V795" s="305"/>
      <c r="W795" s="305"/>
      <c r="X795" s="305"/>
      <c r="Y795" s="305"/>
      <c r="Z795" s="305"/>
    </row>
    <row r="796" spans="1:26" ht="15.75" customHeight="1" x14ac:dyDescent="0.25">
      <c r="A796" s="305"/>
      <c r="B796" s="305"/>
      <c r="C796" s="305"/>
      <c r="D796" s="305"/>
      <c r="E796" s="305"/>
      <c r="F796" s="305"/>
      <c r="G796" s="305"/>
      <c r="H796" s="305"/>
      <c r="I796" s="305"/>
      <c r="J796" s="305"/>
      <c r="K796" s="305"/>
      <c r="L796" s="305"/>
      <c r="M796" s="305"/>
      <c r="N796" s="305"/>
      <c r="O796" s="305"/>
      <c r="P796" s="305"/>
      <c r="Q796" s="305"/>
      <c r="R796" s="305"/>
      <c r="S796" s="305"/>
      <c r="T796" s="305"/>
      <c r="U796" s="305"/>
      <c r="V796" s="305"/>
      <c r="W796" s="305"/>
      <c r="X796" s="305"/>
      <c r="Y796" s="305"/>
      <c r="Z796" s="305"/>
    </row>
    <row r="797" spans="1:26" ht="15.75" customHeight="1" x14ac:dyDescent="0.25">
      <c r="A797" s="305"/>
      <c r="B797" s="305"/>
      <c r="C797" s="305"/>
      <c r="D797" s="305"/>
      <c r="E797" s="305"/>
      <c r="F797" s="305"/>
      <c r="G797" s="305"/>
      <c r="H797" s="305"/>
      <c r="I797" s="305"/>
      <c r="J797" s="305"/>
      <c r="K797" s="305"/>
      <c r="L797" s="305"/>
      <c r="M797" s="305"/>
      <c r="N797" s="305"/>
      <c r="O797" s="305"/>
      <c r="P797" s="305"/>
      <c r="Q797" s="305"/>
      <c r="R797" s="305"/>
      <c r="S797" s="305"/>
      <c r="T797" s="305"/>
      <c r="U797" s="305"/>
      <c r="V797" s="305"/>
      <c r="W797" s="305"/>
      <c r="X797" s="305"/>
      <c r="Y797" s="305"/>
      <c r="Z797" s="305"/>
    </row>
    <row r="798" spans="1:26" ht="15.75" customHeight="1" x14ac:dyDescent="0.25">
      <c r="A798" s="305"/>
      <c r="B798" s="305"/>
      <c r="C798" s="305"/>
      <c r="D798" s="305"/>
      <c r="E798" s="305"/>
      <c r="F798" s="305"/>
      <c r="G798" s="305"/>
      <c r="H798" s="305"/>
      <c r="I798" s="305"/>
      <c r="J798" s="305"/>
      <c r="K798" s="305"/>
      <c r="L798" s="305"/>
      <c r="M798" s="305"/>
      <c r="N798" s="305"/>
      <c r="O798" s="305"/>
      <c r="P798" s="305"/>
      <c r="Q798" s="305"/>
      <c r="R798" s="305"/>
      <c r="S798" s="305"/>
      <c r="T798" s="305"/>
      <c r="U798" s="305"/>
      <c r="V798" s="305"/>
      <c r="W798" s="305"/>
      <c r="X798" s="305"/>
      <c r="Y798" s="305"/>
      <c r="Z798" s="305"/>
    </row>
    <row r="799" spans="1:26" ht="15.75" customHeight="1" x14ac:dyDescent="0.25">
      <c r="A799" s="305"/>
      <c r="B799" s="305"/>
      <c r="C799" s="305"/>
      <c r="D799" s="305"/>
      <c r="E799" s="305"/>
      <c r="F799" s="305"/>
      <c r="G799" s="305"/>
      <c r="H799" s="305"/>
      <c r="I799" s="305"/>
      <c r="J799" s="305"/>
      <c r="K799" s="305"/>
      <c r="L799" s="305"/>
      <c r="M799" s="305"/>
      <c r="N799" s="305"/>
      <c r="O799" s="305"/>
      <c r="P799" s="305"/>
      <c r="Q799" s="305"/>
      <c r="R799" s="305"/>
      <c r="S799" s="305"/>
      <c r="T799" s="305"/>
      <c r="U799" s="305"/>
      <c r="V799" s="305"/>
      <c r="W799" s="305"/>
      <c r="X799" s="305"/>
      <c r="Y799" s="305"/>
      <c r="Z799" s="305"/>
    </row>
    <row r="800" spans="1:26" ht="15.75" customHeight="1" x14ac:dyDescent="0.25">
      <c r="A800" s="305"/>
      <c r="B800" s="305"/>
      <c r="C800" s="305"/>
      <c r="D800" s="305"/>
      <c r="E800" s="305"/>
      <c r="F800" s="305"/>
      <c r="G800" s="305"/>
      <c r="H800" s="305"/>
      <c r="I800" s="305"/>
      <c r="J800" s="305"/>
      <c r="K800" s="305"/>
      <c r="L800" s="305"/>
      <c r="M800" s="305"/>
      <c r="N800" s="305"/>
      <c r="O800" s="305"/>
      <c r="P800" s="305"/>
      <c r="Q800" s="305"/>
      <c r="R800" s="305"/>
      <c r="S800" s="305"/>
      <c r="T800" s="305"/>
      <c r="U800" s="305"/>
      <c r="V800" s="305"/>
      <c r="W800" s="305"/>
      <c r="X800" s="305"/>
      <c r="Y800" s="305"/>
      <c r="Z800" s="305"/>
    </row>
    <row r="801" spans="1:26" ht="15.75" customHeight="1" x14ac:dyDescent="0.25">
      <c r="A801" s="305"/>
      <c r="B801" s="305"/>
      <c r="C801" s="305"/>
      <c r="D801" s="305"/>
      <c r="E801" s="305"/>
      <c r="F801" s="305"/>
      <c r="G801" s="305"/>
      <c r="H801" s="305"/>
      <c r="I801" s="305"/>
      <c r="J801" s="305"/>
      <c r="K801" s="305"/>
      <c r="L801" s="305"/>
      <c r="M801" s="305"/>
      <c r="N801" s="305"/>
      <c r="O801" s="305"/>
      <c r="P801" s="305"/>
      <c r="Q801" s="305"/>
      <c r="R801" s="305"/>
      <c r="S801" s="305"/>
      <c r="T801" s="305"/>
      <c r="U801" s="305"/>
      <c r="V801" s="305"/>
      <c r="W801" s="305"/>
      <c r="X801" s="305"/>
      <c r="Y801" s="305"/>
      <c r="Z801" s="305"/>
    </row>
    <row r="802" spans="1:26" ht="15.75" customHeight="1" x14ac:dyDescent="0.25">
      <c r="A802" s="305"/>
      <c r="B802" s="305"/>
      <c r="C802" s="305"/>
      <c r="D802" s="305"/>
      <c r="E802" s="305"/>
      <c r="F802" s="305"/>
      <c r="G802" s="305"/>
      <c r="H802" s="305"/>
      <c r="I802" s="305"/>
      <c r="J802" s="305"/>
      <c r="K802" s="305"/>
      <c r="L802" s="305"/>
      <c r="M802" s="305"/>
      <c r="N802" s="305"/>
      <c r="O802" s="305"/>
      <c r="P802" s="305"/>
      <c r="Q802" s="305"/>
      <c r="R802" s="305"/>
      <c r="S802" s="305"/>
      <c r="T802" s="305"/>
      <c r="U802" s="305"/>
      <c r="V802" s="305"/>
      <c r="W802" s="305"/>
      <c r="X802" s="305"/>
      <c r="Y802" s="305"/>
      <c r="Z802" s="305"/>
    </row>
    <row r="803" spans="1:26" ht="15.75" customHeight="1" x14ac:dyDescent="0.25">
      <c r="A803" s="305"/>
      <c r="B803" s="305"/>
      <c r="C803" s="305"/>
      <c r="D803" s="305"/>
      <c r="E803" s="305"/>
      <c r="F803" s="305"/>
      <c r="G803" s="305"/>
      <c r="H803" s="305"/>
      <c r="I803" s="305"/>
      <c r="J803" s="305"/>
      <c r="K803" s="305"/>
      <c r="L803" s="305"/>
      <c r="M803" s="305"/>
      <c r="N803" s="305"/>
      <c r="O803" s="305"/>
      <c r="P803" s="305"/>
      <c r="Q803" s="305"/>
      <c r="R803" s="305"/>
      <c r="S803" s="305"/>
      <c r="T803" s="305"/>
      <c r="U803" s="305"/>
      <c r="V803" s="305"/>
      <c r="W803" s="305"/>
      <c r="X803" s="305"/>
      <c r="Y803" s="305"/>
      <c r="Z803" s="305"/>
    </row>
    <row r="804" spans="1:26" ht="15.75" customHeight="1" x14ac:dyDescent="0.25">
      <c r="A804" s="305"/>
      <c r="B804" s="305"/>
      <c r="C804" s="305"/>
      <c r="D804" s="305"/>
      <c r="E804" s="305"/>
      <c r="F804" s="305"/>
      <c r="G804" s="305"/>
      <c r="H804" s="305"/>
      <c r="I804" s="305"/>
      <c r="J804" s="305"/>
      <c r="K804" s="305"/>
      <c r="L804" s="305"/>
      <c r="M804" s="305"/>
      <c r="N804" s="305"/>
      <c r="O804" s="305"/>
      <c r="P804" s="305"/>
      <c r="Q804" s="305"/>
      <c r="R804" s="305"/>
      <c r="S804" s="305"/>
      <c r="T804" s="305"/>
      <c r="U804" s="305"/>
      <c r="V804" s="305"/>
      <c r="W804" s="305"/>
      <c r="X804" s="305"/>
      <c r="Y804" s="305"/>
      <c r="Z804" s="305"/>
    </row>
    <row r="805" spans="1:26" ht="15.75" customHeight="1" x14ac:dyDescent="0.25">
      <c r="A805" s="305"/>
      <c r="B805" s="305"/>
      <c r="C805" s="305"/>
      <c r="D805" s="305"/>
      <c r="E805" s="305"/>
      <c r="F805" s="305"/>
      <c r="G805" s="305"/>
      <c r="H805" s="305"/>
      <c r="I805" s="305"/>
      <c r="J805" s="305"/>
      <c r="K805" s="305"/>
      <c r="L805" s="305"/>
      <c r="M805" s="305"/>
      <c r="N805" s="305"/>
      <c r="O805" s="305"/>
      <c r="P805" s="305"/>
      <c r="Q805" s="305"/>
      <c r="R805" s="305"/>
      <c r="S805" s="305"/>
      <c r="T805" s="305"/>
      <c r="U805" s="305"/>
      <c r="V805" s="305"/>
      <c r="W805" s="305"/>
      <c r="X805" s="305"/>
      <c r="Y805" s="305"/>
      <c r="Z805" s="305"/>
    </row>
    <row r="806" spans="1:26" ht="15.75" customHeight="1" x14ac:dyDescent="0.25">
      <c r="A806" s="305"/>
      <c r="B806" s="305"/>
      <c r="C806" s="305"/>
      <c r="D806" s="305"/>
      <c r="E806" s="305"/>
      <c r="F806" s="305"/>
      <c r="G806" s="305"/>
      <c r="H806" s="305"/>
      <c r="I806" s="305"/>
      <c r="J806" s="305"/>
      <c r="K806" s="305"/>
      <c r="L806" s="305"/>
      <c r="M806" s="305"/>
      <c r="N806" s="305"/>
      <c r="O806" s="305"/>
      <c r="P806" s="305"/>
      <c r="Q806" s="305"/>
      <c r="R806" s="305"/>
      <c r="S806" s="305"/>
      <c r="T806" s="305"/>
      <c r="U806" s="305"/>
      <c r="V806" s="305"/>
      <c r="W806" s="305"/>
      <c r="X806" s="305"/>
      <c r="Y806" s="305"/>
      <c r="Z806" s="305"/>
    </row>
    <row r="807" spans="1:26" ht="15.75" customHeight="1" x14ac:dyDescent="0.25">
      <c r="A807" s="305"/>
      <c r="B807" s="305"/>
      <c r="C807" s="305"/>
      <c r="D807" s="305"/>
      <c r="E807" s="305"/>
      <c r="F807" s="305"/>
      <c r="G807" s="305"/>
      <c r="H807" s="305"/>
      <c r="I807" s="305"/>
      <c r="J807" s="305"/>
      <c r="K807" s="305"/>
      <c r="L807" s="305"/>
      <c r="M807" s="305"/>
      <c r="N807" s="305"/>
      <c r="O807" s="305"/>
      <c r="P807" s="305"/>
      <c r="Q807" s="305"/>
      <c r="R807" s="305"/>
      <c r="S807" s="305"/>
      <c r="T807" s="305"/>
      <c r="U807" s="305"/>
      <c r="V807" s="305"/>
      <c r="W807" s="305"/>
      <c r="X807" s="305"/>
      <c r="Y807" s="305"/>
      <c r="Z807" s="305"/>
    </row>
    <row r="808" spans="1:26" ht="15.75" customHeight="1" x14ac:dyDescent="0.25">
      <c r="A808" s="305"/>
      <c r="B808" s="305"/>
      <c r="C808" s="305"/>
      <c r="D808" s="305"/>
      <c r="E808" s="305"/>
      <c r="F808" s="305"/>
      <c r="G808" s="305"/>
      <c r="H808" s="305"/>
      <c r="I808" s="305"/>
      <c r="J808" s="305"/>
      <c r="K808" s="305"/>
      <c r="L808" s="305"/>
      <c r="M808" s="305"/>
      <c r="N808" s="305"/>
      <c r="O808" s="305"/>
      <c r="P808" s="305"/>
      <c r="Q808" s="305"/>
      <c r="R808" s="305"/>
      <c r="S808" s="305"/>
      <c r="T808" s="305"/>
      <c r="U808" s="305"/>
      <c r="V808" s="305"/>
      <c r="W808" s="305"/>
      <c r="X808" s="305"/>
      <c r="Y808" s="305"/>
      <c r="Z808" s="305"/>
    </row>
    <row r="809" spans="1:26" ht="15.75" customHeight="1" x14ac:dyDescent="0.25">
      <c r="A809" s="305"/>
      <c r="B809" s="305"/>
      <c r="C809" s="305"/>
      <c r="D809" s="305"/>
      <c r="E809" s="305"/>
      <c r="F809" s="305"/>
      <c r="G809" s="305"/>
      <c r="H809" s="305"/>
      <c r="I809" s="305"/>
      <c r="J809" s="305"/>
      <c r="K809" s="305"/>
      <c r="L809" s="305"/>
      <c r="M809" s="305"/>
      <c r="N809" s="305"/>
      <c r="O809" s="305"/>
      <c r="P809" s="305"/>
      <c r="Q809" s="305"/>
      <c r="R809" s="305"/>
      <c r="S809" s="305"/>
      <c r="T809" s="305"/>
      <c r="U809" s="305"/>
      <c r="V809" s="305"/>
      <c r="W809" s="305"/>
      <c r="X809" s="305"/>
      <c r="Y809" s="305"/>
      <c r="Z809" s="305"/>
    </row>
    <row r="810" spans="1:26" ht="15.75" customHeight="1" x14ac:dyDescent="0.25">
      <c r="A810" s="305"/>
      <c r="B810" s="305"/>
      <c r="C810" s="305"/>
      <c r="D810" s="305"/>
      <c r="E810" s="305"/>
      <c r="F810" s="305"/>
      <c r="G810" s="305"/>
      <c r="H810" s="305"/>
      <c r="I810" s="305"/>
      <c r="J810" s="305"/>
      <c r="K810" s="305"/>
      <c r="L810" s="305"/>
      <c r="M810" s="305"/>
      <c r="N810" s="305"/>
      <c r="O810" s="305"/>
      <c r="P810" s="305"/>
      <c r="Q810" s="305"/>
      <c r="R810" s="305"/>
      <c r="S810" s="305"/>
      <c r="T810" s="305"/>
      <c r="U810" s="305"/>
      <c r="V810" s="305"/>
      <c r="W810" s="305"/>
      <c r="X810" s="305"/>
      <c r="Y810" s="305"/>
      <c r="Z810" s="305"/>
    </row>
    <row r="811" spans="1:26" ht="15.75" customHeight="1" x14ac:dyDescent="0.25">
      <c r="A811" s="305"/>
      <c r="B811" s="305"/>
      <c r="C811" s="305"/>
      <c r="D811" s="305"/>
      <c r="E811" s="305"/>
      <c r="F811" s="305"/>
      <c r="G811" s="305"/>
      <c r="H811" s="305"/>
      <c r="I811" s="305"/>
      <c r="J811" s="305"/>
      <c r="K811" s="305"/>
      <c r="L811" s="305"/>
      <c r="M811" s="305"/>
      <c r="N811" s="305"/>
      <c r="O811" s="305"/>
      <c r="P811" s="305"/>
      <c r="Q811" s="305"/>
      <c r="R811" s="305"/>
      <c r="S811" s="305"/>
      <c r="T811" s="305"/>
      <c r="U811" s="305"/>
      <c r="V811" s="305"/>
      <c r="W811" s="305"/>
      <c r="X811" s="305"/>
      <c r="Y811" s="305"/>
      <c r="Z811" s="305"/>
    </row>
    <row r="812" spans="1:26" ht="15.75" customHeight="1" x14ac:dyDescent="0.25">
      <c r="A812" s="305"/>
      <c r="B812" s="305"/>
      <c r="C812" s="305"/>
      <c r="D812" s="305"/>
      <c r="E812" s="305"/>
      <c r="F812" s="305"/>
      <c r="G812" s="305"/>
      <c r="H812" s="305"/>
      <c r="I812" s="305"/>
      <c r="J812" s="305"/>
      <c r="K812" s="305"/>
      <c r="L812" s="305"/>
      <c r="M812" s="305"/>
      <c r="N812" s="305"/>
      <c r="O812" s="305"/>
      <c r="P812" s="305"/>
      <c r="Q812" s="305"/>
      <c r="R812" s="305"/>
      <c r="S812" s="305"/>
      <c r="T812" s="305"/>
      <c r="U812" s="305"/>
      <c r="V812" s="305"/>
      <c r="W812" s="305"/>
      <c r="X812" s="305"/>
      <c r="Y812" s="305"/>
      <c r="Z812" s="305"/>
    </row>
    <row r="813" spans="1:26" ht="15.75" customHeight="1" x14ac:dyDescent="0.25">
      <c r="A813" s="305"/>
      <c r="B813" s="305"/>
      <c r="C813" s="305"/>
      <c r="D813" s="305"/>
      <c r="E813" s="305"/>
      <c r="F813" s="305"/>
      <c r="G813" s="305"/>
      <c r="H813" s="305"/>
      <c r="I813" s="305"/>
      <c r="J813" s="305"/>
      <c r="K813" s="305"/>
      <c r="L813" s="305"/>
      <c r="M813" s="305"/>
      <c r="N813" s="305"/>
      <c r="O813" s="305"/>
      <c r="P813" s="305"/>
      <c r="Q813" s="305"/>
      <c r="R813" s="305"/>
      <c r="S813" s="305"/>
      <c r="T813" s="305"/>
      <c r="U813" s="305"/>
      <c r="V813" s="305"/>
      <c r="W813" s="305"/>
      <c r="X813" s="305"/>
      <c r="Y813" s="305"/>
      <c r="Z813" s="305"/>
    </row>
    <row r="814" spans="1:26" ht="15.75" customHeight="1" x14ac:dyDescent="0.25">
      <c r="A814" s="305"/>
      <c r="B814" s="305"/>
      <c r="C814" s="305"/>
      <c r="D814" s="305"/>
      <c r="E814" s="305"/>
      <c r="F814" s="305"/>
      <c r="G814" s="305"/>
      <c r="H814" s="305"/>
      <c r="I814" s="305"/>
      <c r="J814" s="305"/>
      <c r="K814" s="305"/>
      <c r="L814" s="305"/>
      <c r="M814" s="305"/>
      <c r="N814" s="305"/>
      <c r="O814" s="305"/>
      <c r="P814" s="305"/>
      <c r="Q814" s="305"/>
      <c r="R814" s="305"/>
      <c r="S814" s="305"/>
      <c r="T814" s="305"/>
      <c r="U814" s="305"/>
      <c r="V814" s="305"/>
      <c r="W814" s="305"/>
      <c r="X814" s="305"/>
      <c r="Y814" s="305"/>
      <c r="Z814" s="305"/>
    </row>
    <row r="815" spans="1:26" ht="15.75" customHeight="1" x14ac:dyDescent="0.25">
      <c r="A815" s="305"/>
      <c r="B815" s="305"/>
      <c r="C815" s="305"/>
      <c r="D815" s="305"/>
      <c r="E815" s="305"/>
      <c r="F815" s="305"/>
      <c r="G815" s="305"/>
      <c r="H815" s="305"/>
      <c r="I815" s="305"/>
      <c r="J815" s="305"/>
      <c r="K815" s="305"/>
      <c r="L815" s="305"/>
      <c r="M815" s="305"/>
      <c r="N815" s="305"/>
      <c r="O815" s="305"/>
      <c r="P815" s="305"/>
      <c r="Q815" s="305"/>
      <c r="R815" s="305"/>
      <c r="S815" s="305"/>
      <c r="T815" s="305"/>
      <c r="U815" s="305"/>
      <c r="V815" s="305"/>
      <c r="W815" s="305"/>
      <c r="X815" s="305"/>
      <c r="Y815" s="305"/>
      <c r="Z815" s="305"/>
    </row>
    <row r="816" spans="1:26" ht="15.75" customHeight="1" x14ac:dyDescent="0.25">
      <c r="A816" s="305"/>
      <c r="B816" s="305"/>
      <c r="C816" s="305"/>
      <c r="D816" s="305"/>
      <c r="E816" s="305"/>
      <c r="F816" s="305"/>
      <c r="G816" s="305"/>
      <c r="H816" s="305"/>
      <c r="I816" s="305"/>
      <c r="J816" s="305"/>
      <c r="K816" s="305"/>
      <c r="L816" s="305"/>
      <c r="M816" s="305"/>
      <c r="N816" s="305"/>
      <c r="O816" s="305"/>
      <c r="P816" s="305"/>
      <c r="Q816" s="305"/>
      <c r="R816" s="305"/>
      <c r="S816" s="305"/>
      <c r="T816" s="305"/>
      <c r="U816" s="305"/>
      <c r="V816" s="305"/>
      <c r="W816" s="305"/>
      <c r="X816" s="305"/>
      <c r="Y816" s="305"/>
      <c r="Z816" s="305"/>
    </row>
    <row r="817" spans="1:26" ht="15.75" customHeight="1" x14ac:dyDescent="0.25">
      <c r="A817" s="305"/>
      <c r="B817" s="305"/>
      <c r="C817" s="305"/>
      <c r="D817" s="305"/>
      <c r="E817" s="305"/>
      <c r="F817" s="305"/>
      <c r="G817" s="305"/>
      <c r="H817" s="305"/>
      <c r="I817" s="305"/>
      <c r="J817" s="305"/>
      <c r="K817" s="305"/>
      <c r="L817" s="305"/>
      <c r="M817" s="305"/>
      <c r="N817" s="305"/>
      <c r="O817" s="305"/>
      <c r="P817" s="305"/>
      <c r="Q817" s="305"/>
      <c r="R817" s="305"/>
      <c r="S817" s="305"/>
      <c r="T817" s="305"/>
      <c r="U817" s="305"/>
      <c r="V817" s="305"/>
      <c r="W817" s="305"/>
      <c r="X817" s="305"/>
      <c r="Y817" s="305"/>
      <c r="Z817" s="305"/>
    </row>
    <row r="818" spans="1:26" ht="15.75" customHeight="1" x14ac:dyDescent="0.25">
      <c r="A818" s="305"/>
      <c r="B818" s="305"/>
      <c r="C818" s="305"/>
      <c r="D818" s="305"/>
      <c r="E818" s="305"/>
      <c r="F818" s="305"/>
      <c r="G818" s="305"/>
      <c r="H818" s="305"/>
      <c r="I818" s="305"/>
      <c r="J818" s="305"/>
      <c r="K818" s="305"/>
      <c r="L818" s="305"/>
      <c r="M818" s="305"/>
      <c r="N818" s="305"/>
      <c r="O818" s="305"/>
      <c r="P818" s="305"/>
      <c r="Q818" s="305"/>
      <c r="R818" s="305"/>
      <c r="S818" s="305"/>
      <c r="T818" s="305"/>
      <c r="U818" s="305"/>
      <c r="V818" s="305"/>
      <c r="W818" s="305"/>
      <c r="X818" s="305"/>
      <c r="Y818" s="305"/>
      <c r="Z818" s="305"/>
    </row>
    <row r="819" spans="1:26" ht="15.75" customHeight="1" x14ac:dyDescent="0.25">
      <c r="A819" s="305"/>
      <c r="B819" s="305"/>
      <c r="C819" s="305"/>
      <c r="D819" s="305"/>
      <c r="E819" s="305"/>
      <c r="F819" s="305"/>
      <c r="G819" s="305"/>
      <c r="H819" s="305"/>
      <c r="I819" s="305"/>
      <c r="J819" s="305"/>
      <c r="K819" s="305"/>
      <c r="L819" s="305"/>
      <c r="M819" s="305"/>
      <c r="N819" s="305"/>
      <c r="O819" s="305"/>
      <c r="P819" s="305"/>
      <c r="Q819" s="305"/>
      <c r="R819" s="305"/>
      <c r="S819" s="305"/>
      <c r="T819" s="305"/>
      <c r="U819" s="305"/>
      <c r="V819" s="305"/>
      <c r="W819" s="305"/>
      <c r="X819" s="305"/>
      <c r="Y819" s="305"/>
      <c r="Z819" s="305"/>
    </row>
    <row r="820" spans="1:26" ht="15.75" customHeight="1" x14ac:dyDescent="0.25">
      <c r="A820" s="305"/>
      <c r="B820" s="305"/>
      <c r="C820" s="305"/>
      <c r="D820" s="305"/>
      <c r="E820" s="305"/>
      <c r="F820" s="305"/>
      <c r="G820" s="305"/>
      <c r="H820" s="305"/>
      <c r="I820" s="305"/>
      <c r="J820" s="305"/>
      <c r="K820" s="305"/>
      <c r="L820" s="305"/>
      <c r="M820" s="305"/>
      <c r="N820" s="305"/>
      <c r="O820" s="305"/>
      <c r="P820" s="305"/>
      <c r="Q820" s="305"/>
      <c r="R820" s="305"/>
      <c r="S820" s="305"/>
      <c r="T820" s="305"/>
      <c r="U820" s="305"/>
      <c r="V820" s="305"/>
      <c r="W820" s="305"/>
      <c r="X820" s="305"/>
      <c r="Y820" s="305"/>
      <c r="Z820" s="305"/>
    </row>
    <row r="821" spans="1:26" ht="15.75" customHeight="1" x14ac:dyDescent="0.25">
      <c r="A821" s="305"/>
      <c r="B821" s="305"/>
      <c r="C821" s="305"/>
      <c r="D821" s="305"/>
      <c r="E821" s="305"/>
      <c r="F821" s="305"/>
      <c r="G821" s="305"/>
      <c r="H821" s="305"/>
      <c r="I821" s="305"/>
      <c r="J821" s="305"/>
      <c r="K821" s="305"/>
      <c r="L821" s="305"/>
      <c r="M821" s="305"/>
      <c r="N821" s="305"/>
      <c r="O821" s="305"/>
      <c r="P821" s="305"/>
      <c r="Q821" s="305"/>
      <c r="R821" s="305"/>
      <c r="S821" s="305"/>
      <c r="T821" s="305"/>
      <c r="U821" s="305"/>
      <c r="V821" s="305"/>
      <c r="W821" s="305"/>
      <c r="X821" s="305"/>
      <c r="Y821" s="305"/>
      <c r="Z821" s="305"/>
    </row>
    <row r="822" spans="1:26" ht="15.75" customHeight="1" x14ac:dyDescent="0.25">
      <c r="A822" s="305"/>
      <c r="B822" s="305"/>
      <c r="C822" s="305"/>
      <c r="D822" s="305"/>
      <c r="E822" s="305"/>
      <c r="F822" s="305"/>
      <c r="G822" s="305"/>
      <c r="H822" s="305"/>
      <c r="I822" s="305"/>
      <c r="J822" s="305"/>
      <c r="K822" s="305"/>
      <c r="L822" s="305"/>
      <c r="M822" s="305"/>
      <c r="N822" s="305"/>
      <c r="O822" s="305"/>
      <c r="P822" s="305"/>
      <c r="Q822" s="305"/>
      <c r="R822" s="305"/>
      <c r="S822" s="305"/>
      <c r="T822" s="305"/>
      <c r="U822" s="305"/>
      <c r="V822" s="305"/>
      <c r="W822" s="305"/>
      <c r="X822" s="305"/>
      <c r="Y822" s="305"/>
      <c r="Z822" s="305"/>
    </row>
    <row r="823" spans="1:26" ht="15.75" customHeight="1" x14ac:dyDescent="0.25">
      <c r="A823" s="305"/>
      <c r="B823" s="305"/>
      <c r="C823" s="305"/>
      <c r="D823" s="305"/>
      <c r="E823" s="305"/>
      <c r="F823" s="305"/>
      <c r="G823" s="305"/>
      <c r="H823" s="305"/>
      <c r="I823" s="305"/>
      <c r="J823" s="305"/>
      <c r="K823" s="305"/>
      <c r="L823" s="305"/>
      <c r="M823" s="305"/>
      <c r="N823" s="305"/>
      <c r="O823" s="305"/>
      <c r="P823" s="305"/>
      <c r="Q823" s="305"/>
      <c r="R823" s="305"/>
      <c r="S823" s="305"/>
      <c r="T823" s="305"/>
      <c r="U823" s="305"/>
      <c r="V823" s="305"/>
      <c r="W823" s="305"/>
      <c r="X823" s="305"/>
      <c r="Y823" s="305"/>
      <c r="Z823" s="305"/>
    </row>
    <row r="824" spans="1:26" ht="15.75" customHeight="1" x14ac:dyDescent="0.25">
      <c r="A824" s="305"/>
      <c r="B824" s="305"/>
      <c r="C824" s="305"/>
      <c r="D824" s="305"/>
      <c r="E824" s="305"/>
      <c r="F824" s="305"/>
      <c r="G824" s="305"/>
      <c r="H824" s="305"/>
      <c r="I824" s="305"/>
      <c r="J824" s="305"/>
      <c r="K824" s="305"/>
      <c r="L824" s="305"/>
      <c r="M824" s="305"/>
      <c r="N824" s="305"/>
      <c r="O824" s="305"/>
      <c r="P824" s="305"/>
      <c r="Q824" s="305"/>
      <c r="R824" s="305"/>
      <c r="S824" s="305"/>
      <c r="T824" s="305"/>
      <c r="U824" s="305"/>
      <c r="V824" s="305"/>
      <c r="W824" s="305"/>
      <c r="X824" s="305"/>
      <c r="Y824" s="305"/>
      <c r="Z824" s="305"/>
    </row>
    <row r="825" spans="1:26" ht="15.75" customHeight="1" x14ac:dyDescent="0.25">
      <c r="A825" s="305"/>
      <c r="B825" s="305"/>
      <c r="C825" s="305"/>
      <c r="D825" s="305"/>
      <c r="E825" s="305"/>
      <c r="F825" s="305"/>
      <c r="G825" s="305"/>
      <c r="H825" s="305"/>
      <c r="I825" s="305"/>
      <c r="J825" s="305"/>
      <c r="K825" s="305"/>
      <c r="L825" s="305"/>
      <c r="M825" s="305"/>
      <c r="N825" s="305"/>
      <c r="O825" s="305"/>
      <c r="P825" s="305"/>
      <c r="Q825" s="305"/>
      <c r="R825" s="305"/>
      <c r="S825" s="305"/>
      <c r="T825" s="305"/>
      <c r="U825" s="305"/>
      <c r="V825" s="305"/>
      <c r="W825" s="305"/>
      <c r="X825" s="305"/>
      <c r="Y825" s="305"/>
      <c r="Z825" s="305"/>
    </row>
    <row r="826" spans="1:26" ht="15.75" customHeight="1" x14ac:dyDescent="0.25">
      <c r="A826" s="305"/>
      <c r="B826" s="305"/>
      <c r="C826" s="305"/>
      <c r="D826" s="305"/>
      <c r="E826" s="305"/>
      <c r="F826" s="305"/>
      <c r="G826" s="305"/>
      <c r="H826" s="305"/>
      <c r="I826" s="305"/>
      <c r="J826" s="305"/>
      <c r="K826" s="305"/>
      <c r="L826" s="305"/>
      <c r="M826" s="305"/>
      <c r="N826" s="305"/>
      <c r="O826" s="305"/>
      <c r="P826" s="305"/>
      <c r="Q826" s="305"/>
      <c r="R826" s="305"/>
      <c r="S826" s="305"/>
      <c r="T826" s="305"/>
      <c r="U826" s="305"/>
      <c r="V826" s="305"/>
      <c r="W826" s="305"/>
      <c r="X826" s="305"/>
      <c r="Y826" s="305"/>
      <c r="Z826" s="305"/>
    </row>
    <row r="827" spans="1:26" ht="15.75" customHeight="1" x14ac:dyDescent="0.25">
      <c r="A827" s="305"/>
      <c r="B827" s="305"/>
      <c r="C827" s="305"/>
      <c r="D827" s="305"/>
      <c r="E827" s="305"/>
      <c r="F827" s="305"/>
      <c r="G827" s="305"/>
      <c r="H827" s="305"/>
      <c r="I827" s="305"/>
      <c r="J827" s="305"/>
      <c r="K827" s="305"/>
      <c r="L827" s="305"/>
      <c r="M827" s="305"/>
      <c r="N827" s="305"/>
      <c r="O827" s="305"/>
      <c r="P827" s="305"/>
      <c r="Q827" s="305"/>
      <c r="R827" s="305"/>
      <c r="S827" s="305"/>
      <c r="T827" s="305"/>
      <c r="U827" s="305"/>
      <c r="V827" s="305"/>
      <c r="W827" s="305"/>
      <c r="X827" s="305"/>
      <c r="Y827" s="305"/>
      <c r="Z827" s="305"/>
    </row>
    <row r="828" spans="1:26" ht="15.75" customHeight="1" x14ac:dyDescent="0.25">
      <c r="A828" s="305"/>
      <c r="B828" s="305"/>
      <c r="C828" s="305"/>
      <c r="D828" s="305"/>
      <c r="E828" s="305"/>
      <c r="F828" s="305"/>
      <c r="G828" s="305"/>
      <c r="H828" s="305"/>
      <c r="I828" s="305"/>
      <c r="J828" s="305"/>
      <c r="K828" s="305"/>
      <c r="L828" s="305"/>
      <c r="M828" s="305"/>
      <c r="N828" s="305"/>
      <c r="O828" s="305"/>
      <c r="P828" s="305"/>
      <c r="Q828" s="305"/>
      <c r="R828" s="305"/>
      <c r="S828" s="305"/>
      <c r="T828" s="305"/>
      <c r="U828" s="305"/>
      <c r="V828" s="305"/>
      <c r="W828" s="305"/>
      <c r="X828" s="305"/>
      <c r="Y828" s="305"/>
      <c r="Z828" s="305"/>
    </row>
    <row r="829" spans="1:26" ht="15.75" customHeight="1" x14ac:dyDescent="0.25">
      <c r="A829" s="305"/>
      <c r="B829" s="305"/>
      <c r="C829" s="305"/>
      <c r="D829" s="305"/>
      <c r="E829" s="305"/>
      <c r="F829" s="305"/>
      <c r="G829" s="305"/>
      <c r="H829" s="305"/>
      <c r="I829" s="305"/>
      <c r="J829" s="305"/>
      <c r="K829" s="305"/>
      <c r="L829" s="305"/>
      <c r="M829" s="305"/>
      <c r="N829" s="305"/>
      <c r="O829" s="305"/>
      <c r="P829" s="305"/>
      <c r="Q829" s="305"/>
      <c r="R829" s="305"/>
      <c r="S829" s="305"/>
      <c r="T829" s="305"/>
      <c r="U829" s="305"/>
      <c r="V829" s="305"/>
      <c r="W829" s="305"/>
      <c r="X829" s="305"/>
      <c r="Y829" s="305"/>
      <c r="Z829" s="305"/>
    </row>
    <row r="830" spans="1:26" ht="15.75" customHeight="1" x14ac:dyDescent="0.25">
      <c r="A830" s="305"/>
      <c r="B830" s="305"/>
      <c r="C830" s="305"/>
      <c r="D830" s="305"/>
      <c r="E830" s="305"/>
      <c r="F830" s="305"/>
      <c r="G830" s="305"/>
      <c r="H830" s="305"/>
      <c r="I830" s="305"/>
      <c r="J830" s="305"/>
      <c r="K830" s="305"/>
      <c r="L830" s="305"/>
      <c r="M830" s="305"/>
      <c r="N830" s="305"/>
      <c r="O830" s="305"/>
      <c r="P830" s="305"/>
      <c r="Q830" s="305"/>
      <c r="R830" s="305"/>
      <c r="S830" s="305"/>
      <c r="T830" s="305"/>
      <c r="U830" s="305"/>
      <c r="V830" s="305"/>
      <c r="W830" s="305"/>
      <c r="X830" s="305"/>
      <c r="Y830" s="305"/>
      <c r="Z830" s="305"/>
    </row>
    <row r="831" spans="1:26" ht="15.75" customHeight="1" x14ac:dyDescent="0.25">
      <c r="A831" s="305"/>
      <c r="B831" s="305"/>
      <c r="C831" s="305"/>
      <c r="D831" s="305"/>
      <c r="E831" s="305"/>
      <c r="F831" s="305"/>
      <c r="G831" s="305"/>
      <c r="H831" s="305"/>
      <c r="I831" s="305"/>
      <c r="J831" s="305"/>
      <c r="K831" s="305"/>
      <c r="L831" s="305"/>
      <c r="M831" s="305"/>
      <c r="N831" s="305"/>
      <c r="O831" s="305"/>
      <c r="P831" s="305"/>
      <c r="Q831" s="305"/>
      <c r="R831" s="305"/>
      <c r="S831" s="305"/>
      <c r="T831" s="305"/>
      <c r="U831" s="305"/>
      <c r="V831" s="305"/>
      <c r="W831" s="305"/>
      <c r="X831" s="305"/>
      <c r="Y831" s="305"/>
      <c r="Z831" s="305"/>
    </row>
    <row r="832" spans="1:26" ht="15.75" customHeight="1" x14ac:dyDescent="0.25">
      <c r="A832" s="305"/>
      <c r="B832" s="305"/>
      <c r="C832" s="305"/>
      <c r="D832" s="305"/>
      <c r="E832" s="305"/>
      <c r="F832" s="305"/>
      <c r="G832" s="305"/>
      <c r="H832" s="305"/>
      <c r="I832" s="305"/>
      <c r="J832" s="305"/>
      <c r="K832" s="305"/>
      <c r="L832" s="305"/>
      <c r="M832" s="305"/>
      <c r="N832" s="305"/>
      <c r="O832" s="305"/>
      <c r="P832" s="305"/>
      <c r="Q832" s="305"/>
      <c r="R832" s="305"/>
      <c r="S832" s="305"/>
      <c r="T832" s="305"/>
      <c r="U832" s="305"/>
      <c r="V832" s="305"/>
      <c r="W832" s="305"/>
      <c r="X832" s="305"/>
      <c r="Y832" s="305"/>
      <c r="Z832" s="305"/>
    </row>
    <row r="833" spans="1:26" ht="15.75" customHeight="1" x14ac:dyDescent="0.25">
      <c r="A833" s="305"/>
      <c r="B833" s="305"/>
      <c r="C833" s="305"/>
      <c r="D833" s="305"/>
      <c r="E833" s="305"/>
      <c r="F833" s="305"/>
      <c r="G833" s="305"/>
      <c r="H833" s="305"/>
      <c r="I833" s="305"/>
      <c r="J833" s="305"/>
      <c r="K833" s="305"/>
      <c r="L833" s="305"/>
      <c r="M833" s="305"/>
      <c r="N833" s="305"/>
      <c r="O833" s="305"/>
      <c r="P833" s="305"/>
      <c r="Q833" s="305"/>
      <c r="R833" s="305"/>
      <c r="S833" s="305"/>
      <c r="T833" s="305"/>
      <c r="U833" s="305"/>
      <c r="V833" s="305"/>
      <c r="W833" s="305"/>
      <c r="X833" s="305"/>
      <c r="Y833" s="305"/>
      <c r="Z833" s="305"/>
    </row>
    <row r="834" spans="1:26" ht="15.75" customHeight="1" x14ac:dyDescent="0.25">
      <c r="A834" s="305"/>
      <c r="B834" s="305"/>
      <c r="C834" s="305"/>
      <c r="D834" s="305"/>
      <c r="E834" s="305"/>
      <c r="F834" s="305"/>
      <c r="G834" s="305"/>
      <c r="H834" s="305"/>
      <c r="I834" s="305"/>
      <c r="J834" s="305"/>
      <c r="K834" s="305"/>
      <c r="L834" s="305"/>
      <c r="M834" s="305"/>
      <c r="N834" s="305"/>
      <c r="O834" s="305"/>
      <c r="P834" s="305"/>
      <c r="Q834" s="305"/>
      <c r="R834" s="305"/>
      <c r="S834" s="305"/>
      <c r="T834" s="305"/>
      <c r="U834" s="305"/>
      <c r="V834" s="305"/>
      <c r="W834" s="305"/>
      <c r="X834" s="305"/>
      <c r="Y834" s="305"/>
      <c r="Z834" s="305"/>
    </row>
    <row r="835" spans="1:26" ht="15.75" customHeight="1" x14ac:dyDescent="0.25">
      <c r="A835" s="305"/>
      <c r="B835" s="305"/>
      <c r="C835" s="305"/>
      <c r="D835" s="305"/>
      <c r="E835" s="305"/>
      <c r="F835" s="305"/>
      <c r="G835" s="305"/>
      <c r="H835" s="305"/>
      <c r="I835" s="305"/>
      <c r="J835" s="305"/>
      <c r="K835" s="305"/>
      <c r="L835" s="305"/>
      <c r="M835" s="305"/>
      <c r="N835" s="305"/>
      <c r="O835" s="305"/>
      <c r="P835" s="305"/>
      <c r="Q835" s="305"/>
      <c r="R835" s="305"/>
      <c r="S835" s="305"/>
      <c r="T835" s="305"/>
      <c r="U835" s="305"/>
      <c r="V835" s="305"/>
      <c r="W835" s="305"/>
      <c r="X835" s="305"/>
      <c r="Y835" s="305"/>
      <c r="Z835" s="305"/>
    </row>
    <row r="836" spans="1:26" ht="15.75" customHeight="1" x14ac:dyDescent="0.25">
      <c r="A836" s="305"/>
      <c r="B836" s="305"/>
      <c r="C836" s="305"/>
      <c r="D836" s="305"/>
      <c r="E836" s="305"/>
      <c r="F836" s="305"/>
      <c r="G836" s="305"/>
      <c r="H836" s="305"/>
      <c r="I836" s="305"/>
      <c r="J836" s="305"/>
      <c r="K836" s="305"/>
      <c r="L836" s="305"/>
      <c r="M836" s="305"/>
      <c r="N836" s="305"/>
      <c r="O836" s="305"/>
      <c r="P836" s="305"/>
      <c r="Q836" s="305"/>
      <c r="R836" s="305"/>
      <c r="S836" s="305"/>
      <c r="T836" s="305"/>
      <c r="U836" s="305"/>
      <c r="V836" s="305"/>
      <c r="W836" s="305"/>
      <c r="X836" s="305"/>
      <c r="Y836" s="305"/>
      <c r="Z836" s="305"/>
    </row>
    <row r="837" spans="1:26" ht="15.75" customHeight="1" x14ac:dyDescent="0.25">
      <c r="A837" s="305"/>
      <c r="B837" s="305"/>
      <c r="C837" s="305"/>
      <c r="D837" s="305"/>
      <c r="E837" s="305"/>
      <c r="F837" s="305"/>
      <c r="G837" s="305"/>
      <c r="H837" s="305"/>
      <c r="I837" s="305"/>
      <c r="J837" s="305"/>
      <c r="K837" s="305"/>
      <c r="L837" s="305"/>
      <c r="M837" s="305"/>
      <c r="N837" s="305"/>
      <c r="O837" s="305"/>
      <c r="P837" s="305"/>
      <c r="Q837" s="305"/>
      <c r="R837" s="305"/>
      <c r="S837" s="305"/>
      <c r="T837" s="305"/>
      <c r="U837" s="305"/>
      <c r="V837" s="305"/>
      <c r="W837" s="305"/>
      <c r="X837" s="305"/>
      <c r="Y837" s="305"/>
      <c r="Z837" s="305"/>
    </row>
    <row r="838" spans="1:26" ht="15.75" customHeight="1" x14ac:dyDescent="0.25">
      <c r="A838" s="305"/>
      <c r="B838" s="305"/>
      <c r="C838" s="305"/>
      <c r="D838" s="305"/>
      <c r="E838" s="305"/>
      <c r="F838" s="305"/>
      <c r="G838" s="305"/>
      <c r="H838" s="305"/>
      <c r="I838" s="305"/>
      <c r="J838" s="305"/>
      <c r="K838" s="305"/>
      <c r="L838" s="305"/>
      <c r="M838" s="305"/>
      <c r="N838" s="305"/>
      <c r="O838" s="305"/>
      <c r="P838" s="305"/>
      <c r="Q838" s="305"/>
      <c r="R838" s="305"/>
      <c r="S838" s="305"/>
      <c r="T838" s="305"/>
      <c r="U838" s="305"/>
      <c r="V838" s="305"/>
      <c r="W838" s="305"/>
      <c r="X838" s="305"/>
      <c r="Y838" s="305"/>
      <c r="Z838" s="305"/>
    </row>
    <row r="839" spans="1:26" ht="15.75" customHeight="1" x14ac:dyDescent="0.25">
      <c r="A839" s="305"/>
      <c r="B839" s="305"/>
      <c r="C839" s="305"/>
      <c r="D839" s="305"/>
      <c r="E839" s="305"/>
      <c r="F839" s="305"/>
      <c r="G839" s="305"/>
      <c r="H839" s="305"/>
      <c r="I839" s="305"/>
      <c r="J839" s="305"/>
      <c r="K839" s="305"/>
      <c r="L839" s="305"/>
      <c r="M839" s="305"/>
      <c r="N839" s="305"/>
      <c r="O839" s="305"/>
      <c r="P839" s="305"/>
      <c r="Q839" s="305"/>
      <c r="R839" s="305"/>
      <c r="S839" s="305"/>
      <c r="T839" s="305"/>
      <c r="U839" s="305"/>
      <c r="V839" s="305"/>
      <c r="W839" s="305"/>
      <c r="X839" s="305"/>
      <c r="Y839" s="305"/>
      <c r="Z839" s="305"/>
    </row>
    <row r="840" spans="1:26" ht="15.75" customHeight="1" x14ac:dyDescent="0.25">
      <c r="A840" s="305"/>
      <c r="B840" s="305"/>
      <c r="C840" s="305"/>
      <c r="D840" s="305"/>
      <c r="E840" s="305"/>
      <c r="F840" s="305"/>
      <c r="G840" s="305"/>
      <c r="H840" s="305"/>
      <c r="I840" s="305"/>
      <c r="J840" s="305"/>
      <c r="K840" s="305"/>
      <c r="L840" s="305"/>
      <c r="M840" s="305"/>
      <c r="N840" s="305"/>
      <c r="O840" s="305"/>
      <c r="P840" s="305"/>
      <c r="Q840" s="305"/>
      <c r="R840" s="305"/>
      <c r="S840" s="305"/>
      <c r="T840" s="305"/>
      <c r="U840" s="305"/>
      <c r="V840" s="305"/>
      <c r="W840" s="305"/>
      <c r="X840" s="305"/>
      <c r="Y840" s="305"/>
      <c r="Z840" s="305"/>
    </row>
    <row r="841" spans="1:26" ht="15.75" customHeight="1" x14ac:dyDescent="0.25">
      <c r="A841" s="305"/>
      <c r="B841" s="305"/>
      <c r="C841" s="305"/>
      <c r="D841" s="305"/>
      <c r="E841" s="305"/>
      <c r="F841" s="305"/>
      <c r="G841" s="305"/>
      <c r="H841" s="305"/>
      <c r="I841" s="305"/>
      <c r="J841" s="305"/>
      <c r="K841" s="305"/>
      <c r="L841" s="305"/>
      <c r="M841" s="305"/>
      <c r="N841" s="305"/>
      <c r="O841" s="305"/>
      <c r="P841" s="305"/>
      <c r="Q841" s="305"/>
      <c r="R841" s="305"/>
      <c r="S841" s="305"/>
      <c r="T841" s="305"/>
      <c r="U841" s="305"/>
      <c r="V841" s="305"/>
      <c r="W841" s="305"/>
      <c r="X841" s="305"/>
      <c r="Y841" s="305"/>
      <c r="Z841" s="305"/>
    </row>
    <row r="842" spans="1:26" ht="15.75" customHeight="1" x14ac:dyDescent="0.25">
      <c r="A842" s="305"/>
      <c r="B842" s="305"/>
      <c r="C842" s="305"/>
      <c r="D842" s="305"/>
      <c r="E842" s="305"/>
      <c r="F842" s="305"/>
      <c r="G842" s="305"/>
      <c r="H842" s="305"/>
      <c r="I842" s="305"/>
      <c r="J842" s="305"/>
      <c r="K842" s="305"/>
      <c r="L842" s="305"/>
      <c r="M842" s="305"/>
      <c r="N842" s="305"/>
      <c r="O842" s="305"/>
      <c r="P842" s="305"/>
      <c r="Q842" s="305"/>
      <c r="R842" s="305"/>
      <c r="S842" s="305"/>
      <c r="T842" s="305"/>
      <c r="U842" s="305"/>
      <c r="V842" s="305"/>
      <c r="W842" s="305"/>
      <c r="X842" s="305"/>
      <c r="Y842" s="305"/>
      <c r="Z842" s="305"/>
    </row>
    <row r="843" spans="1:26" ht="15.75" customHeight="1" x14ac:dyDescent="0.25">
      <c r="A843" s="305"/>
      <c r="B843" s="305"/>
      <c r="C843" s="305"/>
      <c r="D843" s="305"/>
      <c r="E843" s="305"/>
      <c r="F843" s="305"/>
      <c r="G843" s="305"/>
      <c r="H843" s="305"/>
      <c r="I843" s="305"/>
      <c r="J843" s="305"/>
      <c r="K843" s="305"/>
      <c r="L843" s="305"/>
      <c r="M843" s="305"/>
      <c r="N843" s="305"/>
      <c r="O843" s="305"/>
      <c r="P843" s="305"/>
      <c r="Q843" s="305"/>
      <c r="R843" s="305"/>
      <c r="S843" s="305"/>
      <c r="T843" s="305"/>
      <c r="U843" s="305"/>
      <c r="V843" s="305"/>
      <c r="W843" s="305"/>
      <c r="X843" s="305"/>
      <c r="Y843" s="305"/>
      <c r="Z843" s="305"/>
    </row>
    <row r="844" spans="1:26" ht="15.75" customHeight="1" x14ac:dyDescent="0.25">
      <c r="A844" s="305"/>
      <c r="B844" s="305"/>
      <c r="C844" s="305"/>
      <c r="D844" s="305"/>
      <c r="E844" s="305"/>
      <c r="F844" s="305"/>
      <c r="G844" s="305"/>
      <c r="H844" s="305"/>
      <c r="I844" s="305"/>
      <c r="J844" s="305"/>
      <c r="K844" s="305"/>
      <c r="L844" s="305"/>
      <c r="M844" s="305"/>
      <c r="N844" s="305"/>
      <c r="O844" s="305"/>
      <c r="P844" s="305"/>
      <c r="Q844" s="305"/>
      <c r="R844" s="305"/>
      <c r="S844" s="305"/>
      <c r="T844" s="305"/>
      <c r="U844" s="305"/>
      <c r="V844" s="305"/>
      <c r="W844" s="305"/>
      <c r="X844" s="305"/>
      <c r="Y844" s="305"/>
      <c r="Z844" s="305"/>
    </row>
    <row r="845" spans="1:26" ht="15.75" customHeight="1" x14ac:dyDescent="0.25">
      <c r="A845" s="305"/>
      <c r="B845" s="305"/>
      <c r="C845" s="305"/>
      <c r="D845" s="305"/>
      <c r="E845" s="305"/>
      <c r="F845" s="305"/>
      <c r="G845" s="305"/>
      <c r="H845" s="305"/>
      <c r="I845" s="305"/>
      <c r="J845" s="305"/>
      <c r="K845" s="305"/>
      <c r="L845" s="305"/>
      <c r="M845" s="305"/>
      <c r="N845" s="305"/>
      <c r="O845" s="305"/>
      <c r="P845" s="305"/>
      <c r="Q845" s="305"/>
      <c r="R845" s="305"/>
      <c r="S845" s="305"/>
      <c r="T845" s="305"/>
      <c r="U845" s="305"/>
      <c r="V845" s="305"/>
      <c r="W845" s="305"/>
      <c r="X845" s="305"/>
      <c r="Y845" s="305"/>
      <c r="Z845" s="305"/>
    </row>
    <row r="846" spans="1:26" ht="15.75" customHeight="1" x14ac:dyDescent="0.25">
      <c r="A846" s="305"/>
      <c r="B846" s="305"/>
      <c r="C846" s="305"/>
      <c r="D846" s="305"/>
      <c r="E846" s="305"/>
      <c r="F846" s="305"/>
      <c r="G846" s="305"/>
      <c r="H846" s="305"/>
      <c r="I846" s="305"/>
      <c r="J846" s="305"/>
      <c r="K846" s="305"/>
      <c r="L846" s="305"/>
      <c r="M846" s="305"/>
      <c r="N846" s="305"/>
      <c r="O846" s="305"/>
      <c r="P846" s="305"/>
      <c r="Q846" s="305"/>
      <c r="R846" s="305"/>
      <c r="S846" s="305"/>
      <c r="T846" s="305"/>
      <c r="U846" s="305"/>
      <c r="V846" s="305"/>
      <c r="W846" s="305"/>
      <c r="X846" s="305"/>
      <c r="Y846" s="305"/>
      <c r="Z846" s="305"/>
    </row>
    <row r="847" spans="1:26" ht="15.75" customHeight="1" x14ac:dyDescent="0.25">
      <c r="A847" s="305"/>
      <c r="B847" s="305"/>
      <c r="C847" s="305"/>
      <c r="D847" s="305"/>
      <c r="E847" s="305"/>
      <c r="F847" s="305"/>
      <c r="G847" s="305"/>
      <c r="H847" s="305"/>
      <c r="I847" s="305"/>
      <c r="J847" s="305"/>
      <c r="K847" s="305"/>
      <c r="L847" s="305"/>
      <c r="M847" s="305"/>
      <c r="N847" s="305"/>
      <c r="O847" s="305"/>
      <c r="P847" s="305"/>
      <c r="Q847" s="305"/>
      <c r="R847" s="305"/>
      <c r="S847" s="305"/>
      <c r="T847" s="305"/>
      <c r="U847" s="305"/>
      <c r="V847" s="305"/>
      <c r="W847" s="305"/>
      <c r="X847" s="305"/>
      <c r="Y847" s="305"/>
      <c r="Z847" s="305"/>
    </row>
    <row r="848" spans="1:26" ht="15.75" customHeight="1" x14ac:dyDescent="0.25">
      <c r="A848" s="305"/>
      <c r="B848" s="305"/>
      <c r="C848" s="305"/>
      <c r="D848" s="305"/>
      <c r="E848" s="305"/>
      <c r="F848" s="305"/>
      <c r="G848" s="305"/>
      <c r="H848" s="305"/>
      <c r="I848" s="305"/>
      <c r="J848" s="305"/>
      <c r="K848" s="305"/>
      <c r="L848" s="305"/>
      <c r="M848" s="305"/>
      <c r="N848" s="305"/>
      <c r="O848" s="305"/>
      <c r="P848" s="305"/>
      <c r="Q848" s="305"/>
      <c r="R848" s="305"/>
      <c r="S848" s="305"/>
      <c r="T848" s="305"/>
      <c r="U848" s="305"/>
      <c r="V848" s="305"/>
      <c r="W848" s="305"/>
      <c r="X848" s="305"/>
      <c r="Y848" s="305"/>
      <c r="Z848" s="305"/>
    </row>
    <row r="849" spans="1:26" ht="15.75" customHeight="1" x14ac:dyDescent="0.25">
      <c r="A849" s="305"/>
      <c r="B849" s="305"/>
      <c r="C849" s="305"/>
      <c r="D849" s="305"/>
      <c r="E849" s="305"/>
      <c r="F849" s="305"/>
      <c r="G849" s="305"/>
      <c r="H849" s="305"/>
      <c r="I849" s="305"/>
      <c r="J849" s="305"/>
      <c r="K849" s="305"/>
      <c r="L849" s="305"/>
      <c r="M849" s="305"/>
      <c r="N849" s="305"/>
      <c r="O849" s="305"/>
      <c r="P849" s="305"/>
      <c r="Q849" s="305"/>
      <c r="R849" s="305"/>
      <c r="S849" s="305"/>
      <c r="T849" s="305"/>
      <c r="U849" s="305"/>
      <c r="V849" s="305"/>
      <c r="W849" s="305"/>
      <c r="X849" s="305"/>
      <c r="Y849" s="305"/>
      <c r="Z849" s="305"/>
    </row>
    <row r="850" spans="1:26" ht="15.75" customHeight="1" x14ac:dyDescent="0.25">
      <c r="A850" s="305"/>
      <c r="B850" s="305"/>
      <c r="C850" s="305"/>
      <c r="D850" s="305"/>
      <c r="E850" s="305"/>
      <c r="F850" s="305"/>
      <c r="G850" s="305"/>
      <c r="H850" s="305"/>
      <c r="I850" s="305"/>
      <c r="J850" s="305"/>
      <c r="K850" s="305"/>
      <c r="L850" s="305"/>
      <c r="M850" s="305"/>
      <c r="N850" s="305"/>
      <c r="O850" s="305"/>
      <c r="P850" s="305"/>
      <c r="Q850" s="305"/>
      <c r="R850" s="305"/>
      <c r="S850" s="305"/>
      <c r="T850" s="305"/>
      <c r="U850" s="305"/>
      <c r="V850" s="305"/>
      <c r="W850" s="305"/>
      <c r="X850" s="305"/>
      <c r="Y850" s="305"/>
      <c r="Z850" s="305"/>
    </row>
    <row r="851" spans="1:26" ht="15.75" customHeight="1" x14ac:dyDescent="0.25">
      <c r="A851" s="305"/>
      <c r="B851" s="305"/>
      <c r="C851" s="305"/>
      <c r="D851" s="305"/>
      <c r="E851" s="305"/>
      <c r="F851" s="305"/>
      <c r="G851" s="305"/>
      <c r="H851" s="305"/>
      <c r="I851" s="305"/>
      <c r="J851" s="305"/>
      <c r="K851" s="305"/>
      <c r="L851" s="305"/>
      <c r="M851" s="305"/>
      <c r="N851" s="305"/>
      <c r="O851" s="305"/>
      <c r="P851" s="305"/>
      <c r="Q851" s="305"/>
      <c r="R851" s="305"/>
      <c r="S851" s="305"/>
      <c r="T851" s="305"/>
      <c r="U851" s="305"/>
      <c r="V851" s="305"/>
      <c r="W851" s="305"/>
      <c r="X851" s="305"/>
      <c r="Y851" s="305"/>
      <c r="Z851" s="305"/>
    </row>
    <row r="852" spans="1:26" ht="15.75" customHeight="1" x14ac:dyDescent="0.25">
      <c r="A852" s="305"/>
      <c r="B852" s="305"/>
      <c r="C852" s="305"/>
      <c r="D852" s="305"/>
      <c r="E852" s="305"/>
      <c r="F852" s="305"/>
      <c r="G852" s="305"/>
      <c r="H852" s="305"/>
      <c r="I852" s="305"/>
      <c r="J852" s="305"/>
      <c r="K852" s="305"/>
      <c r="L852" s="305"/>
      <c r="M852" s="305"/>
      <c r="N852" s="305"/>
      <c r="O852" s="305"/>
      <c r="P852" s="305"/>
      <c r="Q852" s="305"/>
      <c r="R852" s="305"/>
      <c r="S852" s="305"/>
      <c r="T852" s="305"/>
      <c r="U852" s="305"/>
      <c r="V852" s="305"/>
      <c r="W852" s="305"/>
      <c r="X852" s="305"/>
      <c r="Y852" s="305"/>
      <c r="Z852" s="305"/>
    </row>
    <row r="853" spans="1:26" ht="15.75" customHeight="1" x14ac:dyDescent="0.25">
      <c r="A853" s="305"/>
      <c r="B853" s="305"/>
      <c r="C853" s="305"/>
      <c r="D853" s="305"/>
      <c r="E853" s="305"/>
      <c r="F853" s="305"/>
      <c r="G853" s="305"/>
      <c r="H853" s="305"/>
      <c r="I853" s="305"/>
      <c r="J853" s="305"/>
      <c r="K853" s="305"/>
      <c r="L853" s="305"/>
      <c r="M853" s="305"/>
      <c r="N853" s="305"/>
      <c r="O853" s="305"/>
      <c r="P853" s="305"/>
      <c r="Q853" s="305"/>
      <c r="R853" s="305"/>
      <c r="S853" s="305"/>
      <c r="T853" s="305"/>
      <c r="U853" s="305"/>
      <c r="V853" s="305"/>
      <c r="W853" s="305"/>
      <c r="X853" s="305"/>
      <c r="Y853" s="305"/>
      <c r="Z853" s="305"/>
    </row>
    <row r="854" spans="1:26" ht="15.75" customHeight="1" x14ac:dyDescent="0.25">
      <c r="A854" s="305"/>
      <c r="B854" s="305"/>
      <c r="C854" s="305"/>
      <c r="D854" s="305"/>
      <c r="E854" s="305"/>
      <c r="F854" s="305"/>
      <c r="G854" s="305"/>
      <c r="H854" s="305"/>
      <c r="I854" s="305"/>
      <c r="J854" s="305"/>
      <c r="K854" s="305"/>
      <c r="L854" s="305"/>
      <c r="M854" s="305"/>
      <c r="N854" s="305"/>
      <c r="O854" s="305"/>
      <c r="P854" s="305"/>
      <c r="Q854" s="305"/>
      <c r="R854" s="305"/>
      <c r="S854" s="305"/>
      <c r="T854" s="305"/>
      <c r="U854" s="305"/>
      <c r="V854" s="305"/>
      <c r="W854" s="305"/>
      <c r="X854" s="305"/>
      <c r="Y854" s="305"/>
      <c r="Z854" s="305"/>
    </row>
    <row r="855" spans="1:26" ht="15.75" customHeight="1" x14ac:dyDescent="0.25">
      <c r="A855" s="305"/>
      <c r="B855" s="305"/>
      <c r="C855" s="305"/>
      <c r="D855" s="305"/>
      <c r="E855" s="305"/>
      <c r="F855" s="305"/>
      <c r="G855" s="305"/>
      <c r="H855" s="305"/>
      <c r="I855" s="305"/>
      <c r="J855" s="305"/>
      <c r="K855" s="305"/>
      <c r="L855" s="305"/>
      <c r="M855" s="305"/>
      <c r="N855" s="305"/>
      <c r="O855" s="305"/>
      <c r="P855" s="305"/>
      <c r="Q855" s="305"/>
      <c r="R855" s="305"/>
      <c r="S855" s="305"/>
      <c r="T855" s="305"/>
      <c r="U855" s="305"/>
      <c r="V855" s="305"/>
      <c r="W855" s="305"/>
      <c r="X855" s="305"/>
      <c r="Y855" s="305"/>
      <c r="Z855" s="305"/>
    </row>
    <row r="856" spans="1:26" ht="15.75" customHeight="1" x14ac:dyDescent="0.25">
      <c r="A856" s="305"/>
      <c r="B856" s="305"/>
      <c r="C856" s="305"/>
      <c r="D856" s="305"/>
      <c r="E856" s="305"/>
      <c r="F856" s="305"/>
      <c r="G856" s="305"/>
      <c r="H856" s="305"/>
      <c r="I856" s="305"/>
      <c r="J856" s="305"/>
      <c r="K856" s="305"/>
      <c r="L856" s="305"/>
      <c r="M856" s="305"/>
      <c r="N856" s="305"/>
      <c r="O856" s="305"/>
      <c r="P856" s="305"/>
      <c r="Q856" s="305"/>
      <c r="R856" s="305"/>
      <c r="S856" s="305"/>
      <c r="T856" s="305"/>
      <c r="U856" s="305"/>
      <c r="V856" s="305"/>
      <c r="W856" s="305"/>
      <c r="X856" s="305"/>
      <c r="Y856" s="305"/>
      <c r="Z856" s="305"/>
    </row>
    <row r="857" spans="1:26" ht="15.75" customHeight="1" x14ac:dyDescent="0.25">
      <c r="A857" s="305"/>
      <c r="B857" s="305"/>
      <c r="C857" s="305"/>
      <c r="D857" s="305"/>
      <c r="E857" s="305"/>
      <c r="F857" s="305"/>
      <c r="G857" s="305"/>
      <c r="H857" s="305"/>
      <c r="I857" s="305"/>
      <c r="J857" s="305"/>
      <c r="K857" s="305"/>
      <c r="L857" s="305"/>
      <c r="M857" s="305"/>
      <c r="N857" s="305"/>
      <c r="O857" s="305"/>
      <c r="P857" s="305"/>
      <c r="Q857" s="305"/>
      <c r="R857" s="305"/>
      <c r="S857" s="305"/>
      <c r="T857" s="305"/>
      <c r="U857" s="305"/>
      <c r="V857" s="305"/>
      <c r="W857" s="305"/>
      <c r="X857" s="305"/>
      <c r="Y857" s="305"/>
      <c r="Z857" s="305"/>
    </row>
    <row r="858" spans="1:26" ht="15.75" customHeight="1" x14ac:dyDescent="0.25">
      <c r="A858" s="305"/>
      <c r="B858" s="305"/>
      <c r="C858" s="305"/>
      <c r="D858" s="305"/>
      <c r="E858" s="305"/>
      <c r="F858" s="305"/>
      <c r="G858" s="305"/>
      <c r="H858" s="305"/>
      <c r="I858" s="305"/>
      <c r="J858" s="305"/>
      <c r="K858" s="305"/>
      <c r="L858" s="305"/>
      <c r="M858" s="305"/>
      <c r="N858" s="305"/>
      <c r="O858" s="305"/>
      <c r="P858" s="305"/>
      <c r="Q858" s="305"/>
      <c r="R858" s="305"/>
      <c r="S858" s="305"/>
      <c r="T858" s="305"/>
      <c r="U858" s="305"/>
      <c r="V858" s="305"/>
      <c r="W858" s="305"/>
      <c r="X858" s="305"/>
      <c r="Y858" s="305"/>
      <c r="Z858" s="305"/>
    </row>
    <row r="859" spans="1:26" ht="15.75" customHeight="1" x14ac:dyDescent="0.25">
      <c r="A859" s="305"/>
      <c r="B859" s="305"/>
      <c r="C859" s="305"/>
      <c r="D859" s="305"/>
      <c r="E859" s="305"/>
      <c r="F859" s="305"/>
      <c r="G859" s="305"/>
      <c r="H859" s="305"/>
      <c r="I859" s="305"/>
      <c r="J859" s="305"/>
      <c r="K859" s="305"/>
      <c r="L859" s="305"/>
      <c r="M859" s="305"/>
      <c r="N859" s="305"/>
      <c r="O859" s="305"/>
      <c r="P859" s="305"/>
      <c r="Q859" s="305"/>
      <c r="R859" s="305"/>
      <c r="S859" s="305"/>
      <c r="T859" s="305"/>
      <c r="U859" s="305"/>
      <c r="V859" s="305"/>
      <c r="W859" s="305"/>
      <c r="X859" s="305"/>
      <c r="Y859" s="305"/>
      <c r="Z859" s="305"/>
    </row>
    <row r="860" spans="1:26" ht="15.75" customHeight="1" x14ac:dyDescent="0.25">
      <c r="A860" s="305"/>
      <c r="B860" s="305"/>
      <c r="C860" s="305"/>
      <c r="D860" s="305"/>
      <c r="E860" s="305"/>
      <c r="F860" s="305"/>
      <c r="G860" s="305"/>
      <c r="H860" s="305"/>
      <c r="I860" s="305"/>
      <c r="J860" s="305"/>
      <c r="K860" s="305"/>
      <c r="L860" s="305"/>
      <c r="M860" s="305"/>
      <c r="N860" s="305"/>
      <c r="O860" s="305"/>
      <c r="P860" s="305"/>
      <c r="Q860" s="305"/>
      <c r="R860" s="305"/>
      <c r="S860" s="305"/>
      <c r="T860" s="305"/>
      <c r="U860" s="305"/>
      <c r="V860" s="305"/>
      <c r="W860" s="305"/>
      <c r="X860" s="305"/>
      <c r="Y860" s="305"/>
      <c r="Z860" s="305"/>
    </row>
    <row r="861" spans="1:26" ht="15.75" customHeight="1" x14ac:dyDescent="0.25">
      <c r="A861" s="305"/>
      <c r="B861" s="305"/>
      <c r="C861" s="305"/>
      <c r="D861" s="305"/>
      <c r="E861" s="305"/>
      <c r="F861" s="305"/>
      <c r="G861" s="305"/>
      <c r="H861" s="305"/>
      <c r="I861" s="305"/>
      <c r="J861" s="305"/>
      <c r="K861" s="305"/>
      <c r="L861" s="305"/>
      <c r="M861" s="305"/>
      <c r="N861" s="305"/>
      <c r="O861" s="305"/>
      <c r="P861" s="305"/>
      <c r="Q861" s="305"/>
      <c r="R861" s="305"/>
      <c r="S861" s="305"/>
      <c r="T861" s="305"/>
      <c r="U861" s="305"/>
      <c r="V861" s="305"/>
      <c r="W861" s="305"/>
      <c r="X861" s="305"/>
      <c r="Y861" s="305"/>
      <c r="Z861" s="305"/>
    </row>
    <row r="862" spans="1:26" ht="15.75" customHeight="1" x14ac:dyDescent="0.25">
      <c r="A862" s="305"/>
      <c r="B862" s="305"/>
      <c r="C862" s="305"/>
      <c r="D862" s="305"/>
      <c r="E862" s="305"/>
      <c r="F862" s="305"/>
      <c r="G862" s="305"/>
      <c r="H862" s="305"/>
      <c r="I862" s="305"/>
      <c r="J862" s="305"/>
      <c r="K862" s="305"/>
      <c r="L862" s="305"/>
      <c r="M862" s="305"/>
      <c r="N862" s="305"/>
      <c r="O862" s="305"/>
      <c r="P862" s="305"/>
      <c r="Q862" s="305"/>
      <c r="R862" s="305"/>
      <c r="S862" s="305"/>
      <c r="T862" s="305"/>
      <c r="U862" s="305"/>
      <c r="V862" s="305"/>
      <c r="W862" s="305"/>
      <c r="X862" s="305"/>
      <c r="Y862" s="305"/>
      <c r="Z862" s="305"/>
    </row>
    <row r="863" spans="1:26" ht="15.75" customHeight="1" x14ac:dyDescent="0.25">
      <c r="A863" s="305"/>
      <c r="B863" s="305"/>
      <c r="C863" s="305"/>
      <c r="D863" s="305"/>
      <c r="E863" s="305"/>
      <c r="F863" s="305"/>
      <c r="G863" s="305"/>
      <c r="H863" s="305"/>
      <c r="I863" s="305"/>
      <c r="J863" s="305"/>
      <c r="K863" s="305"/>
      <c r="L863" s="305"/>
      <c r="M863" s="305"/>
      <c r="N863" s="305"/>
      <c r="O863" s="305"/>
      <c r="P863" s="305"/>
      <c r="Q863" s="305"/>
      <c r="R863" s="305"/>
      <c r="S863" s="305"/>
      <c r="T863" s="305"/>
      <c r="U863" s="305"/>
      <c r="V863" s="305"/>
      <c r="W863" s="305"/>
      <c r="X863" s="305"/>
      <c r="Y863" s="305"/>
      <c r="Z863" s="305"/>
    </row>
    <row r="864" spans="1:26" ht="15.75" customHeight="1" x14ac:dyDescent="0.25">
      <c r="A864" s="305"/>
      <c r="B864" s="305"/>
      <c r="C864" s="305"/>
      <c r="D864" s="305"/>
      <c r="E864" s="305"/>
      <c r="F864" s="305"/>
      <c r="G864" s="305"/>
      <c r="H864" s="305"/>
      <c r="I864" s="305"/>
      <c r="J864" s="305"/>
      <c r="K864" s="305"/>
      <c r="L864" s="305"/>
      <c r="M864" s="305"/>
      <c r="N864" s="305"/>
      <c r="O864" s="305"/>
      <c r="P864" s="305"/>
      <c r="Q864" s="305"/>
      <c r="R864" s="305"/>
      <c r="S864" s="305"/>
      <c r="T864" s="305"/>
      <c r="U864" s="305"/>
      <c r="V864" s="305"/>
      <c r="W864" s="305"/>
      <c r="X864" s="305"/>
      <c r="Y864" s="305"/>
      <c r="Z864" s="305"/>
    </row>
    <row r="865" spans="1:26" ht="15.75" customHeight="1" x14ac:dyDescent="0.25">
      <c r="A865" s="305"/>
      <c r="B865" s="305"/>
      <c r="C865" s="305"/>
      <c r="D865" s="305"/>
      <c r="E865" s="305"/>
      <c r="F865" s="305"/>
      <c r="G865" s="305"/>
      <c r="H865" s="305"/>
      <c r="I865" s="305"/>
      <c r="J865" s="305"/>
      <c r="K865" s="305"/>
      <c r="L865" s="305"/>
      <c r="M865" s="305"/>
      <c r="N865" s="305"/>
      <c r="O865" s="305"/>
      <c r="P865" s="305"/>
      <c r="Q865" s="305"/>
      <c r="R865" s="305"/>
      <c r="S865" s="305"/>
      <c r="T865" s="305"/>
      <c r="U865" s="305"/>
      <c r="V865" s="305"/>
      <c r="W865" s="305"/>
      <c r="X865" s="305"/>
      <c r="Y865" s="305"/>
      <c r="Z865" s="305"/>
    </row>
    <row r="866" spans="1:26" ht="15.75" customHeight="1" x14ac:dyDescent="0.25">
      <c r="A866" s="305"/>
      <c r="B866" s="305"/>
      <c r="C866" s="305"/>
      <c r="D866" s="305"/>
      <c r="E866" s="305"/>
      <c r="F866" s="305"/>
      <c r="G866" s="305"/>
      <c r="H866" s="305"/>
      <c r="I866" s="305"/>
      <c r="J866" s="305"/>
      <c r="K866" s="305"/>
      <c r="L866" s="305"/>
      <c r="M866" s="305"/>
      <c r="N866" s="305"/>
      <c r="O866" s="305"/>
      <c r="P866" s="305"/>
      <c r="Q866" s="305"/>
      <c r="R866" s="305"/>
      <c r="S866" s="305"/>
      <c r="T866" s="305"/>
      <c r="U866" s="305"/>
      <c r="V866" s="305"/>
      <c r="W866" s="305"/>
      <c r="X866" s="305"/>
      <c r="Y866" s="305"/>
      <c r="Z866" s="305"/>
    </row>
    <row r="867" spans="1:26" ht="15.75" customHeight="1" x14ac:dyDescent="0.25">
      <c r="A867" s="305"/>
      <c r="B867" s="305"/>
      <c r="C867" s="305"/>
      <c r="D867" s="305"/>
      <c r="E867" s="305"/>
      <c r="F867" s="305"/>
      <c r="G867" s="305"/>
      <c r="H867" s="305"/>
      <c r="I867" s="305"/>
      <c r="J867" s="305"/>
      <c r="K867" s="305"/>
      <c r="L867" s="305"/>
      <c r="M867" s="305"/>
      <c r="N867" s="305"/>
      <c r="O867" s="305"/>
      <c r="P867" s="305"/>
      <c r="Q867" s="305"/>
      <c r="R867" s="305"/>
      <c r="S867" s="305"/>
      <c r="T867" s="305"/>
      <c r="U867" s="305"/>
      <c r="V867" s="305"/>
      <c r="W867" s="305"/>
      <c r="X867" s="305"/>
      <c r="Y867" s="305"/>
      <c r="Z867" s="305"/>
    </row>
    <row r="868" spans="1:26" ht="15.75" customHeight="1" x14ac:dyDescent="0.25">
      <c r="A868" s="305"/>
      <c r="B868" s="305"/>
      <c r="C868" s="305"/>
      <c r="D868" s="305"/>
      <c r="E868" s="305"/>
      <c r="F868" s="305"/>
      <c r="G868" s="305"/>
      <c r="H868" s="305"/>
      <c r="I868" s="305"/>
      <c r="J868" s="305"/>
      <c r="K868" s="305"/>
      <c r="L868" s="305"/>
      <c r="M868" s="305"/>
      <c r="N868" s="305"/>
      <c r="O868" s="305"/>
      <c r="P868" s="305"/>
      <c r="Q868" s="305"/>
      <c r="R868" s="305"/>
      <c r="S868" s="305"/>
      <c r="T868" s="305"/>
      <c r="U868" s="305"/>
      <c r="V868" s="305"/>
      <c r="W868" s="305"/>
      <c r="X868" s="305"/>
      <c r="Y868" s="305"/>
      <c r="Z868" s="305"/>
    </row>
    <row r="869" spans="1:26" ht="15.75" customHeight="1" x14ac:dyDescent="0.25">
      <c r="A869" s="305"/>
      <c r="B869" s="305"/>
      <c r="C869" s="305"/>
      <c r="D869" s="305"/>
      <c r="E869" s="305"/>
      <c r="F869" s="305"/>
      <c r="G869" s="305"/>
      <c r="H869" s="305"/>
      <c r="I869" s="305"/>
      <c r="J869" s="305"/>
      <c r="K869" s="305"/>
      <c r="L869" s="305"/>
      <c r="M869" s="305"/>
      <c r="N869" s="305"/>
      <c r="O869" s="305"/>
      <c r="P869" s="305"/>
      <c r="Q869" s="305"/>
      <c r="R869" s="305"/>
      <c r="S869" s="305"/>
      <c r="T869" s="305"/>
      <c r="U869" s="305"/>
      <c r="V869" s="305"/>
      <c r="W869" s="305"/>
      <c r="X869" s="305"/>
      <c r="Y869" s="305"/>
      <c r="Z869" s="305"/>
    </row>
    <row r="870" spans="1:26" ht="15.75" customHeight="1" x14ac:dyDescent="0.25">
      <c r="A870" s="305"/>
      <c r="B870" s="305"/>
      <c r="C870" s="305"/>
      <c r="D870" s="305"/>
      <c r="E870" s="305"/>
      <c r="F870" s="305"/>
      <c r="G870" s="305"/>
      <c r="H870" s="305"/>
      <c r="I870" s="305"/>
      <c r="J870" s="305"/>
      <c r="K870" s="305"/>
      <c r="L870" s="305"/>
      <c r="M870" s="305"/>
      <c r="N870" s="305"/>
      <c r="O870" s="305"/>
      <c r="P870" s="305"/>
      <c r="Q870" s="305"/>
      <c r="R870" s="305"/>
      <c r="S870" s="305"/>
      <c r="T870" s="305"/>
      <c r="U870" s="305"/>
      <c r="V870" s="305"/>
      <c r="W870" s="305"/>
      <c r="X870" s="305"/>
      <c r="Y870" s="305"/>
      <c r="Z870" s="305"/>
    </row>
    <row r="871" spans="1:26" ht="15.75" customHeight="1" x14ac:dyDescent="0.25">
      <c r="A871" s="305"/>
      <c r="B871" s="305"/>
      <c r="C871" s="305"/>
      <c r="D871" s="305"/>
      <c r="E871" s="305"/>
      <c r="F871" s="305"/>
      <c r="G871" s="305"/>
      <c r="H871" s="305"/>
      <c r="I871" s="305"/>
      <c r="J871" s="305"/>
      <c r="K871" s="305"/>
      <c r="L871" s="305"/>
      <c r="M871" s="305"/>
      <c r="N871" s="305"/>
      <c r="O871" s="305"/>
      <c r="P871" s="305"/>
      <c r="Q871" s="305"/>
      <c r="R871" s="305"/>
      <c r="S871" s="305"/>
      <c r="T871" s="305"/>
      <c r="U871" s="305"/>
      <c r="V871" s="305"/>
      <c r="W871" s="305"/>
      <c r="X871" s="305"/>
      <c r="Y871" s="305"/>
      <c r="Z871" s="305"/>
    </row>
    <row r="872" spans="1:26" ht="15.75" customHeight="1" x14ac:dyDescent="0.25">
      <c r="A872" s="305"/>
      <c r="B872" s="305"/>
      <c r="C872" s="305"/>
      <c r="D872" s="305"/>
      <c r="E872" s="305"/>
      <c r="F872" s="305"/>
      <c r="G872" s="305"/>
      <c r="H872" s="305"/>
      <c r="I872" s="305"/>
      <c r="J872" s="305"/>
      <c r="K872" s="305"/>
      <c r="L872" s="305"/>
      <c r="M872" s="305"/>
      <c r="N872" s="305"/>
      <c r="O872" s="305"/>
      <c r="P872" s="305"/>
      <c r="Q872" s="305"/>
      <c r="R872" s="305"/>
      <c r="S872" s="305"/>
      <c r="T872" s="305"/>
      <c r="U872" s="305"/>
      <c r="V872" s="305"/>
      <c r="W872" s="305"/>
      <c r="X872" s="305"/>
      <c r="Y872" s="305"/>
      <c r="Z872" s="305"/>
    </row>
    <row r="873" spans="1:26" ht="15.75" customHeight="1" x14ac:dyDescent="0.25">
      <c r="A873" s="305"/>
      <c r="B873" s="305"/>
      <c r="C873" s="305"/>
      <c r="D873" s="305"/>
      <c r="E873" s="305"/>
      <c r="F873" s="305"/>
      <c r="G873" s="305"/>
      <c r="H873" s="305"/>
      <c r="I873" s="305"/>
      <c r="J873" s="305"/>
      <c r="K873" s="305"/>
      <c r="L873" s="305"/>
      <c r="M873" s="305"/>
      <c r="N873" s="305"/>
      <c r="O873" s="305"/>
      <c r="P873" s="305"/>
      <c r="Q873" s="305"/>
      <c r="R873" s="305"/>
      <c r="S873" s="305"/>
      <c r="T873" s="305"/>
      <c r="U873" s="305"/>
      <c r="V873" s="305"/>
      <c r="W873" s="305"/>
      <c r="X873" s="305"/>
      <c r="Y873" s="305"/>
      <c r="Z873" s="305"/>
    </row>
    <row r="874" spans="1:26" ht="15.75" customHeight="1" x14ac:dyDescent="0.25">
      <c r="A874" s="305"/>
      <c r="B874" s="305"/>
      <c r="C874" s="305"/>
      <c r="D874" s="305"/>
      <c r="E874" s="305"/>
      <c r="F874" s="305"/>
      <c r="G874" s="305"/>
      <c r="H874" s="305"/>
      <c r="I874" s="305"/>
      <c r="J874" s="305"/>
      <c r="K874" s="305"/>
      <c r="L874" s="305"/>
      <c r="M874" s="305"/>
      <c r="N874" s="305"/>
      <c r="O874" s="305"/>
      <c r="P874" s="305"/>
      <c r="Q874" s="305"/>
      <c r="R874" s="305"/>
      <c r="S874" s="305"/>
      <c r="T874" s="305"/>
      <c r="U874" s="305"/>
      <c r="V874" s="305"/>
      <c r="W874" s="305"/>
      <c r="X874" s="305"/>
      <c r="Y874" s="305"/>
      <c r="Z874" s="305"/>
    </row>
    <row r="875" spans="1:26" ht="15.75" customHeight="1" x14ac:dyDescent="0.25">
      <c r="A875" s="305"/>
      <c r="B875" s="305"/>
      <c r="C875" s="305"/>
      <c r="D875" s="305"/>
      <c r="E875" s="305"/>
      <c r="F875" s="305"/>
      <c r="G875" s="305"/>
      <c r="H875" s="305"/>
      <c r="I875" s="305"/>
      <c r="J875" s="305"/>
      <c r="K875" s="305"/>
      <c r="L875" s="305"/>
      <c r="M875" s="305"/>
      <c r="N875" s="305"/>
      <c r="O875" s="305"/>
      <c r="P875" s="305"/>
      <c r="Q875" s="305"/>
      <c r="R875" s="305"/>
      <c r="S875" s="305"/>
      <c r="T875" s="305"/>
      <c r="U875" s="305"/>
      <c r="V875" s="305"/>
      <c r="W875" s="305"/>
      <c r="X875" s="305"/>
      <c r="Y875" s="305"/>
      <c r="Z875" s="305"/>
    </row>
    <row r="876" spans="1:26" ht="15.75" customHeight="1" x14ac:dyDescent="0.25">
      <c r="A876" s="305"/>
      <c r="B876" s="305"/>
      <c r="C876" s="305"/>
      <c r="D876" s="305"/>
      <c r="E876" s="305"/>
      <c r="F876" s="305"/>
      <c r="G876" s="305"/>
      <c r="H876" s="305"/>
      <c r="I876" s="305"/>
      <c r="J876" s="305"/>
      <c r="K876" s="305"/>
      <c r="L876" s="305"/>
      <c r="M876" s="305"/>
      <c r="N876" s="305"/>
      <c r="O876" s="305"/>
      <c r="P876" s="305"/>
      <c r="Q876" s="305"/>
      <c r="R876" s="305"/>
      <c r="S876" s="305"/>
      <c r="T876" s="305"/>
      <c r="U876" s="305"/>
      <c r="V876" s="305"/>
      <c r="W876" s="305"/>
      <c r="X876" s="305"/>
      <c r="Y876" s="305"/>
      <c r="Z876" s="305"/>
    </row>
    <row r="877" spans="1:26" ht="15.75" customHeight="1" x14ac:dyDescent="0.25">
      <c r="A877" s="305"/>
      <c r="B877" s="305"/>
      <c r="C877" s="305"/>
      <c r="D877" s="305"/>
      <c r="E877" s="305"/>
      <c r="F877" s="305"/>
      <c r="G877" s="305"/>
      <c r="H877" s="305"/>
      <c r="I877" s="305"/>
      <c r="J877" s="305"/>
      <c r="K877" s="305"/>
      <c r="L877" s="305"/>
      <c r="M877" s="305"/>
      <c r="N877" s="305"/>
      <c r="O877" s="305"/>
      <c r="P877" s="305"/>
      <c r="Q877" s="305"/>
      <c r="R877" s="305"/>
      <c r="S877" s="305"/>
      <c r="T877" s="305"/>
      <c r="U877" s="305"/>
      <c r="V877" s="305"/>
      <c r="W877" s="305"/>
      <c r="X877" s="305"/>
      <c r="Y877" s="305"/>
      <c r="Z877" s="305"/>
    </row>
    <row r="878" spans="1:26" ht="15.75" customHeight="1" x14ac:dyDescent="0.25">
      <c r="A878" s="305"/>
      <c r="B878" s="305"/>
      <c r="C878" s="305"/>
      <c r="D878" s="305"/>
      <c r="E878" s="305"/>
      <c r="F878" s="305"/>
      <c r="G878" s="305"/>
      <c r="H878" s="305"/>
      <c r="I878" s="305"/>
      <c r="J878" s="305"/>
      <c r="K878" s="305"/>
      <c r="L878" s="305"/>
      <c r="M878" s="305"/>
      <c r="N878" s="305"/>
      <c r="O878" s="305"/>
      <c r="P878" s="305"/>
      <c r="Q878" s="305"/>
      <c r="R878" s="305"/>
      <c r="S878" s="305"/>
      <c r="T878" s="305"/>
      <c r="U878" s="305"/>
      <c r="V878" s="305"/>
      <c r="W878" s="305"/>
      <c r="X878" s="305"/>
      <c r="Y878" s="305"/>
      <c r="Z878" s="305"/>
    </row>
    <row r="879" spans="1:26" ht="15.75" customHeight="1" x14ac:dyDescent="0.25">
      <c r="A879" s="305"/>
      <c r="B879" s="305"/>
      <c r="C879" s="305"/>
      <c r="D879" s="305"/>
      <c r="E879" s="305"/>
      <c r="F879" s="305"/>
      <c r="G879" s="305"/>
      <c r="H879" s="305"/>
      <c r="I879" s="305"/>
      <c r="J879" s="305"/>
      <c r="K879" s="305"/>
      <c r="L879" s="305"/>
      <c r="M879" s="305"/>
      <c r="N879" s="305"/>
      <c r="O879" s="305"/>
      <c r="P879" s="305"/>
      <c r="Q879" s="305"/>
      <c r="R879" s="305"/>
      <c r="S879" s="305"/>
      <c r="T879" s="305"/>
      <c r="U879" s="305"/>
      <c r="V879" s="305"/>
      <c r="W879" s="305"/>
      <c r="X879" s="305"/>
      <c r="Y879" s="305"/>
      <c r="Z879" s="305"/>
    </row>
    <row r="880" spans="1:26" ht="15.75" customHeight="1" x14ac:dyDescent="0.25">
      <c r="A880" s="305"/>
      <c r="B880" s="305"/>
      <c r="C880" s="305"/>
      <c r="D880" s="305"/>
      <c r="E880" s="305"/>
      <c r="F880" s="305"/>
      <c r="G880" s="305"/>
      <c r="H880" s="305"/>
      <c r="I880" s="305"/>
      <c r="J880" s="305"/>
      <c r="K880" s="305"/>
      <c r="L880" s="305"/>
      <c r="M880" s="305"/>
      <c r="N880" s="305"/>
      <c r="O880" s="305"/>
      <c r="P880" s="305"/>
      <c r="Q880" s="305"/>
      <c r="R880" s="305"/>
      <c r="S880" s="305"/>
      <c r="T880" s="305"/>
      <c r="U880" s="305"/>
      <c r="V880" s="305"/>
      <c r="W880" s="305"/>
      <c r="X880" s="305"/>
      <c r="Y880" s="305"/>
      <c r="Z880" s="305"/>
    </row>
    <row r="881" spans="1:26" ht="15.75" customHeight="1" x14ac:dyDescent="0.25">
      <c r="A881" s="305"/>
      <c r="B881" s="305"/>
      <c r="C881" s="305"/>
      <c r="D881" s="305"/>
      <c r="E881" s="305"/>
      <c r="F881" s="305"/>
      <c r="G881" s="305"/>
      <c r="H881" s="305"/>
      <c r="I881" s="305"/>
      <c r="J881" s="305"/>
      <c r="K881" s="305"/>
      <c r="L881" s="305"/>
      <c r="M881" s="305"/>
      <c r="N881" s="305"/>
      <c r="O881" s="305"/>
      <c r="P881" s="305"/>
      <c r="Q881" s="305"/>
      <c r="R881" s="305"/>
      <c r="S881" s="305"/>
      <c r="T881" s="305"/>
      <c r="U881" s="305"/>
      <c r="V881" s="305"/>
      <c r="W881" s="305"/>
      <c r="X881" s="305"/>
      <c r="Y881" s="305"/>
      <c r="Z881" s="305"/>
    </row>
    <row r="882" spans="1:26" ht="15.75" customHeight="1" x14ac:dyDescent="0.25">
      <c r="A882" s="305"/>
      <c r="B882" s="305"/>
      <c r="C882" s="305"/>
      <c r="D882" s="305"/>
      <c r="E882" s="305"/>
      <c r="F882" s="305"/>
      <c r="G882" s="305"/>
      <c r="H882" s="305"/>
      <c r="I882" s="305"/>
      <c r="J882" s="305"/>
      <c r="K882" s="305"/>
      <c r="L882" s="305"/>
      <c r="M882" s="305"/>
      <c r="N882" s="305"/>
      <c r="O882" s="305"/>
      <c r="P882" s="305"/>
      <c r="Q882" s="305"/>
      <c r="R882" s="305"/>
      <c r="S882" s="305"/>
      <c r="T882" s="305"/>
      <c r="U882" s="305"/>
      <c r="V882" s="305"/>
      <c r="W882" s="305"/>
      <c r="X882" s="305"/>
      <c r="Y882" s="305"/>
      <c r="Z882" s="305"/>
    </row>
    <row r="883" spans="1:26" ht="15.75" customHeight="1" x14ac:dyDescent="0.25">
      <c r="A883" s="305"/>
      <c r="B883" s="305"/>
      <c r="C883" s="305"/>
      <c r="D883" s="305"/>
      <c r="E883" s="305"/>
      <c r="F883" s="305"/>
      <c r="G883" s="305"/>
      <c r="H883" s="305"/>
      <c r="I883" s="305"/>
      <c r="J883" s="305"/>
      <c r="K883" s="305"/>
      <c r="L883" s="305"/>
      <c r="M883" s="305"/>
      <c r="N883" s="305"/>
      <c r="O883" s="305"/>
      <c r="P883" s="305"/>
      <c r="Q883" s="305"/>
      <c r="R883" s="305"/>
      <c r="S883" s="305"/>
      <c r="T883" s="305"/>
      <c r="U883" s="305"/>
      <c r="V883" s="305"/>
      <c r="W883" s="305"/>
      <c r="X883" s="305"/>
      <c r="Y883" s="305"/>
      <c r="Z883" s="305"/>
    </row>
    <row r="884" spans="1:26" ht="15.75" customHeight="1" x14ac:dyDescent="0.25">
      <c r="A884" s="305"/>
      <c r="B884" s="305"/>
      <c r="C884" s="305"/>
      <c r="D884" s="305"/>
      <c r="E884" s="305"/>
      <c r="F884" s="305"/>
      <c r="G884" s="305"/>
      <c r="H884" s="305"/>
      <c r="I884" s="305"/>
      <c r="J884" s="305"/>
      <c r="K884" s="305"/>
      <c r="L884" s="305"/>
      <c r="M884" s="305"/>
      <c r="N884" s="305"/>
      <c r="O884" s="305"/>
      <c r="P884" s="305"/>
      <c r="Q884" s="305"/>
      <c r="R884" s="305"/>
      <c r="S884" s="305"/>
      <c r="T884" s="305"/>
      <c r="U884" s="305"/>
      <c r="V884" s="305"/>
      <c r="W884" s="305"/>
      <c r="X884" s="305"/>
      <c r="Y884" s="305"/>
      <c r="Z884" s="305"/>
    </row>
    <row r="885" spans="1:26" ht="15.75" customHeight="1" x14ac:dyDescent="0.25">
      <c r="A885" s="305"/>
      <c r="B885" s="305"/>
      <c r="C885" s="305"/>
      <c r="D885" s="305"/>
      <c r="E885" s="305"/>
      <c r="F885" s="305"/>
      <c r="G885" s="305"/>
      <c r="H885" s="305"/>
      <c r="I885" s="305"/>
      <c r="J885" s="305"/>
      <c r="K885" s="305"/>
      <c r="L885" s="305"/>
      <c r="M885" s="305"/>
      <c r="N885" s="305"/>
      <c r="O885" s="305"/>
      <c r="P885" s="305"/>
      <c r="Q885" s="305"/>
      <c r="R885" s="305"/>
      <c r="S885" s="305"/>
      <c r="T885" s="305"/>
      <c r="U885" s="305"/>
      <c r="V885" s="305"/>
      <c r="W885" s="305"/>
      <c r="X885" s="305"/>
      <c r="Y885" s="305"/>
      <c r="Z885" s="305"/>
    </row>
    <row r="886" spans="1:26" ht="15.75" customHeight="1" x14ac:dyDescent="0.25">
      <c r="A886" s="305"/>
      <c r="B886" s="305"/>
      <c r="C886" s="305"/>
      <c r="D886" s="305"/>
      <c r="E886" s="305"/>
      <c r="F886" s="305"/>
      <c r="G886" s="305"/>
      <c r="H886" s="305"/>
      <c r="I886" s="305"/>
      <c r="J886" s="305"/>
      <c r="K886" s="305"/>
      <c r="L886" s="305"/>
      <c r="M886" s="305"/>
      <c r="N886" s="305"/>
      <c r="O886" s="305"/>
      <c r="P886" s="305"/>
      <c r="Q886" s="305"/>
      <c r="R886" s="305"/>
      <c r="S886" s="305"/>
      <c r="T886" s="305"/>
      <c r="U886" s="305"/>
      <c r="V886" s="305"/>
      <c r="W886" s="305"/>
      <c r="X886" s="305"/>
      <c r="Y886" s="305"/>
      <c r="Z886" s="305"/>
    </row>
    <row r="887" spans="1:26" ht="15.75" customHeight="1" x14ac:dyDescent="0.25">
      <c r="A887" s="305"/>
      <c r="B887" s="305"/>
      <c r="C887" s="305"/>
      <c r="D887" s="305"/>
      <c r="E887" s="305"/>
      <c r="F887" s="305"/>
      <c r="G887" s="305"/>
      <c r="H887" s="305"/>
      <c r="I887" s="305"/>
      <c r="J887" s="305"/>
      <c r="K887" s="305"/>
      <c r="L887" s="305"/>
      <c r="M887" s="305"/>
      <c r="N887" s="305"/>
      <c r="O887" s="305"/>
      <c r="P887" s="305"/>
      <c r="Q887" s="305"/>
      <c r="R887" s="305"/>
      <c r="S887" s="305"/>
      <c r="T887" s="305"/>
      <c r="U887" s="305"/>
      <c r="V887" s="305"/>
      <c r="W887" s="305"/>
      <c r="X887" s="305"/>
      <c r="Y887" s="305"/>
      <c r="Z887" s="305"/>
    </row>
    <row r="888" spans="1:26" ht="15.75" customHeight="1" x14ac:dyDescent="0.25">
      <c r="A888" s="305"/>
      <c r="B888" s="305"/>
      <c r="C888" s="305"/>
      <c r="D888" s="305"/>
      <c r="E888" s="305"/>
      <c r="F888" s="305"/>
      <c r="G888" s="305"/>
      <c r="H888" s="305"/>
      <c r="I888" s="305"/>
      <c r="J888" s="305"/>
      <c r="K888" s="305"/>
      <c r="L888" s="305"/>
      <c r="M888" s="305"/>
      <c r="N888" s="305"/>
      <c r="O888" s="305"/>
      <c r="P888" s="305"/>
      <c r="Q888" s="305"/>
      <c r="R888" s="305"/>
      <c r="S888" s="305"/>
      <c r="T888" s="305"/>
      <c r="U888" s="305"/>
      <c r="V888" s="305"/>
      <c r="W888" s="305"/>
      <c r="X888" s="305"/>
      <c r="Y888" s="305"/>
      <c r="Z888" s="305"/>
    </row>
    <row r="889" spans="1:26" ht="15.75" customHeight="1" x14ac:dyDescent="0.25">
      <c r="A889" s="305"/>
      <c r="B889" s="305"/>
      <c r="C889" s="305"/>
      <c r="D889" s="305"/>
      <c r="E889" s="305"/>
      <c r="F889" s="305"/>
      <c r="G889" s="305"/>
      <c r="H889" s="305"/>
      <c r="I889" s="305"/>
      <c r="J889" s="305"/>
      <c r="K889" s="305"/>
      <c r="L889" s="305"/>
      <c r="M889" s="305"/>
      <c r="N889" s="305"/>
      <c r="O889" s="305"/>
      <c r="P889" s="305"/>
      <c r="Q889" s="305"/>
      <c r="R889" s="305"/>
      <c r="S889" s="305"/>
      <c r="T889" s="305"/>
      <c r="U889" s="305"/>
      <c r="V889" s="305"/>
      <c r="W889" s="305"/>
      <c r="X889" s="305"/>
      <c r="Y889" s="305"/>
      <c r="Z889" s="305"/>
    </row>
    <row r="890" spans="1:26" ht="15.75" customHeight="1" x14ac:dyDescent="0.25">
      <c r="A890" s="305"/>
      <c r="B890" s="305"/>
      <c r="C890" s="305"/>
      <c r="D890" s="305"/>
      <c r="E890" s="305"/>
      <c r="F890" s="305"/>
      <c r="G890" s="305"/>
      <c r="H890" s="305"/>
      <c r="I890" s="305"/>
      <c r="J890" s="305"/>
      <c r="K890" s="305"/>
      <c r="L890" s="305"/>
      <c r="M890" s="305"/>
      <c r="N890" s="305"/>
      <c r="O890" s="305"/>
      <c r="P890" s="305"/>
      <c r="Q890" s="305"/>
      <c r="R890" s="305"/>
      <c r="S890" s="305"/>
      <c r="T890" s="305"/>
      <c r="U890" s="305"/>
      <c r="V890" s="305"/>
      <c r="W890" s="305"/>
      <c r="X890" s="305"/>
      <c r="Y890" s="305"/>
      <c r="Z890" s="305"/>
    </row>
    <row r="891" spans="1:26" ht="15.75" customHeight="1" x14ac:dyDescent="0.25">
      <c r="A891" s="305"/>
      <c r="B891" s="305"/>
      <c r="C891" s="305"/>
      <c r="D891" s="305"/>
      <c r="E891" s="305"/>
      <c r="F891" s="305"/>
      <c r="G891" s="305"/>
      <c r="H891" s="305"/>
      <c r="I891" s="305"/>
      <c r="J891" s="305"/>
      <c r="K891" s="305"/>
      <c r="L891" s="305"/>
      <c r="M891" s="305"/>
      <c r="N891" s="305"/>
      <c r="O891" s="305"/>
      <c r="P891" s="305"/>
      <c r="Q891" s="305"/>
      <c r="R891" s="305"/>
      <c r="S891" s="305"/>
      <c r="T891" s="305"/>
      <c r="U891" s="305"/>
      <c r="V891" s="305"/>
      <c r="W891" s="305"/>
      <c r="X891" s="305"/>
      <c r="Y891" s="305"/>
      <c r="Z891" s="305"/>
    </row>
    <row r="892" spans="1:26" ht="15.75" customHeight="1" x14ac:dyDescent="0.25">
      <c r="A892" s="305"/>
      <c r="B892" s="305"/>
      <c r="C892" s="305"/>
      <c r="D892" s="305"/>
      <c r="E892" s="305"/>
      <c r="F892" s="305"/>
      <c r="G892" s="305"/>
      <c r="H892" s="305"/>
      <c r="I892" s="305"/>
      <c r="J892" s="305"/>
      <c r="K892" s="305"/>
      <c r="L892" s="305"/>
      <c r="M892" s="305"/>
      <c r="N892" s="305"/>
      <c r="O892" s="305"/>
      <c r="P892" s="305"/>
      <c r="Q892" s="305"/>
      <c r="R892" s="305"/>
      <c r="S892" s="305"/>
      <c r="T892" s="305"/>
      <c r="U892" s="305"/>
      <c r="V892" s="305"/>
      <c r="W892" s="305"/>
      <c r="X892" s="305"/>
      <c r="Y892" s="305"/>
      <c r="Z892" s="305"/>
    </row>
    <row r="893" spans="1:26" ht="15.75" customHeight="1" x14ac:dyDescent="0.25">
      <c r="A893" s="305"/>
      <c r="B893" s="305"/>
      <c r="C893" s="305"/>
      <c r="D893" s="305"/>
      <c r="E893" s="305"/>
      <c r="F893" s="305"/>
      <c r="G893" s="305"/>
      <c r="H893" s="305"/>
      <c r="I893" s="305"/>
      <c r="J893" s="305"/>
      <c r="K893" s="305"/>
      <c r="L893" s="305"/>
      <c r="M893" s="305"/>
      <c r="N893" s="305"/>
      <c r="O893" s="305"/>
      <c r="P893" s="305"/>
      <c r="Q893" s="305"/>
      <c r="R893" s="305"/>
      <c r="S893" s="305"/>
      <c r="T893" s="305"/>
      <c r="U893" s="305"/>
      <c r="V893" s="305"/>
      <c r="W893" s="305"/>
      <c r="X893" s="305"/>
      <c r="Y893" s="305"/>
      <c r="Z893" s="305"/>
    </row>
    <row r="894" spans="1:26" ht="15.75" customHeight="1" x14ac:dyDescent="0.25">
      <c r="A894" s="305"/>
      <c r="B894" s="305"/>
      <c r="C894" s="305"/>
      <c r="D894" s="305"/>
      <c r="E894" s="305"/>
      <c r="F894" s="305"/>
      <c r="G894" s="305"/>
      <c r="H894" s="305"/>
      <c r="I894" s="305"/>
      <c r="J894" s="305"/>
      <c r="K894" s="305"/>
      <c r="L894" s="305"/>
      <c r="M894" s="305"/>
      <c r="N894" s="305"/>
      <c r="O894" s="305"/>
      <c r="P894" s="305"/>
      <c r="Q894" s="305"/>
      <c r="R894" s="305"/>
      <c r="S894" s="305"/>
      <c r="T894" s="305"/>
      <c r="U894" s="305"/>
      <c r="V894" s="305"/>
      <c r="W894" s="305"/>
      <c r="X894" s="305"/>
      <c r="Y894" s="305"/>
      <c r="Z894" s="305"/>
    </row>
    <row r="895" spans="1:26" ht="15.75" customHeight="1" x14ac:dyDescent="0.25">
      <c r="A895" s="305"/>
      <c r="B895" s="305"/>
      <c r="C895" s="305"/>
      <c r="D895" s="305"/>
      <c r="E895" s="305"/>
      <c r="F895" s="305"/>
      <c r="G895" s="305"/>
      <c r="H895" s="305"/>
      <c r="I895" s="305"/>
      <c r="J895" s="305"/>
      <c r="K895" s="305"/>
      <c r="L895" s="305"/>
      <c r="M895" s="305"/>
      <c r="N895" s="305"/>
      <c r="O895" s="305"/>
      <c r="P895" s="305"/>
      <c r="Q895" s="305"/>
      <c r="R895" s="305"/>
      <c r="S895" s="305"/>
      <c r="T895" s="305"/>
      <c r="U895" s="305"/>
      <c r="V895" s="305"/>
      <c r="W895" s="305"/>
      <c r="X895" s="305"/>
      <c r="Y895" s="305"/>
      <c r="Z895" s="305"/>
    </row>
    <row r="896" spans="1:26" ht="15.75" customHeight="1" x14ac:dyDescent="0.25">
      <c r="A896" s="305"/>
      <c r="B896" s="305"/>
      <c r="C896" s="305"/>
      <c r="D896" s="305"/>
      <c r="E896" s="305"/>
      <c r="F896" s="305"/>
      <c r="G896" s="305"/>
      <c r="H896" s="305"/>
      <c r="I896" s="305"/>
      <c r="J896" s="305"/>
      <c r="K896" s="305"/>
      <c r="L896" s="305"/>
      <c r="M896" s="305"/>
      <c r="N896" s="305"/>
      <c r="O896" s="305"/>
      <c r="P896" s="305"/>
      <c r="Q896" s="305"/>
      <c r="R896" s="305"/>
      <c r="S896" s="305"/>
      <c r="T896" s="305"/>
      <c r="U896" s="305"/>
      <c r="V896" s="305"/>
      <c r="W896" s="305"/>
      <c r="X896" s="305"/>
      <c r="Y896" s="305"/>
      <c r="Z896" s="305"/>
    </row>
    <row r="897" spans="1:26" ht="15.75" customHeight="1" x14ac:dyDescent="0.25">
      <c r="A897" s="305"/>
      <c r="B897" s="305"/>
      <c r="C897" s="305"/>
      <c r="D897" s="305"/>
      <c r="E897" s="305"/>
      <c r="F897" s="305"/>
      <c r="G897" s="305"/>
      <c r="H897" s="305"/>
      <c r="I897" s="305"/>
      <c r="J897" s="305"/>
      <c r="K897" s="305"/>
      <c r="L897" s="305"/>
      <c r="M897" s="305"/>
      <c r="N897" s="305"/>
      <c r="O897" s="305"/>
      <c r="P897" s="305"/>
      <c r="Q897" s="305"/>
      <c r="R897" s="305"/>
      <c r="S897" s="305"/>
      <c r="T897" s="305"/>
      <c r="U897" s="305"/>
      <c r="V897" s="305"/>
      <c r="W897" s="305"/>
      <c r="X897" s="305"/>
      <c r="Y897" s="305"/>
      <c r="Z897" s="305"/>
    </row>
    <row r="898" spans="1:26" ht="15.75" customHeight="1" x14ac:dyDescent="0.25">
      <c r="A898" s="305"/>
      <c r="B898" s="305"/>
      <c r="C898" s="305"/>
      <c r="D898" s="305"/>
      <c r="E898" s="305"/>
      <c r="F898" s="305"/>
      <c r="G898" s="305"/>
      <c r="H898" s="305"/>
      <c r="I898" s="305"/>
      <c r="J898" s="305"/>
      <c r="K898" s="305"/>
      <c r="L898" s="305"/>
      <c r="M898" s="305"/>
      <c r="N898" s="305"/>
      <c r="O898" s="305"/>
      <c r="P898" s="305"/>
      <c r="Q898" s="305"/>
      <c r="R898" s="305"/>
      <c r="S898" s="305"/>
      <c r="T898" s="305"/>
      <c r="U898" s="305"/>
      <c r="V898" s="305"/>
      <c r="W898" s="305"/>
      <c r="X898" s="305"/>
      <c r="Y898" s="305"/>
      <c r="Z898" s="305"/>
    </row>
    <row r="899" spans="1:26" ht="15.75" customHeight="1" x14ac:dyDescent="0.25">
      <c r="A899" s="305"/>
      <c r="B899" s="305"/>
      <c r="C899" s="305"/>
      <c r="D899" s="305"/>
      <c r="E899" s="305"/>
      <c r="F899" s="305"/>
      <c r="G899" s="305"/>
      <c r="H899" s="305"/>
      <c r="I899" s="305"/>
      <c r="J899" s="305"/>
      <c r="K899" s="305"/>
      <c r="L899" s="305"/>
      <c r="M899" s="305"/>
      <c r="N899" s="305"/>
      <c r="O899" s="305"/>
      <c r="P899" s="305"/>
      <c r="Q899" s="305"/>
      <c r="R899" s="305"/>
      <c r="S899" s="305"/>
      <c r="T899" s="305"/>
      <c r="U899" s="305"/>
      <c r="V899" s="305"/>
      <c r="W899" s="305"/>
      <c r="X899" s="305"/>
      <c r="Y899" s="305"/>
      <c r="Z899" s="305"/>
    </row>
    <row r="900" spans="1:26" ht="15.75" customHeight="1" x14ac:dyDescent="0.25">
      <c r="A900" s="305"/>
      <c r="B900" s="305"/>
      <c r="C900" s="305"/>
      <c r="D900" s="305"/>
      <c r="E900" s="305"/>
      <c r="F900" s="305"/>
      <c r="G900" s="305"/>
      <c r="H900" s="305"/>
      <c r="I900" s="305"/>
      <c r="J900" s="305"/>
      <c r="K900" s="305"/>
      <c r="L900" s="305"/>
      <c r="M900" s="305"/>
      <c r="N900" s="305"/>
      <c r="O900" s="305"/>
      <c r="P900" s="305"/>
      <c r="Q900" s="305"/>
      <c r="R900" s="305"/>
      <c r="S900" s="305"/>
      <c r="T900" s="305"/>
      <c r="U900" s="305"/>
      <c r="V900" s="305"/>
      <c r="W900" s="305"/>
      <c r="X900" s="305"/>
      <c r="Y900" s="305"/>
      <c r="Z900" s="305"/>
    </row>
    <row r="901" spans="1:26" ht="15.75" customHeight="1" x14ac:dyDescent="0.25">
      <c r="A901" s="305"/>
      <c r="B901" s="305"/>
      <c r="C901" s="305"/>
      <c r="D901" s="305"/>
      <c r="E901" s="305"/>
      <c r="F901" s="305"/>
      <c r="G901" s="305"/>
      <c r="H901" s="305"/>
      <c r="I901" s="305"/>
      <c r="J901" s="305"/>
      <c r="K901" s="305"/>
      <c r="L901" s="305"/>
      <c r="M901" s="305"/>
      <c r="N901" s="305"/>
      <c r="O901" s="305"/>
      <c r="P901" s="305"/>
      <c r="Q901" s="305"/>
      <c r="R901" s="305"/>
      <c r="S901" s="305"/>
      <c r="T901" s="305"/>
      <c r="U901" s="305"/>
      <c r="V901" s="305"/>
      <c r="W901" s="305"/>
      <c r="X901" s="305"/>
      <c r="Y901" s="305"/>
      <c r="Z901" s="305"/>
    </row>
    <row r="902" spans="1:26" ht="15.75" customHeight="1" x14ac:dyDescent="0.25">
      <c r="A902" s="305"/>
      <c r="B902" s="305"/>
      <c r="C902" s="305"/>
      <c r="D902" s="305"/>
      <c r="E902" s="305"/>
      <c r="F902" s="305"/>
      <c r="G902" s="305"/>
      <c r="H902" s="305"/>
      <c r="I902" s="305"/>
      <c r="J902" s="305"/>
      <c r="K902" s="305"/>
      <c r="L902" s="305"/>
      <c r="M902" s="305"/>
      <c r="N902" s="305"/>
      <c r="O902" s="305"/>
      <c r="P902" s="305"/>
      <c r="Q902" s="305"/>
      <c r="R902" s="305"/>
      <c r="S902" s="305"/>
      <c r="T902" s="305"/>
      <c r="U902" s="305"/>
      <c r="V902" s="305"/>
      <c r="W902" s="305"/>
      <c r="X902" s="305"/>
      <c r="Y902" s="305"/>
      <c r="Z902" s="305"/>
    </row>
    <row r="903" spans="1:26" ht="15.75" customHeight="1" x14ac:dyDescent="0.25">
      <c r="A903" s="305"/>
      <c r="B903" s="305"/>
      <c r="C903" s="305"/>
      <c r="D903" s="305"/>
      <c r="E903" s="305"/>
      <c r="F903" s="305"/>
      <c r="G903" s="305"/>
      <c r="H903" s="305"/>
      <c r="I903" s="305"/>
      <c r="J903" s="305"/>
      <c r="K903" s="305"/>
      <c r="L903" s="305"/>
      <c r="M903" s="305"/>
      <c r="N903" s="305"/>
      <c r="O903" s="305"/>
      <c r="P903" s="305"/>
      <c r="Q903" s="305"/>
      <c r="R903" s="305"/>
      <c r="S903" s="305"/>
      <c r="T903" s="305"/>
      <c r="U903" s="305"/>
      <c r="V903" s="305"/>
      <c r="W903" s="305"/>
      <c r="X903" s="305"/>
      <c r="Y903" s="305"/>
      <c r="Z903" s="305"/>
    </row>
    <row r="904" spans="1:26" ht="15.75" customHeight="1" x14ac:dyDescent="0.25">
      <c r="A904" s="305"/>
      <c r="B904" s="305"/>
      <c r="C904" s="305"/>
      <c r="D904" s="305"/>
      <c r="E904" s="305"/>
      <c r="F904" s="305"/>
      <c r="G904" s="305"/>
      <c r="H904" s="305"/>
      <c r="I904" s="305"/>
      <c r="J904" s="305"/>
      <c r="K904" s="305"/>
      <c r="L904" s="305"/>
      <c r="M904" s="305"/>
      <c r="N904" s="305"/>
      <c r="O904" s="305"/>
      <c r="P904" s="305"/>
      <c r="Q904" s="305"/>
      <c r="R904" s="305"/>
      <c r="S904" s="305"/>
      <c r="T904" s="305"/>
      <c r="U904" s="305"/>
      <c r="V904" s="305"/>
      <c r="W904" s="305"/>
      <c r="X904" s="305"/>
      <c r="Y904" s="305"/>
      <c r="Z904" s="305"/>
    </row>
    <row r="905" spans="1:26" ht="15.75" customHeight="1" x14ac:dyDescent="0.25">
      <c r="A905" s="305"/>
      <c r="B905" s="305"/>
      <c r="C905" s="305"/>
      <c r="D905" s="305"/>
      <c r="E905" s="305"/>
      <c r="F905" s="305"/>
      <c r="G905" s="305"/>
      <c r="H905" s="305"/>
      <c r="I905" s="305"/>
      <c r="J905" s="305"/>
      <c r="K905" s="305"/>
      <c r="L905" s="305"/>
      <c r="M905" s="305"/>
      <c r="N905" s="305"/>
      <c r="O905" s="305"/>
      <c r="P905" s="305"/>
      <c r="Q905" s="305"/>
      <c r="R905" s="305"/>
      <c r="S905" s="305"/>
      <c r="T905" s="305"/>
      <c r="U905" s="305"/>
      <c r="V905" s="305"/>
      <c r="W905" s="305"/>
      <c r="X905" s="305"/>
      <c r="Y905" s="305"/>
      <c r="Z905" s="305"/>
    </row>
    <row r="906" spans="1:26" ht="15.75" customHeight="1" x14ac:dyDescent="0.25">
      <c r="A906" s="305"/>
      <c r="B906" s="305"/>
      <c r="C906" s="305"/>
      <c r="D906" s="305"/>
      <c r="E906" s="305"/>
      <c r="F906" s="305"/>
      <c r="G906" s="305"/>
      <c r="H906" s="305"/>
      <c r="I906" s="305"/>
      <c r="J906" s="305"/>
      <c r="K906" s="305"/>
      <c r="L906" s="305"/>
      <c r="M906" s="305"/>
      <c r="N906" s="305"/>
      <c r="O906" s="305"/>
      <c r="P906" s="305"/>
      <c r="Q906" s="305"/>
      <c r="R906" s="305"/>
      <c r="S906" s="305"/>
      <c r="T906" s="305"/>
      <c r="U906" s="305"/>
      <c r="V906" s="305"/>
      <c r="W906" s="305"/>
      <c r="X906" s="305"/>
      <c r="Y906" s="305"/>
      <c r="Z906" s="305"/>
    </row>
    <row r="907" spans="1:26" ht="15.75" customHeight="1" x14ac:dyDescent="0.25">
      <c r="A907" s="305"/>
      <c r="B907" s="305"/>
      <c r="C907" s="305"/>
      <c r="D907" s="305"/>
      <c r="E907" s="305"/>
      <c r="F907" s="305"/>
      <c r="G907" s="305"/>
      <c r="H907" s="305"/>
      <c r="I907" s="305"/>
      <c r="J907" s="305"/>
      <c r="K907" s="305"/>
      <c r="L907" s="305"/>
      <c r="M907" s="305"/>
      <c r="N907" s="305"/>
      <c r="O907" s="305"/>
      <c r="P907" s="305"/>
      <c r="Q907" s="305"/>
      <c r="R907" s="305"/>
      <c r="S907" s="305"/>
      <c r="T907" s="305"/>
      <c r="U907" s="305"/>
      <c r="V907" s="305"/>
      <c r="W907" s="305"/>
      <c r="X907" s="305"/>
      <c r="Y907" s="305"/>
      <c r="Z907" s="305"/>
    </row>
    <row r="908" spans="1:26" ht="15.75" customHeight="1" x14ac:dyDescent="0.25">
      <c r="A908" s="305"/>
      <c r="B908" s="305"/>
      <c r="C908" s="305"/>
      <c r="D908" s="305"/>
      <c r="E908" s="305"/>
      <c r="F908" s="305"/>
      <c r="G908" s="305"/>
      <c r="H908" s="305"/>
      <c r="I908" s="305"/>
      <c r="J908" s="305"/>
      <c r="K908" s="305"/>
      <c r="L908" s="305"/>
      <c r="M908" s="305"/>
      <c r="N908" s="305"/>
      <c r="O908" s="305"/>
      <c r="P908" s="305"/>
      <c r="Q908" s="305"/>
      <c r="R908" s="305"/>
      <c r="S908" s="305"/>
      <c r="T908" s="305"/>
      <c r="U908" s="305"/>
      <c r="V908" s="305"/>
      <c r="W908" s="305"/>
      <c r="X908" s="305"/>
      <c r="Y908" s="305"/>
      <c r="Z908" s="305"/>
    </row>
    <row r="909" spans="1:26" ht="15.75" customHeight="1" x14ac:dyDescent="0.25">
      <c r="A909" s="305"/>
      <c r="B909" s="305"/>
      <c r="C909" s="305"/>
      <c r="D909" s="305"/>
      <c r="E909" s="305"/>
      <c r="F909" s="305"/>
      <c r="G909" s="305"/>
      <c r="H909" s="305"/>
      <c r="I909" s="305"/>
      <c r="J909" s="305"/>
      <c r="K909" s="305"/>
      <c r="L909" s="305"/>
      <c r="M909" s="305"/>
      <c r="N909" s="305"/>
      <c r="O909" s="305"/>
      <c r="P909" s="305"/>
      <c r="Q909" s="305"/>
      <c r="R909" s="305"/>
      <c r="S909" s="305"/>
      <c r="T909" s="305"/>
      <c r="U909" s="305"/>
      <c r="V909" s="305"/>
      <c r="W909" s="305"/>
      <c r="X909" s="305"/>
      <c r="Y909" s="305"/>
      <c r="Z909" s="305"/>
    </row>
    <row r="910" spans="1:26" ht="15.75" customHeight="1" x14ac:dyDescent="0.25">
      <c r="A910" s="305"/>
      <c r="B910" s="305"/>
      <c r="C910" s="305"/>
      <c r="D910" s="305"/>
      <c r="E910" s="305"/>
      <c r="F910" s="305"/>
      <c r="G910" s="305"/>
      <c r="H910" s="305"/>
      <c r="I910" s="305"/>
      <c r="J910" s="305"/>
      <c r="K910" s="305"/>
      <c r="L910" s="305"/>
      <c r="M910" s="305"/>
      <c r="N910" s="305"/>
      <c r="O910" s="305"/>
      <c r="P910" s="305"/>
      <c r="Q910" s="305"/>
      <c r="R910" s="305"/>
      <c r="S910" s="305"/>
      <c r="T910" s="305"/>
      <c r="U910" s="305"/>
      <c r="V910" s="305"/>
      <c r="W910" s="305"/>
      <c r="X910" s="305"/>
      <c r="Y910" s="305"/>
      <c r="Z910" s="305"/>
    </row>
    <row r="911" spans="1:26" ht="15.75" customHeight="1" x14ac:dyDescent="0.25">
      <c r="A911" s="305"/>
      <c r="B911" s="305"/>
      <c r="C911" s="305"/>
      <c r="D911" s="305"/>
      <c r="E911" s="305"/>
      <c r="F911" s="305"/>
      <c r="G911" s="305"/>
      <c r="H911" s="305"/>
      <c r="I911" s="305"/>
      <c r="J911" s="305"/>
      <c r="K911" s="305"/>
      <c r="L911" s="305"/>
      <c r="M911" s="305"/>
      <c r="N911" s="305"/>
      <c r="O911" s="305"/>
      <c r="P911" s="305"/>
      <c r="Q911" s="305"/>
      <c r="R911" s="305"/>
      <c r="S911" s="305"/>
      <c r="T911" s="305"/>
      <c r="U911" s="305"/>
      <c r="V911" s="305"/>
      <c r="W911" s="305"/>
      <c r="X911" s="305"/>
      <c r="Y911" s="305"/>
      <c r="Z911" s="305"/>
    </row>
    <row r="912" spans="1:26" ht="15.75" customHeight="1" x14ac:dyDescent="0.25">
      <c r="A912" s="305"/>
      <c r="B912" s="305"/>
      <c r="C912" s="305"/>
      <c r="D912" s="305"/>
      <c r="E912" s="305"/>
      <c r="F912" s="305"/>
      <c r="G912" s="305"/>
      <c r="H912" s="305"/>
      <c r="I912" s="305"/>
      <c r="J912" s="305"/>
      <c r="K912" s="305"/>
      <c r="L912" s="305"/>
      <c r="M912" s="305"/>
      <c r="N912" s="305"/>
      <c r="O912" s="305"/>
      <c r="P912" s="305"/>
      <c r="Q912" s="305"/>
      <c r="R912" s="305"/>
      <c r="S912" s="305"/>
      <c r="T912" s="305"/>
      <c r="U912" s="305"/>
      <c r="V912" s="305"/>
      <c r="W912" s="305"/>
      <c r="X912" s="305"/>
      <c r="Y912" s="305"/>
      <c r="Z912" s="305"/>
    </row>
    <row r="913" spans="1:26" ht="15.75" customHeight="1" x14ac:dyDescent="0.25">
      <c r="A913" s="305"/>
      <c r="B913" s="305"/>
      <c r="C913" s="305"/>
      <c r="D913" s="305"/>
      <c r="E913" s="305"/>
      <c r="F913" s="305"/>
      <c r="G913" s="305"/>
      <c r="H913" s="305"/>
      <c r="I913" s="305"/>
      <c r="J913" s="305"/>
      <c r="K913" s="305"/>
      <c r="L913" s="305"/>
      <c r="M913" s="305"/>
      <c r="N913" s="305"/>
      <c r="O913" s="305"/>
      <c r="P913" s="305"/>
      <c r="Q913" s="305"/>
      <c r="R913" s="305"/>
      <c r="S913" s="305"/>
      <c r="T913" s="305"/>
      <c r="U913" s="305"/>
      <c r="V913" s="305"/>
      <c r="W913" s="305"/>
      <c r="X913" s="305"/>
      <c r="Y913" s="305"/>
      <c r="Z913" s="305"/>
    </row>
    <row r="914" spans="1:26" ht="15.75" customHeight="1" x14ac:dyDescent="0.25">
      <c r="A914" s="305"/>
      <c r="B914" s="305"/>
      <c r="C914" s="305"/>
      <c r="D914" s="305"/>
      <c r="E914" s="305"/>
      <c r="F914" s="305"/>
      <c r="G914" s="305"/>
      <c r="H914" s="305"/>
      <c r="I914" s="305"/>
      <c r="J914" s="305"/>
      <c r="K914" s="305"/>
      <c r="L914" s="305"/>
      <c r="M914" s="305"/>
      <c r="N914" s="305"/>
      <c r="O914" s="305"/>
      <c r="P914" s="305"/>
      <c r="Q914" s="305"/>
      <c r="R914" s="305"/>
      <c r="S914" s="305"/>
      <c r="T914" s="305"/>
      <c r="U914" s="305"/>
      <c r="V914" s="305"/>
      <c r="W914" s="305"/>
      <c r="X914" s="305"/>
      <c r="Y914" s="305"/>
      <c r="Z914" s="305"/>
    </row>
    <row r="915" spans="1:26" ht="15.75" customHeight="1" x14ac:dyDescent="0.25">
      <c r="A915" s="305"/>
      <c r="B915" s="305"/>
      <c r="C915" s="305"/>
      <c r="D915" s="305"/>
      <c r="E915" s="305"/>
      <c r="F915" s="305"/>
      <c r="G915" s="305"/>
      <c r="H915" s="305"/>
      <c r="I915" s="305"/>
      <c r="J915" s="305"/>
      <c r="K915" s="305"/>
      <c r="L915" s="305"/>
      <c r="M915" s="305"/>
      <c r="N915" s="305"/>
      <c r="O915" s="305"/>
      <c r="P915" s="305"/>
      <c r="Q915" s="305"/>
      <c r="R915" s="305"/>
      <c r="S915" s="305"/>
      <c r="T915" s="305"/>
      <c r="U915" s="305"/>
      <c r="V915" s="305"/>
      <c r="W915" s="305"/>
      <c r="X915" s="305"/>
      <c r="Y915" s="305"/>
      <c r="Z915" s="305"/>
    </row>
    <row r="916" spans="1:26" ht="15.75" customHeight="1" x14ac:dyDescent="0.25">
      <c r="A916" s="305"/>
      <c r="B916" s="305"/>
      <c r="C916" s="305"/>
      <c r="D916" s="305"/>
      <c r="E916" s="305"/>
      <c r="F916" s="305"/>
      <c r="G916" s="305"/>
      <c r="H916" s="305"/>
      <c r="I916" s="305"/>
      <c r="J916" s="305"/>
      <c r="K916" s="305"/>
      <c r="L916" s="305"/>
      <c r="M916" s="305"/>
      <c r="N916" s="305"/>
      <c r="O916" s="305"/>
      <c r="P916" s="305"/>
      <c r="Q916" s="305"/>
      <c r="R916" s="305"/>
      <c r="S916" s="305"/>
      <c r="T916" s="305"/>
      <c r="U916" s="305"/>
      <c r="V916" s="305"/>
      <c r="W916" s="305"/>
      <c r="X916" s="305"/>
      <c r="Y916" s="305"/>
      <c r="Z916" s="305"/>
    </row>
    <row r="917" spans="1:26" ht="15.75" customHeight="1" x14ac:dyDescent="0.25">
      <c r="A917" s="305"/>
      <c r="B917" s="305"/>
      <c r="C917" s="305"/>
      <c r="D917" s="305"/>
      <c r="E917" s="305"/>
      <c r="F917" s="305"/>
      <c r="G917" s="305"/>
      <c r="H917" s="305"/>
      <c r="I917" s="305"/>
      <c r="J917" s="305"/>
      <c r="K917" s="305"/>
      <c r="L917" s="305"/>
      <c r="M917" s="305"/>
      <c r="N917" s="305"/>
      <c r="O917" s="305"/>
      <c r="P917" s="305"/>
      <c r="Q917" s="305"/>
      <c r="R917" s="305"/>
      <c r="S917" s="305"/>
      <c r="T917" s="305"/>
      <c r="U917" s="305"/>
      <c r="V917" s="305"/>
      <c r="W917" s="305"/>
      <c r="X917" s="305"/>
      <c r="Y917" s="305"/>
      <c r="Z917" s="305"/>
    </row>
    <row r="918" spans="1:26" ht="15.75" customHeight="1" x14ac:dyDescent="0.25">
      <c r="A918" s="305"/>
      <c r="B918" s="305"/>
      <c r="C918" s="305"/>
      <c r="D918" s="305"/>
      <c r="E918" s="305"/>
      <c r="F918" s="305"/>
      <c r="G918" s="305"/>
      <c r="H918" s="305"/>
      <c r="I918" s="305"/>
      <c r="J918" s="305"/>
      <c r="K918" s="305"/>
      <c r="L918" s="305"/>
      <c r="M918" s="305"/>
      <c r="N918" s="305"/>
      <c r="O918" s="305"/>
      <c r="P918" s="305"/>
      <c r="Q918" s="305"/>
      <c r="R918" s="305"/>
      <c r="S918" s="305"/>
      <c r="T918" s="305"/>
      <c r="U918" s="305"/>
      <c r="V918" s="305"/>
      <c r="W918" s="305"/>
      <c r="X918" s="305"/>
      <c r="Y918" s="305"/>
      <c r="Z918" s="305"/>
    </row>
    <row r="919" spans="1:26" ht="15.75" customHeight="1" x14ac:dyDescent="0.25">
      <c r="A919" s="305"/>
      <c r="B919" s="305"/>
      <c r="C919" s="305"/>
      <c r="D919" s="305"/>
      <c r="E919" s="305"/>
      <c r="F919" s="305"/>
      <c r="G919" s="305"/>
      <c r="H919" s="305"/>
      <c r="I919" s="305"/>
      <c r="J919" s="305"/>
      <c r="K919" s="305"/>
      <c r="L919" s="305"/>
      <c r="M919" s="305"/>
      <c r="N919" s="305"/>
      <c r="O919" s="305"/>
      <c r="P919" s="305"/>
      <c r="Q919" s="305"/>
      <c r="R919" s="305"/>
      <c r="S919" s="305"/>
      <c r="T919" s="305"/>
      <c r="U919" s="305"/>
      <c r="V919" s="305"/>
      <c r="W919" s="305"/>
      <c r="X919" s="305"/>
      <c r="Y919" s="305"/>
      <c r="Z919" s="305"/>
    </row>
    <row r="920" spans="1:26" ht="15.75" customHeight="1" x14ac:dyDescent="0.25">
      <c r="A920" s="305"/>
      <c r="B920" s="305"/>
      <c r="C920" s="305"/>
      <c r="D920" s="305"/>
      <c r="E920" s="305"/>
      <c r="F920" s="305"/>
      <c r="G920" s="305"/>
      <c r="H920" s="305"/>
      <c r="I920" s="305"/>
      <c r="J920" s="305"/>
      <c r="K920" s="305"/>
      <c r="L920" s="305"/>
      <c r="M920" s="305"/>
      <c r="N920" s="305"/>
      <c r="O920" s="305"/>
      <c r="P920" s="305"/>
      <c r="Q920" s="305"/>
      <c r="R920" s="305"/>
      <c r="S920" s="305"/>
      <c r="T920" s="305"/>
      <c r="U920" s="305"/>
      <c r="V920" s="305"/>
      <c r="W920" s="305"/>
      <c r="X920" s="305"/>
      <c r="Y920" s="305"/>
      <c r="Z920" s="305"/>
    </row>
    <row r="921" spans="1:26" ht="15.75" customHeight="1" x14ac:dyDescent="0.25">
      <c r="A921" s="305"/>
      <c r="B921" s="305"/>
      <c r="C921" s="305"/>
      <c r="D921" s="305"/>
      <c r="E921" s="305"/>
      <c r="F921" s="305"/>
      <c r="G921" s="305"/>
      <c r="H921" s="305"/>
      <c r="I921" s="305"/>
      <c r="J921" s="305"/>
      <c r="K921" s="305"/>
      <c r="L921" s="305"/>
      <c r="M921" s="305"/>
      <c r="N921" s="305"/>
      <c r="O921" s="305"/>
      <c r="P921" s="305"/>
      <c r="Q921" s="305"/>
      <c r="R921" s="305"/>
      <c r="S921" s="305"/>
      <c r="T921" s="305"/>
      <c r="U921" s="305"/>
      <c r="V921" s="305"/>
      <c r="W921" s="305"/>
      <c r="X921" s="305"/>
      <c r="Y921" s="305"/>
      <c r="Z921" s="305"/>
    </row>
    <row r="922" spans="1:26" ht="15.75" customHeight="1" x14ac:dyDescent="0.25">
      <c r="A922" s="305"/>
      <c r="B922" s="305"/>
      <c r="C922" s="305"/>
      <c r="D922" s="305"/>
      <c r="E922" s="305"/>
      <c r="F922" s="305"/>
      <c r="G922" s="305"/>
      <c r="H922" s="305"/>
      <c r="I922" s="305"/>
      <c r="J922" s="305"/>
      <c r="K922" s="305"/>
      <c r="L922" s="305"/>
      <c r="M922" s="305"/>
      <c r="N922" s="305"/>
      <c r="O922" s="305"/>
      <c r="P922" s="305"/>
      <c r="Q922" s="305"/>
      <c r="R922" s="305"/>
      <c r="S922" s="305"/>
      <c r="T922" s="305"/>
      <c r="U922" s="305"/>
      <c r="V922" s="305"/>
      <c r="W922" s="305"/>
      <c r="X922" s="305"/>
      <c r="Y922" s="305"/>
      <c r="Z922" s="305"/>
    </row>
    <row r="923" spans="1:26" ht="15.75" customHeight="1" x14ac:dyDescent="0.25">
      <c r="A923" s="305"/>
      <c r="B923" s="305"/>
      <c r="C923" s="305"/>
      <c r="D923" s="305"/>
      <c r="E923" s="305"/>
      <c r="F923" s="305"/>
      <c r="G923" s="305"/>
      <c r="H923" s="305"/>
      <c r="I923" s="305"/>
      <c r="J923" s="305"/>
      <c r="K923" s="305"/>
      <c r="L923" s="305"/>
      <c r="M923" s="305"/>
      <c r="N923" s="305"/>
      <c r="O923" s="305"/>
      <c r="P923" s="305"/>
      <c r="Q923" s="305"/>
      <c r="R923" s="305"/>
      <c r="S923" s="305"/>
      <c r="T923" s="305"/>
      <c r="U923" s="305"/>
      <c r="V923" s="305"/>
      <c r="W923" s="305"/>
      <c r="X923" s="305"/>
      <c r="Y923" s="305"/>
      <c r="Z923" s="305"/>
    </row>
    <row r="924" spans="1:26" ht="15.75" customHeight="1" x14ac:dyDescent="0.25">
      <c r="A924" s="305"/>
      <c r="B924" s="305"/>
      <c r="C924" s="305"/>
      <c r="D924" s="305"/>
      <c r="E924" s="305"/>
      <c r="F924" s="305"/>
      <c r="G924" s="305"/>
      <c r="H924" s="305"/>
      <c r="I924" s="305"/>
      <c r="J924" s="305"/>
      <c r="K924" s="305"/>
      <c r="L924" s="305"/>
      <c r="M924" s="305"/>
      <c r="N924" s="305"/>
      <c r="O924" s="305"/>
      <c r="P924" s="305"/>
      <c r="Q924" s="305"/>
      <c r="R924" s="305"/>
      <c r="S924" s="305"/>
      <c r="T924" s="305"/>
      <c r="U924" s="305"/>
      <c r="V924" s="305"/>
      <c r="W924" s="305"/>
      <c r="X924" s="305"/>
      <c r="Y924" s="305"/>
      <c r="Z924" s="305"/>
    </row>
    <row r="925" spans="1:26" ht="15.75" customHeight="1" x14ac:dyDescent="0.25">
      <c r="A925" s="305"/>
      <c r="B925" s="305"/>
      <c r="C925" s="305"/>
      <c r="D925" s="305"/>
      <c r="E925" s="305"/>
      <c r="F925" s="305"/>
      <c r="G925" s="305"/>
      <c r="H925" s="305"/>
      <c r="I925" s="305"/>
      <c r="J925" s="305"/>
      <c r="K925" s="305"/>
      <c r="L925" s="305"/>
      <c r="M925" s="305"/>
      <c r="N925" s="305"/>
      <c r="O925" s="305"/>
      <c r="P925" s="305"/>
      <c r="Q925" s="305"/>
      <c r="R925" s="305"/>
      <c r="S925" s="305"/>
      <c r="T925" s="305"/>
      <c r="U925" s="305"/>
      <c r="V925" s="305"/>
      <c r="W925" s="305"/>
      <c r="X925" s="305"/>
      <c r="Y925" s="305"/>
      <c r="Z925" s="305"/>
    </row>
    <row r="926" spans="1:26" ht="15.75" customHeight="1" x14ac:dyDescent="0.25">
      <c r="A926" s="305"/>
      <c r="B926" s="305"/>
      <c r="C926" s="305"/>
      <c r="D926" s="305"/>
      <c r="E926" s="305"/>
      <c r="F926" s="305"/>
      <c r="G926" s="305"/>
      <c r="H926" s="305"/>
      <c r="I926" s="305"/>
      <c r="J926" s="305"/>
      <c r="K926" s="305"/>
      <c r="L926" s="305"/>
      <c r="M926" s="305"/>
      <c r="N926" s="305"/>
      <c r="O926" s="305"/>
      <c r="P926" s="305"/>
      <c r="Q926" s="305"/>
      <c r="R926" s="305"/>
      <c r="S926" s="305"/>
      <c r="T926" s="305"/>
      <c r="U926" s="305"/>
      <c r="V926" s="305"/>
      <c r="W926" s="305"/>
      <c r="X926" s="305"/>
      <c r="Y926" s="305"/>
      <c r="Z926" s="305"/>
    </row>
    <row r="927" spans="1:26" ht="15.75" customHeight="1" x14ac:dyDescent="0.25">
      <c r="A927" s="305"/>
      <c r="B927" s="305"/>
      <c r="C927" s="305"/>
      <c r="D927" s="305"/>
      <c r="E927" s="305"/>
      <c r="F927" s="305"/>
      <c r="G927" s="305"/>
      <c r="H927" s="305"/>
      <c r="I927" s="305"/>
      <c r="J927" s="305"/>
      <c r="K927" s="305"/>
      <c r="L927" s="305"/>
      <c r="M927" s="305"/>
      <c r="N927" s="305"/>
      <c r="O927" s="305"/>
      <c r="P927" s="305"/>
      <c r="Q927" s="305"/>
      <c r="R927" s="305"/>
      <c r="S927" s="305"/>
      <c r="T927" s="305"/>
      <c r="U927" s="305"/>
      <c r="V927" s="305"/>
      <c r="W927" s="305"/>
      <c r="X927" s="305"/>
      <c r="Y927" s="305"/>
      <c r="Z927" s="305"/>
    </row>
    <row r="928" spans="1:26" ht="15.75" customHeight="1" x14ac:dyDescent="0.25">
      <c r="A928" s="305"/>
      <c r="B928" s="305"/>
      <c r="C928" s="305"/>
      <c r="D928" s="305"/>
      <c r="E928" s="305"/>
      <c r="F928" s="305"/>
      <c r="G928" s="305"/>
      <c r="H928" s="305"/>
      <c r="I928" s="305"/>
      <c r="J928" s="305"/>
      <c r="K928" s="305"/>
      <c r="L928" s="305"/>
      <c r="M928" s="305"/>
      <c r="N928" s="305"/>
      <c r="O928" s="305"/>
      <c r="P928" s="305"/>
      <c r="Q928" s="305"/>
      <c r="R928" s="305"/>
      <c r="S928" s="305"/>
      <c r="T928" s="305"/>
      <c r="U928" s="305"/>
      <c r="V928" s="305"/>
      <c r="W928" s="305"/>
      <c r="X928" s="305"/>
      <c r="Y928" s="305"/>
      <c r="Z928" s="305"/>
    </row>
    <row r="929" spans="1:26" ht="15.75" customHeight="1" x14ac:dyDescent="0.25">
      <c r="A929" s="305"/>
      <c r="B929" s="305"/>
      <c r="C929" s="305"/>
      <c r="D929" s="305"/>
      <c r="E929" s="305"/>
      <c r="F929" s="305"/>
      <c r="G929" s="305"/>
      <c r="H929" s="305"/>
      <c r="I929" s="305"/>
      <c r="J929" s="305"/>
      <c r="K929" s="305"/>
      <c r="L929" s="305"/>
      <c r="M929" s="305"/>
      <c r="N929" s="305"/>
      <c r="O929" s="305"/>
      <c r="P929" s="305"/>
      <c r="Q929" s="305"/>
      <c r="R929" s="305"/>
      <c r="S929" s="305"/>
      <c r="T929" s="305"/>
      <c r="U929" s="305"/>
      <c r="V929" s="305"/>
      <c r="W929" s="305"/>
      <c r="X929" s="305"/>
      <c r="Y929" s="305"/>
      <c r="Z929" s="305"/>
    </row>
    <row r="930" spans="1:26" ht="15.75" customHeight="1" x14ac:dyDescent="0.25">
      <c r="A930" s="305"/>
      <c r="B930" s="305"/>
      <c r="C930" s="305"/>
      <c r="D930" s="305"/>
      <c r="E930" s="305"/>
      <c r="F930" s="305"/>
      <c r="G930" s="305"/>
      <c r="H930" s="305"/>
      <c r="I930" s="305"/>
      <c r="J930" s="305"/>
      <c r="K930" s="305"/>
      <c r="L930" s="305"/>
      <c r="M930" s="305"/>
      <c r="N930" s="305"/>
      <c r="O930" s="305"/>
      <c r="P930" s="305"/>
      <c r="Q930" s="305"/>
      <c r="R930" s="305"/>
      <c r="S930" s="305"/>
      <c r="T930" s="305"/>
      <c r="U930" s="305"/>
      <c r="V930" s="305"/>
      <c r="W930" s="305"/>
      <c r="X930" s="305"/>
      <c r="Y930" s="305"/>
      <c r="Z930" s="305"/>
    </row>
    <row r="931" spans="1:26" ht="15.75" customHeight="1" x14ac:dyDescent="0.25">
      <c r="A931" s="305"/>
      <c r="B931" s="305"/>
      <c r="C931" s="305"/>
      <c r="D931" s="305"/>
      <c r="E931" s="305"/>
      <c r="F931" s="305"/>
      <c r="G931" s="305"/>
      <c r="H931" s="305"/>
      <c r="I931" s="305"/>
      <c r="J931" s="305"/>
      <c r="K931" s="305"/>
      <c r="L931" s="305"/>
      <c r="M931" s="305"/>
      <c r="N931" s="305"/>
      <c r="O931" s="305"/>
      <c r="P931" s="305"/>
      <c r="Q931" s="305"/>
      <c r="R931" s="305"/>
      <c r="S931" s="305"/>
      <c r="T931" s="305"/>
      <c r="U931" s="305"/>
      <c r="V931" s="305"/>
      <c r="W931" s="305"/>
      <c r="X931" s="305"/>
      <c r="Y931" s="305"/>
      <c r="Z931" s="305"/>
    </row>
    <row r="932" spans="1:26" ht="15.75" customHeight="1" x14ac:dyDescent="0.25">
      <c r="A932" s="305"/>
      <c r="B932" s="305"/>
      <c r="C932" s="305"/>
      <c r="D932" s="305"/>
      <c r="E932" s="305"/>
      <c r="F932" s="305"/>
      <c r="G932" s="305"/>
      <c r="H932" s="305"/>
      <c r="I932" s="305"/>
      <c r="J932" s="305"/>
      <c r="K932" s="305"/>
      <c r="L932" s="305"/>
      <c r="M932" s="305"/>
      <c r="N932" s="305"/>
      <c r="O932" s="305"/>
      <c r="P932" s="305"/>
      <c r="Q932" s="305"/>
      <c r="R932" s="305"/>
      <c r="S932" s="305"/>
      <c r="T932" s="305"/>
      <c r="U932" s="305"/>
      <c r="V932" s="305"/>
      <c r="W932" s="305"/>
      <c r="X932" s="305"/>
      <c r="Y932" s="305"/>
      <c r="Z932" s="305"/>
    </row>
    <row r="933" spans="1:26" ht="15.75" customHeight="1" x14ac:dyDescent="0.25">
      <c r="A933" s="305"/>
      <c r="B933" s="305"/>
      <c r="C933" s="305"/>
      <c r="D933" s="305"/>
      <c r="E933" s="305"/>
      <c r="F933" s="305"/>
      <c r="G933" s="305"/>
      <c r="H933" s="305"/>
      <c r="I933" s="305"/>
      <c r="J933" s="305"/>
      <c r="K933" s="305"/>
      <c r="L933" s="305"/>
      <c r="M933" s="305"/>
      <c r="N933" s="305"/>
      <c r="O933" s="305"/>
      <c r="P933" s="305"/>
      <c r="Q933" s="305"/>
      <c r="R933" s="305"/>
      <c r="S933" s="305"/>
      <c r="T933" s="305"/>
      <c r="U933" s="305"/>
      <c r="V933" s="305"/>
      <c r="W933" s="305"/>
      <c r="X933" s="305"/>
      <c r="Y933" s="305"/>
      <c r="Z933" s="305"/>
    </row>
    <row r="934" spans="1:26" ht="15.75" customHeight="1" x14ac:dyDescent="0.25">
      <c r="A934" s="305"/>
      <c r="B934" s="305"/>
      <c r="C934" s="305"/>
      <c r="D934" s="305"/>
      <c r="E934" s="305"/>
      <c r="F934" s="305"/>
      <c r="G934" s="305"/>
      <c r="H934" s="305"/>
      <c r="I934" s="305"/>
      <c r="J934" s="305"/>
      <c r="K934" s="305"/>
      <c r="L934" s="305"/>
      <c r="M934" s="305"/>
      <c r="N934" s="305"/>
      <c r="O934" s="305"/>
      <c r="P934" s="305"/>
      <c r="Q934" s="305"/>
      <c r="R934" s="305"/>
      <c r="S934" s="305"/>
      <c r="T934" s="305"/>
      <c r="U934" s="305"/>
      <c r="V934" s="305"/>
      <c r="W934" s="305"/>
      <c r="X934" s="305"/>
      <c r="Y934" s="305"/>
      <c r="Z934" s="305"/>
    </row>
    <row r="935" spans="1:26" ht="15.75" customHeight="1" x14ac:dyDescent="0.25">
      <c r="A935" s="305"/>
      <c r="B935" s="305"/>
      <c r="C935" s="305"/>
      <c r="D935" s="305"/>
      <c r="E935" s="305"/>
      <c r="F935" s="305"/>
      <c r="G935" s="305"/>
      <c r="H935" s="305"/>
      <c r="I935" s="305"/>
      <c r="J935" s="305"/>
      <c r="K935" s="305"/>
      <c r="L935" s="305"/>
      <c r="M935" s="305"/>
      <c r="N935" s="305"/>
      <c r="O935" s="305"/>
      <c r="P935" s="305"/>
      <c r="Q935" s="305"/>
      <c r="R935" s="305"/>
      <c r="S935" s="305"/>
      <c r="T935" s="305"/>
      <c r="U935" s="305"/>
      <c r="V935" s="305"/>
      <c r="W935" s="305"/>
      <c r="X935" s="305"/>
      <c r="Y935" s="305"/>
      <c r="Z935" s="305"/>
    </row>
    <row r="936" spans="1:26" ht="15.75" customHeight="1" x14ac:dyDescent="0.25">
      <c r="A936" s="305"/>
      <c r="B936" s="305"/>
      <c r="C936" s="305"/>
      <c r="D936" s="305"/>
      <c r="E936" s="305"/>
      <c r="F936" s="305"/>
      <c r="G936" s="305"/>
      <c r="H936" s="305"/>
      <c r="I936" s="305"/>
      <c r="J936" s="305"/>
      <c r="K936" s="305"/>
      <c r="L936" s="305"/>
      <c r="M936" s="305"/>
      <c r="N936" s="305"/>
      <c r="O936" s="305"/>
      <c r="P936" s="305"/>
      <c r="Q936" s="305"/>
      <c r="R936" s="305"/>
      <c r="S936" s="305"/>
      <c r="T936" s="305"/>
      <c r="U936" s="305"/>
      <c r="V936" s="305"/>
      <c r="W936" s="305"/>
      <c r="X936" s="305"/>
      <c r="Y936" s="305"/>
      <c r="Z936" s="305"/>
    </row>
    <row r="937" spans="1:26" ht="15.75" customHeight="1" x14ac:dyDescent="0.25">
      <c r="A937" s="305"/>
      <c r="B937" s="305"/>
      <c r="C937" s="305"/>
      <c r="D937" s="305"/>
      <c r="E937" s="305"/>
      <c r="F937" s="305"/>
      <c r="G937" s="305"/>
      <c r="H937" s="305"/>
      <c r="I937" s="305"/>
      <c r="J937" s="305"/>
      <c r="K937" s="305"/>
      <c r="L937" s="305"/>
      <c r="M937" s="305"/>
      <c r="N937" s="305"/>
      <c r="O937" s="305"/>
      <c r="P937" s="305"/>
      <c r="Q937" s="305"/>
      <c r="R937" s="305"/>
      <c r="S937" s="305"/>
      <c r="T937" s="305"/>
      <c r="U937" s="305"/>
      <c r="V937" s="305"/>
      <c r="W937" s="305"/>
      <c r="X937" s="305"/>
      <c r="Y937" s="305"/>
      <c r="Z937" s="305"/>
    </row>
    <row r="938" spans="1:26" ht="15.75" customHeight="1" x14ac:dyDescent="0.25">
      <c r="A938" s="305"/>
      <c r="B938" s="305"/>
      <c r="C938" s="305"/>
      <c r="D938" s="305"/>
      <c r="E938" s="305"/>
      <c r="F938" s="305"/>
      <c r="G938" s="305"/>
      <c r="H938" s="305"/>
      <c r="I938" s="305"/>
      <c r="J938" s="305"/>
      <c r="K938" s="305"/>
      <c r="L938" s="305"/>
      <c r="M938" s="305"/>
      <c r="N938" s="305"/>
      <c r="O938" s="305"/>
      <c r="P938" s="305"/>
      <c r="Q938" s="305"/>
      <c r="R938" s="305"/>
      <c r="S938" s="305"/>
      <c r="T938" s="305"/>
      <c r="U938" s="305"/>
      <c r="V938" s="305"/>
      <c r="W938" s="305"/>
      <c r="X938" s="305"/>
      <c r="Y938" s="305"/>
      <c r="Z938" s="305"/>
    </row>
    <row r="939" spans="1:26" ht="15.75" customHeight="1" x14ac:dyDescent="0.25">
      <c r="A939" s="305"/>
      <c r="B939" s="305"/>
      <c r="C939" s="305"/>
      <c r="D939" s="305"/>
      <c r="E939" s="305"/>
      <c r="F939" s="305"/>
      <c r="G939" s="305"/>
      <c r="H939" s="305"/>
      <c r="I939" s="305"/>
      <c r="J939" s="305"/>
      <c r="K939" s="305"/>
      <c r="L939" s="305"/>
      <c r="M939" s="305"/>
      <c r="N939" s="305"/>
      <c r="O939" s="305"/>
      <c r="P939" s="305"/>
      <c r="Q939" s="305"/>
      <c r="R939" s="305"/>
      <c r="S939" s="305"/>
      <c r="T939" s="305"/>
      <c r="U939" s="305"/>
      <c r="V939" s="305"/>
      <c r="W939" s="305"/>
      <c r="X939" s="305"/>
      <c r="Y939" s="305"/>
      <c r="Z939" s="305"/>
    </row>
    <row r="940" spans="1:26" ht="15.75" customHeight="1" x14ac:dyDescent="0.25">
      <c r="A940" s="305"/>
      <c r="B940" s="305"/>
      <c r="C940" s="305"/>
      <c r="D940" s="305"/>
      <c r="E940" s="305"/>
      <c r="F940" s="305"/>
      <c r="G940" s="305"/>
      <c r="H940" s="305"/>
      <c r="I940" s="305"/>
      <c r="J940" s="305"/>
      <c r="K940" s="305"/>
      <c r="L940" s="305"/>
      <c r="M940" s="305"/>
      <c r="N940" s="305"/>
      <c r="O940" s="305"/>
      <c r="P940" s="305"/>
      <c r="Q940" s="305"/>
      <c r="R940" s="305"/>
      <c r="S940" s="305"/>
      <c r="T940" s="305"/>
      <c r="U940" s="305"/>
      <c r="V940" s="305"/>
      <c r="W940" s="305"/>
      <c r="X940" s="305"/>
      <c r="Y940" s="305"/>
      <c r="Z940" s="305"/>
    </row>
    <row r="941" spans="1:26" ht="15.75" customHeight="1" x14ac:dyDescent="0.25">
      <c r="A941" s="305"/>
      <c r="B941" s="305"/>
      <c r="C941" s="305"/>
      <c r="D941" s="305"/>
      <c r="E941" s="305"/>
      <c r="F941" s="305"/>
      <c r="G941" s="305"/>
      <c r="H941" s="305"/>
      <c r="I941" s="305"/>
      <c r="J941" s="305"/>
      <c r="K941" s="305"/>
      <c r="L941" s="305"/>
      <c r="M941" s="305"/>
      <c r="N941" s="305"/>
      <c r="O941" s="305"/>
      <c r="P941" s="305"/>
      <c r="Q941" s="305"/>
      <c r="R941" s="305"/>
      <c r="S941" s="305"/>
      <c r="T941" s="305"/>
      <c r="U941" s="305"/>
      <c r="V941" s="305"/>
      <c r="W941" s="305"/>
      <c r="X941" s="305"/>
      <c r="Y941" s="305"/>
      <c r="Z941" s="305"/>
    </row>
    <row r="942" spans="1:26" ht="15.75" customHeight="1" x14ac:dyDescent="0.25">
      <c r="A942" s="305"/>
      <c r="B942" s="305"/>
      <c r="C942" s="305"/>
      <c r="D942" s="305"/>
      <c r="E942" s="305"/>
      <c r="F942" s="305"/>
      <c r="G942" s="305"/>
      <c r="H942" s="305"/>
      <c r="I942" s="305"/>
      <c r="J942" s="305"/>
      <c r="K942" s="305"/>
      <c r="L942" s="305"/>
      <c r="M942" s="305"/>
      <c r="N942" s="305"/>
      <c r="O942" s="305"/>
      <c r="P942" s="305"/>
      <c r="Q942" s="305"/>
      <c r="R942" s="305"/>
      <c r="S942" s="305"/>
      <c r="T942" s="305"/>
      <c r="U942" s="305"/>
      <c r="V942" s="305"/>
      <c r="W942" s="305"/>
      <c r="X942" s="305"/>
      <c r="Y942" s="305"/>
      <c r="Z942" s="305"/>
    </row>
    <row r="943" spans="1:26" ht="15.75" customHeight="1" x14ac:dyDescent="0.25">
      <c r="A943" s="305"/>
      <c r="B943" s="305"/>
      <c r="C943" s="305"/>
      <c r="D943" s="305"/>
      <c r="E943" s="305"/>
      <c r="F943" s="305"/>
      <c r="G943" s="305"/>
      <c r="H943" s="305"/>
      <c r="I943" s="305"/>
      <c r="J943" s="305"/>
      <c r="K943" s="305"/>
      <c r="L943" s="305"/>
      <c r="M943" s="305"/>
      <c r="N943" s="305"/>
      <c r="O943" s="305"/>
      <c r="P943" s="305"/>
      <c r="Q943" s="305"/>
      <c r="R943" s="305"/>
      <c r="S943" s="305"/>
      <c r="T943" s="305"/>
      <c r="U943" s="305"/>
      <c r="V943" s="305"/>
      <c r="W943" s="305"/>
      <c r="X943" s="305"/>
      <c r="Y943" s="305"/>
      <c r="Z943" s="305"/>
    </row>
    <row r="944" spans="1:26" ht="15.75" customHeight="1" x14ac:dyDescent="0.25">
      <c r="A944" s="305"/>
      <c r="B944" s="305"/>
      <c r="C944" s="305"/>
      <c r="D944" s="305"/>
      <c r="E944" s="305"/>
      <c r="F944" s="305"/>
      <c r="G944" s="305"/>
      <c r="H944" s="305"/>
      <c r="I944" s="305"/>
      <c r="J944" s="305"/>
      <c r="K944" s="305"/>
      <c r="L944" s="305"/>
      <c r="M944" s="305"/>
      <c r="N944" s="305"/>
      <c r="O944" s="305"/>
      <c r="P944" s="305"/>
      <c r="Q944" s="305"/>
      <c r="R944" s="305"/>
      <c r="S944" s="305"/>
      <c r="T944" s="305"/>
      <c r="U944" s="305"/>
      <c r="V944" s="305"/>
      <c r="W944" s="305"/>
      <c r="X944" s="305"/>
      <c r="Y944" s="305"/>
      <c r="Z944" s="305"/>
    </row>
    <row r="945" spans="1:26" ht="15.75" customHeight="1" x14ac:dyDescent="0.25">
      <c r="A945" s="305"/>
      <c r="B945" s="305"/>
      <c r="C945" s="305"/>
      <c r="D945" s="305"/>
      <c r="E945" s="305"/>
      <c r="F945" s="305"/>
      <c r="G945" s="305"/>
      <c r="H945" s="305"/>
      <c r="I945" s="305"/>
      <c r="J945" s="305"/>
      <c r="K945" s="305"/>
      <c r="L945" s="305"/>
      <c r="M945" s="305"/>
      <c r="N945" s="305"/>
      <c r="O945" s="305"/>
      <c r="P945" s="305"/>
      <c r="Q945" s="305"/>
      <c r="R945" s="305"/>
      <c r="S945" s="305"/>
      <c r="T945" s="305"/>
      <c r="U945" s="305"/>
      <c r="V945" s="305"/>
      <c r="W945" s="305"/>
      <c r="X945" s="305"/>
      <c r="Y945" s="305"/>
      <c r="Z945" s="305"/>
    </row>
    <row r="946" spans="1:26" ht="15.75" customHeight="1" x14ac:dyDescent="0.25">
      <c r="A946" s="305"/>
      <c r="B946" s="305"/>
      <c r="C946" s="305"/>
      <c r="D946" s="305"/>
      <c r="E946" s="305"/>
      <c r="F946" s="305"/>
      <c r="G946" s="305"/>
      <c r="H946" s="305"/>
      <c r="I946" s="305"/>
      <c r="J946" s="305"/>
      <c r="K946" s="305"/>
      <c r="L946" s="305"/>
      <c r="M946" s="305"/>
      <c r="N946" s="305"/>
      <c r="O946" s="305"/>
      <c r="P946" s="305"/>
      <c r="Q946" s="305"/>
      <c r="R946" s="305"/>
      <c r="S946" s="305"/>
      <c r="T946" s="305"/>
      <c r="U946" s="305"/>
      <c r="V946" s="305"/>
      <c r="W946" s="305"/>
      <c r="X946" s="305"/>
      <c r="Y946" s="305"/>
      <c r="Z946" s="305"/>
    </row>
    <row r="947" spans="1:26" ht="15.75" customHeight="1" x14ac:dyDescent="0.25">
      <c r="A947" s="305"/>
      <c r="B947" s="305"/>
      <c r="C947" s="305"/>
      <c r="D947" s="305"/>
      <c r="E947" s="305"/>
      <c r="F947" s="305"/>
      <c r="G947" s="305"/>
      <c r="H947" s="305"/>
      <c r="I947" s="305"/>
      <c r="J947" s="305"/>
      <c r="K947" s="305"/>
      <c r="L947" s="305"/>
      <c r="M947" s="305"/>
      <c r="N947" s="305"/>
      <c r="O947" s="305"/>
      <c r="P947" s="305"/>
      <c r="Q947" s="305"/>
      <c r="R947" s="305"/>
      <c r="S947" s="305"/>
      <c r="T947" s="305"/>
      <c r="U947" s="305"/>
      <c r="V947" s="305"/>
      <c r="W947" s="305"/>
      <c r="X947" s="305"/>
      <c r="Y947" s="305"/>
      <c r="Z947" s="305"/>
    </row>
    <row r="948" spans="1:26" ht="15.75" customHeight="1" x14ac:dyDescent="0.25">
      <c r="A948" s="305"/>
      <c r="B948" s="305"/>
      <c r="C948" s="305"/>
      <c r="D948" s="305"/>
      <c r="E948" s="305"/>
      <c r="F948" s="305"/>
      <c r="G948" s="305"/>
      <c r="H948" s="305"/>
      <c r="I948" s="305"/>
      <c r="J948" s="305"/>
      <c r="K948" s="305"/>
      <c r="L948" s="305"/>
      <c r="M948" s="305"/>
      <c r="N948" s="305"/>
      <c r="O948" s="305"/>
      <c r="P948" s="305"/>
      <c r="Q948" s="305"/>
      <c r="R948" s="305"/>
      <c r="S948" s="305"/>
      <c r="T948" s="305"/>
      <c r="U948" s="305"/>
      <c r="V948" s="305"/>
      <c r="W948" s="305"/>
      <c r="X948" s="305"/>
      <c r="Y948" s="305"/>
      <c r="Z948" s="305"/>
    </row>
    <row r="949" spans="1:26" ht="15.75" customHeight="1" x14ac:dyDescent="0.25">
      <c r="A949" s="305"/>
      <c r="B949" s="305"/>
      <c r="C949" s="305"/>
      <c r="D949" s="305"/>
      <c r="E949" s="305"/>
      <c r="F949" s="305"/>
      <c r="G949" s="305"/>
      <c r="H949" s="305"/>
      <c r="I949" s="305"/>
      <c r="J949" s="305"/>
      <c r="K949" s="305"/>
      <c r="L949" s="305"/>
      <c r="M949" s="305"/>
      <c r="N949" s="305"/>
      <c r="O949" s="305"/>
      <c r="P949" s="305"/>
      <c r="Q949" s="305"/>
      <c r="R949" s="305"/>
      <c r="S949" s="305"/>
      <c r="T949" s="305"/>
      <c r="U949" s="305"/>
      <c r="V949" s="305"/>
      <c r="W949" s="305"/>
      <c r="X949" s="305"/>
      <c r="Y949" s="305"/>
      <c r="Z949" s="305"/>
    </row>
    <row r="950" spans="1:26" ht="15.75" customHeight="1" x14ac:dyDescent="0.25">
      <c r="A950" s="305"/>
      <c r="B950" s="305"/>
      <c r="C950" s="305"/>
      <c r="D950" s="305"/>
      <c r="E950" s="305"/>
      <c r="F950" s="305"/>
      <c r="G950" s="305"/>
      <c r="H950" s="305"/>
      <c r="I950" s="305"/>
      <c r="J950" s="305"/>
      <c r="K950" s="305"/>
      <c r="L950" s="305"/>
      <c r="M950" s="305"/>
      <c r="N950" s="305"/>
      <c r="O950" s="305"/>
      <c r="P950" s="305"/>
      <c r="Q950" s="305"/>
      <c r="R950" s="305"/>
      <c r="S950" s="305"/>
      <c r="T950" s="305"/>
      <c r="U950" s="305"/>
      <c r="V950" s="305"/>
      <c r="W950" s="305"/>
      <c r="X950" s="305"/>
      <c r="Y950" s="305"/>
      <c r="Z950" s="305"/>
    </row>
    <row r="951" spans="1:26" ht="15.75" customHeight="1" x14ac:dyDescent="0.25">
      <c r="A951" s="305"/>
      <c r="B951" s="305"/>
      <c r="C951" s="305"/>
      <c r="D951" s="305"/>
      <c r="E951" s="305"/>
      <c r="F951" s="305"/>
      <c r="G951" s="305"/>
      <c r="H951" s="305"/>
      <c r="I951" s="305"/>
      <c r="J951" s="305"/>
      <c r="K951" s="305"/>
      <c r="L951" s="305"/>
      <c r="M951" s="305"/>
      <c r="N951" s="305"/>
      <c r="O951" s="305"/>
      <c r="P951" s="305"/>
      <c r="Q951" s="305"/>
      <c r="R951" s="305"/>
      <c r="S951" s="305"/>
      <c r="T951" s="305"/>
      <c r="U951" s="305"/>
      <c r="V951" s="305"/>
      <c r="W951" s="305"/>
      <c r="X951" s="305"/>
      <c r="Y951" s="305"/>
      <c r="Z951" s="305"/>
    </row>
    <row r="952" spans="1:26" ht="15.75" customHeight="1" x14ac:dyDescent="0.25">
      <c r="A952" s="305"/>
      <c r="B952" s="305"/>
      <c r="C952" s="305"/>
      <c r="D952" s="305"/>
      <c r="E952" s="305"/>
      <c r="F952" s="305"/>
      <c r="G952" s="305"/>
      <c r="H952" s="305"/>
      <c r="I952" s="305"/>
      <c r="J952" s="305"/>
      <c r="K952" s="305"/>
      <c r="L952" s="305"/>
      <c r="M952" s="305"/>
      <c r="N952" s="305"/>
      <c r="O952" s="305"/>
      <c r="P952" s="305"/>
      <c r="Q952" s="305"/>
      <c r="R952" s="305"/>
      <c r="S952" s="305"/>
      <c r="T952" s="305"/>
      <c r="U952" s="305"/>
      <c r="V952" s="305"/>
      <c r="W952" s="305"/>
      <c r="X952" s="305"/>
      <c r="Y952" s="305"/>
      <c r="Z952" s="305"/>
    </row>
    <row r="953" spans="1:26" ht="15.75" customHeight="1" x14ac:dyDescent="0.25">
      <c r="A953" s="305"/>
      <c r="B953" s="305"/>
      <c r="C953" s="305"/>
      <c r="D953" s="305"/>
      <c r="E953" s="305"/>
      <c r="F953" s="305"/>
      <c r="G953" s="305"/>
      <c r="H953" s="305"/>
      <c r="I953" s="305"/>
      <c r="J953" s="305"/>
      <c r="K953" s="305"/>
      <c r="L953" s="305"/>
      <c r="M953" s="305"/>
      <c r="N953" s="305"/>
      <c r="O953" s="305"/>
      <c r="P953" s="305"/>
      <c r="Q953" s="305"/>
      <c r="R953" s="305"/>
      <c r="S953" s="305"/>
      <c r="T953" s="305"/>
      <c r="U953" s="305"/>
      <c r="V953" s="305"/>
      <c r="W953" s="305"/>
      <c r="X953" s="305"/>
      <c r="Y953" s="305"/>
      <c r="Z953" s="305"/>
    </row>
    <row r="954" spans="1:26" ht="15.75" customHeight="1" x14ac:dyDescent="0.25">
      <c r="A954" s="305"/>
      <c r="B954" s="305"/>
      <c r="C954" s="305"/>
      <c r="D954" s="305"/>
      <c r="E954" s="305"/>
      <c r="F954" s="305"/>
      <c r="G954" s="305"/>
      <c r="H954" s="305"/>
      <c r="I954" s="305"/>
      <c r="J954" s="305"/>
      <c r="K954" s="305"/>
      <c r="L954" s="305"/>
      <c r="M954" s="305"/>
      <c r="N954" s="305"/>
      <c r="O954" s="305"/>
      <c r="P954" s="305"/>
      <c r="Q954" s="305"/>
      <c r="R954" s="305"/>
      <c r="S954" s="305"/>
      <c r="T954" s="305"/>
      <c r="U954" s="305"/>
      <c r="V954" s="305"/>
      <c r="W954" s="305"/>
      <c r="X954" s="305"/>
      <c r="Y954" s="305"/>
      <c r="Z954" s="305"/>
    </row>
    <row r="955" spans="1:26" ht="15.75" customHeight="1" x14ac:dyDescent="0.25">
      <c r="A955" s="305"/>
      <c r="B955" s="305"/>
      <c r="C955" s="305"/>
      <c r="D955" s="305"/>
      <c r="E955" s="305"/>
      <c r="F955" s="305"/>
      <c r="G955" s="305"/>
      <c r="H955" s="305"/>
      <c r="I955" s="305"/>
      <c r="J955" s="305"/>
      <c r="K955" s="305"/>
      <c r="L955" s="305"/>
      <c r="M955" s="305"/>
      <c r="N955" s="305"/>
      <c r="O955" s="305"/>
      <c r="P955" s="305"/>
      <c r="Q955" s="305"/>
      <c r="R955" s="305"/>
      <c r="S955" s="305"/>
      <c r="T955" s="305"/>
      <c r="U955" s="305"/>
      <c r="V955" s="305"/>
      <c r="W955" s="305"/>
      <c r="X955" s="305"/>
      <c r="Y955" s="305"/>
      <c r="Z955" s="305"/>
    </row>
    <row r="956" spans="1:26" ht="15.75" customHeight="1" x14ac:dyDescent="0.25">
      <c r="A956" s="305"/>
      <c r="B956" s="305"/>
      <c r="C956" s="305"/>
      <c r="D956" s="305"/>
      <c r="E956" s="305"/>
      <c r="F956" s="305"/>
      <c r="G956" s="305"/>
      <c r="H956" s="305"/>
      <c r="I956" s="305"/>
      <c r="J956" s="305"/>
      <c r="K956" s="305"/>
      <c r="L956" s="305"/>
      <c r="M956" s="305"/>
      <c r="N956" s="305"/>
      <c r="O956" s="305"/>
      <c r="P956" s="305"/>
      <c r="Q956" s="305"/>
      <c r="R956" s="305"/>
      <c r="S956" s="305"/>
      <c r="T956" s="305"/>
      <c r="U956" s="305"/>
      <c r="V956" s="305"/>
      <c r="W956" s="305"/>
      <c r="X956" s="305"/>
      <c r="Y956" s="305"/>
      <c r="Z956" s="305"/>
    </row>
    <row r="957" spans="1:26" ht="15.75" customHeight="1" x14ac:dyDescent="0.25">
      <c r="A957" s="305"/>
      <c r="B957" s="305"/>
      <c r="C957" s="305"/>
      <c r="D957" s="305"/>
      <c r="E957" s="305"/>
      <c r="F957" s="305"/>
      <c r="G957" s="305"/>
      <c r="H957" s="305"/>
      <c r="I957" s="305"/>
      <c r="J957" s="305"/>
      <c r="K957" s="305"/>
      <c r="L957" s="305"/>
      <c r="M957" s="305"/>
      <c r="N957" s="305"/>
      <c r="O957" s="305"/>
      <c r="P957" s="305"/>
      <c r="Q957" s="305"/>
      <c r="R957" s="305"/>
      <c r="S957" s="305"/>
      <c r="T957" s="305"/>
      <c r="U957" s="305"/>
      <c r="V957" s="305"/>
      <c r="W957" s="305"/>
      <c r="X957" s="305"/>
      <c r="Y957" s="305"/>
      <c r="Z957" s="305"/>
    </row>
    <row r="958" spans="1:26" ht="15.75" customHeight="1" x14ac:dyDescent="0.25">
      <c r="A958" s="305"/>
      <c r="B958" s="305"/>
      <c r="C958" s="305"/>
      <c r="D958" s="305"/>
      <c r="E958" s="305"/>
      <c r="F958" s="305"/>
      <c r="G958" s="305"/>
      <c r="H958" s="305"/>
      <c r="I958" s="305"/>
      <c r="J958" s="305"/>
      <c r="K958" s="305"/>
      <c r="L958" s="305"/>
      <c r="M958" s="305"/>
      <c r="N958" s="305"/>
      <c r="O958" s="305"/>
      <c r="P958" s="305"/>
      <c r="Q958" s="305"/>
      <c r="R958" s="305"/>
      <c r="S958" s="305"/>
      <c r="T958" s="305"/>
      <c r="U958" s="305"/>
      <c r="V958" s="305"/>
      <c r="W958" s="305"/>
      <c r="X958" s="305"/>
      <c r="Y958" s="305"/>
      <c r="Z958" s="305"/>
    </row>
    <row r="959" spans="1:26" ht="15.75" customHeight="1" x14ac:dyDescent="0.25">
      <c r="A959" s="305"/>
      <c r="B959" s="305"/>
      <c r="C959" s="305"/>
      <c r="D959" s="305"/>
      <c r="E959" s="305"/>
      <c r="F959" s="305"/>
      <c r="G959" s="305"/>
      <c r="H959" s="305"/>
      <c r="I959" s="305"/>
      <c r="J959" s="305"/>
      <c r="K959" s="305"/>
      <c r="L959" s="305"/>
      <c r="M959" s="305"/>
      <c r="N959" s="305"/>
      <c r="O959" s="305"/>
      <c r="P959" s="305"/>
      <c r="Q959" s="305"/>
      <c r="R959" s="305"/>
      <c r="S959" s="305"/>
      <c r="T959" s="305"/>
      <c r="U959" s="305"/>
      <c r="V959" s="305"/>
      <c r="W959" s="305"/>
      <c r="X959" s="305"/>
      <c r="Y959" s="305"/>
      <c r="Z959" s="305"/>
    </row>
    <row r="960" spans="1:26" ht="15.75" customHeight="1" x14ac:dyDescent="0.25">
      <c r="A960" s="305"/>
      <c r="B960" s="305"/>
      <c r="C960" s="305"/>
      <c r="D960" s="305"/>
      <c r="E960" s="305"/>
      <c r="F960" s="305"/>
      <c r="G960" s="305"/>
      <c r="H960" s="305"/>
      <c r="I960" s="305"/>
      <c r="J960" s="305"/>
      <c r="K960" s="305"/>
      <c r="L960" s="305"/>
      <c r="M960" s="305"/>
      <c r="N960" s="305"/>
      <c r="O960" s="305"/>
      <c r="P960" s="305"/>
      <c r="Q960" s="305"/>
      <c r="R960" s="305"/>
      <c r="S960" s="305"/>
      <c r="T960" s="305"/>
      <c r="U960" s="305"/>
      <c r="V960" s="305"/>
      <c r="W960" s="305"/>
      <c r="X960" s="305"/>
      <c r="Y960" s="305"/>
      <c r="Z960" s="305"/>
    </row>
    <row r="961" spans="1:26" ht="15.75" customHeight="1" x14ac:dyDescent="0.25">
      <c r="A961" s="305"/>
      <c r="B961" s="305"/>
      <c r="C961" s="305"/>
      <c r="D961" s="305"/>
      <c r="E961" s="305"/>
      <c r="F961" s="305"/>
      <c r="G961" s="305"/>
      <c r="H961" s="305"/>
      <c r="I961" s="305"/>
      <c r="J961" s="305"/>
      <c r="K961" s="305"/>
      <c r="L961" s="305"/>
      <c r="M961" s="305"/>
      <c r="N961" s="305"/>
      <c r="O961" s="305"/>
      <c r="P961" s="305"/>
      <c r="Q961" s="305"/>
      <c r="R961" s="305"/>
      <c r="S961" s="305"/>
      <c r="T961" s="305"/>
      <c r="U961" s="305"/>
      <c r="V961" s="305"/>
      <c r="W961" s="305"/>
      <c r="X961" s="305"/>
      <c r="Y961" s="305"/>
      <c r="Z961" s="305"/>
    </row>
    <row r="962" spans="1:26" ht="15.75" customHeight="1" x14ac:dyDescent="0.25">
      <c r="A962" s="305"/>
      <c r="B962" s="305"/>
      <c r="C962" s="305"/>
      <c r="D962" s="305"/>
      <c r="E962" s="305"/>
      <c r="F962" s="305"/>
      <c r="G962" s="305"/>
      <c r="H962" s="305"/>
      <c r="I962" s="305"/>
      <c r="J962" s="305"/>
      <c r="K962" s="305"/>
      <c r="L962" s="305"/>
      <c r="M962" s="305"/>
      <c r="N962" s="305"/>
      <c r="O962" s="305"/>
      <c r="P962" s="305"/>
      <c r="Q962" s="305"/>
      <c r="R962" s="305"/>
      <c r="S962" s="305"/>
      <c r="T962" s="305"/>
      <c r="U962" s="305"/>
      <c r="V962" s="305"/>
      <c r="W962" s="305"/>
      <c r="X962" s="305"/>
      <c r="Y962" s="305"/>
      <c r="Z962" s="305"/>
    </row>
    <row r="963" spans="1:26" ht="15.75" customHeight="1" x14ac:dyDescent="0.25">
      <c r="A963" s="305"/>
      <c r="B963" s="305"/>
      <c r="C963" s="305"/>
      <c r="D963" s="305"/>
      <c r="E963" s="305"/>
      <c r="F963" s="305"/>
      <c r="G963" s="305"/>
      <c r="H963" s="305"/>
      <c r="I963" s="305"/>
      <c r="J963" s="305"/>
      <c r="K963" s="305"/>
      <c r="L963" s="305"/>
      <c r="M963" s="305"/>
      <c r="N963" s="305"/>
      <c r="O963" s="305"/>
      <c r="P963" s="305"/>
      <c r="Q963" s="305"/>
      <c r="R963" s="305"/>
      <c r="S963" s="305"/>
      <c r="T963" s="305"/>
      <c r="U963" s="305"/>
      <c r="V963" s="305"/>
      <c r="W963" s="305"/>
      <c r="X963" s="305"/>
      <c r="Y963" s="305"/>
      <c r="Z963" s="305"/>
    </row>
    <row r="964" spans="1:26" ht="15.75" customHeight="1" x14ac:dyDescent="0.25">
      <c r="A964" s="305"/>
      <c r="B964" s="305"/>
      <c r="C964" s="305"/>
      <c r="D964" s="305"/>
      <c r="E964" s="305"/>
      <c r="F964" s="305"/>
      <c r="G964" s="305"/>
      <c r="H964" s="305"/>
      <c r="I964" s="305"/>
      <c r="J964" s="305"/>
      <c r="K964" s="305"/>
      <c r="L964" s="305"/>
      <c r="M964" s="305"/>
      <c r="N964" s="305"/>
      <c r="O964" s="305"/>
      <c r="P964" s="305"/>
      <c r="Q964" s="305"/>
      <c r="R964" s="305"/>
      <c r="S964" s="305"/>
      <c r="T964" s="305"/>
      <c r="U964" s="305"/>
      <c r="V964" s="305"/>
      <c r="W964" s="305"/>
      <c r="X964" s="305"/>
      <c r="Y964" s="305"/>
      <c r="Z964" s="305"/>
    </row>
    <row r="965" spans="1:26" ht="15.75" customHeight="1" x14ac:dyDescent="0.25">
      <c r="A965" s="305"/>
      <c r="B965" s="305"/>
      <c r="C965" s="305"/>
      <c r="D965" s="305"/>
      <c r="E965" s="305"/>
      <c r="F965" s="305"/>
      <c r="G965" s="305"/>
      <c r="H965" s="305"/>
      <c r="I965" s="305"/>
      <c r="J965" s="305"/>
      <c r="K965" s="305"/>
      <c r="L965" s="305"/>
      <c r="M965" s="305"/>
      <c r="N965" s="305"/>
      <c r="O965" s="305"/>
      <c r="P965" s="305"/>
      <c r="Q965" s="305"/>
      <c r="R965" s="305"/>
      <c r="S965" s="305"/>
      <c r="T965" s="305"/>
      <c r="U965" s="305"/>
      <c r="V965" s="305"/>
      <c r="W965" s="305"/>
      <c r="X965" s="305"/>
      <c r="Y965" s="305"/>
      <c r="Z965" s="305"/>
    </row>
    <row r="966" spans="1:26" ht="15.75" customHeight="1" x14ac:dyDescent="0.25">
      <c r="A966" s="305"/>
      <c r="B966" s="305"/>
      <c r="C966" s="305"/>
      <c r="D966" s="305"/>
      <c r="E966" s="305"/>
      <c r="F966" s="305"/>
      <c r="G966" s="305"/>
      <c r="H966" s="305"/>
      <c r="I966" s="305"/>
      <c r="J966" s="305"/>
      <c r="K966" s="305"/>
      <c r="L966" s="305"/>
      <c r="M966" s="305"/>
      <c r="N966" s="305"/>
      <c r="O966" s="305"/>
      <c r="P966" s="305"/>
      <c r="Q966" s="305"/>
      <c r="R966" s="305"/>
      <c r="S966" s="305"/>
      <c r="T966" s="305"/>
      <c r="U966" s="305"/>
      <c r="V966" s="305"/>
      <c r="W966" s="305"/>
      <c r="X966" s="305"/>
      <c r="Y966" s="305"/>
      <c r="Z966" s="305"/>
    </row>
    <row r="967" spans="1:26" ht="15.75" customHeight="1" x14ac:dyDescent="0.25">
      <c r="A967" s="305"/>
      <c r="B967" s="305"/>
      <c r="C967" s="305"/>
      <c r="D967" s="305"/>
      <c r="E967" s="305"/>
      <c r="F967" s="305"/>
      <c r="G967" s="305"/>
      <c r="H967" s="305"/>
      <c r="I967" s="305"/>
      <c r="J967" s="305"/>
      <c r="K967" s="305"/>
      <c r="L967" s="305"/>
      <c r="M967" s="305"/>
      <c r="N967" s="305"/>
      <c r="O967" s="305"/>
      <c r="P967" s="305"/>
      <c r="Q967" s="305"/>
      <c r="R967" s="305"/>
      <c r="S967" s="305"/>
      <c r="T967" s="305"/>
      <c r="U967" s="305"/>
      <c r="V967" s="305"/>
      <c r="W967" s="305"/>
      <c r="X967" s="305"/>
      <c r="Y967" s="305"/>
      <c r="Z967" s="305"/>
    </row>
    <row r="968" spans="1:26" ht="15.75" customHeight="1" x14ac:dyDescent="0.25">
      <c r="A968" s="305"/>
      <c r="B968" s="305"/>
      <c r="C968" s="305"/>
      <c r="D968" s="305"/>
      <c r="E968" s="305"/>
      <c r="F968" s="305"/>
      <c r="G968" s="305"/>
      <c r="H968" s="305"/>
      <c r="I968" s="305"/>
      <c r="J968" s="305"/>
      <c r="K968" s="305"/>
      <c r="L968" s="305"/>
      <c r="M968" s="305"/>
      <c r="N968" s="305"/>
      <c r="O968" s="305"/>
      <c r="P968" s="305"/>
      <c r="Q968" s="305"/>
      <c r="R968" s="305"/>
      <c r="S968" s="305"/>
      <c r="T968" s="305"/>
      <c r="U968" s="305"/>
      <c r="V968" s="305"/>
      <c r="W968" s="305"/>
      <c r="X968" s="305"/>
      <c r="Y968" s="305"/>
      <c r="Z968" s="305"/>
    </row>
    <row r="969" spans="1:26" ht="15.75" customHeight="1" x14ac:dyDescent="0.25">
      <c r="A969" s="305"/>
      <c r="B969" s="305"/>
      <c r="C969" s="305"/>
      <c r="D969" s="305"/>
      <c r="E969" s="305"/>
      <c r="F969" s="305"/>
      <c r="G969" s="305"/>
      <c r="H969" s="305"/>
      <c r="I969" s="305"/>
      <c r="J969" s="305"/>
      <c r="K969" s="305"/>
      <c r="L969" s="305"/>
      <c r="M969" s="305"/>
      <c r="N969" s="305"/>
      <c r="O969" s="305"/>
      <c r="P969" s="305"/>
      <c r="Q969" s="305"/>
      <c r="R969" s="305"/>
      <c r="S969" s="305"/>
      <c r="T969" s="305"/>
      <c r="U969" s="305"/>
      <c r="V969" s="305"/>
      <c r="W969" s="305"/>
      <c r="X969" s="305"/>
      <c r="Y969" s="305"/>
      <c r="Z969" s="305"/>
    </row>
    <row r="970" spans="1:26" ht="15.75" customHeight="1" x14ac:dyDescent="0.25">
      <c r="A970" s="305"/>
      <c r="B970" s="305"/>
      <c r="C970" s="305"/>
      <c r="D970" s="305"/>
      <c r="E970" s="305"/>
      <c r="F970" s="305"/>
      <c r="G970" s="305"/>
      <c r="H970" s="305"/>
      <c r="I970" s="305"/>
      <c r="J970" s="305"/>
      <c r="K970" s="305"/>
      <c r="L970" s="305"/>
      <c r="M970" s="305"/>
      <c r="N970" s="305"/>
      <c r="O970" s="305"/>
      <c r="P970" s="305"/>
      <c r="Q970" s="305"/>
      <c r="R970" s="305"/>
      <c r="S970" s="305"/>
      <c r="T970" s="305"/>
      <c r="U970" s="305"/>
      <c r="V970" s="305"/>
      <c r="W970" s="305"/>
      <c r="X970" s="305"/>
      <c r="Y970" s="305"/>
      <c r="Z970" s="305"/>
    </row>
    <row r="971" spans="1:26" ht="15.75" customHeight="1" x14ac:dyDescent="0.25">
      <c r="A971" s="305"/>
      <c r="B971" s="305"/>
      <c r="C971" s="305"/>
      <c r="D971" s="305"/>
      <c r="E971" s="305"/>
      <c r="F971" s="305"/>
      <c r="G971" s="305"/>
      <c r="H971" s="305"/>
      <c r="I971" s="305"/>
      <c r="J971" s="305"/>
      <c r="K971" s="305"/>
      <c r="L971" s="305"/>
      <c r="M971" s="305"/>
      <c r="N971" s="305"/>
      <c r="O971" s="305"/>
      <c r="P971" s="305"/>
      <c r="Q971" s="305"/>
      <c r="R971" s="305"/>
      <c r="S971" s="305"/>
      <c r="T971" s="305"/>
      <c r="U971" s="305"/>
      <c r="V971" s="305"/>
      <c r="W971" s="305"/>
      <c r="X971" s="305"/>
      <c r="Y971" s="305"/>
      <c r="Z971" s="305"/>
    </row>
    <row r="972" spans="1:26" ht="15.75" customHeight="1" x14ac:dyDescent="0.25">
      <c r="A972" s="305"/>
      <c r="B972" s="305"/>
      <c r="C972" s="305"/>
      <c r="D972" s="305"/>
      <c r="E972" s="305"/>
      <c r="F972" s="305"/>
      <c r="G972" s="305"/>
      <c r="H972" s="305"/>
      <c r="I972" s="305"/>
      <c r="J972" s="305"/>
      <c r="K972" s="305"/>
      <c r="L972" s="305"/>
      <c r="M972" s="305"/>
      <c r="N972" s="305"/>
      <c r="O972" s="305"/>
      <c r="P972" s="305"/>
      <c r="Q972" s="305"/>
      <c r="R972" s="305"/>
      <c r="S972" s="305"/>
      <c r="T972" s="305"/>
      <c r="U972" s="305"/>
      <c r="V972" s="305"/>
      <c r="W972" s="305"/>
      <c r="X972" s="305"/>
      <c r="Y972" s="305"/>
      <c r="Z972" s="305"/>
    </row>
    <row r="973" spans="1:26" ht="15.75" customHeight="1" x14ac:dyDescent="0.25">
      <c r="A973" s="305"/>
      <c r="B973" s="305"/>
      <c r="C973" s="305"/>
      <c r="D973" s="305"/>
      <c r="E973" s="305"/>
      <c r="F973" s="305"/>
      <c r="G973" s="305"/>
      <c r="H973" s="305"/>
      <c r="I973" s="305"/>
      <c r="J973" s="305"/>
      <c r="K973" s="305"/>
      <c r="L973" s="305"/>
      <c r="M973" s="305"/>
      <c r="N973" s="305"/>
      <c r="O973" s="305"/>
      <c r="P973" s="305"/>
      <c r="Q973" s="305"/>
      <c r="R973" s="305"/>
      <c r="S973" s="305"/>
      <c r="T973" s="305"/>
      <c r="U973" s="305"/>
      <c r="V973" s="305"/>
      <c r="W973" s="305"/>
      <c r="X973" s="305"/>
      <c r="Y973" s="305"/>
      <c r="Z973" s="305"/>
    </row>
    <row r="974" spans="1:26" ht="15.75" customHeight="1" x14ac:dyDescent="0.25">
      <c r="A974" s="305"/>
      <c r="B974" s="305"/>
      <c r="C974" s="305"/>
      <c r="D974" s="305"/>
      <c r="E974" s="305"/>
      <c r="F974" s="305"/>
      <c r="G974" s="305"/>
      <c r="H974" s="305"/>
      <c r="I974" s="305"/>
      <c r="J974" s="305"/>
      <c r="K974" s="305"/>
      <c r="L974" s="305"/>
      <c r="M974" s="305"/>
      <c r="N974" s="305"/>
      <c r="O974" s="305"/>
      <c r="P974" s="305"/>
      <c r="Q974" s="305"/>
      <c r="R974" s="305"/>
      <c r="S974" s="305"/>
      <c r="T974" s="305"/>
      <c r="U974" s="305"/>
      <c r="V974" s="305"/>
      <c r="W974" s="305"/>
      <c r="X974" s="305"/>
      <c r="Y974" s="305"/>
      <c r="Z974" s="305"/>
    </row>
    <row r="975" spans="1:26" ht="15.75" customHeight="1" x14ac:dyDescent="0.25">
      <c r="A975" s="305"/>
      <c r="B975" s="305"/>
      <c r="C975" s="305"/>
      <c r="D975" s="305"/>
      <c r="E975" s="305"/>
      <c r="F975" s="305"/>
      <c r="G975" s="305"/>
      <c r="H975" s="305"/>
      <c r="I975" s="305"/>
      <c r="J975" s="305"/>
      <c r="K975" s="305"/>
      <c r="L975" s="305"/>
      <c r="M975" s="305"/>
      <c r="N975" s="305"/>
      <c r="O975" s="305"/>
      <c r="P975" s="305"/>
      <c r="Q975" s="305"/>
      <c r="R975" s="305"/>
      <c r="S975" s="305"/>
      <c r="T975" s="305"/>
      <c r="U975" s="305"/>
      <c r="V975" s="305"/>
      <c r="W975" s="305"/>
      <c r="X975" s="305"/>
      <c r="Y975" s="305"/>
      <c r="Z975" s="305"/>
    </row>
    <row r="976" spans="1:26" ht="15.75" customHeight="1" x14ac:dyDescent="0.25">
      <c r="A976" s="305"/>
      <c r="B976" s="305"/>
      <c r="C976" s="305"/>
      <c r="D976" s="305"/>
      <c r="E976" s="305"/>
      <c r="F976" s="305"/>
      <c r="G976" s="305"/>
      <c r="H976" s="305"/>
      <c r="I976" s="305"/>
      <c r="J976" s="305"/>
      <c r="K976" s="305"/>
      <c r="L976" s="305"/>
      <c r="M976" s="305"/>
      <c r="N976" s="305"/>
      <c r="O976" s="305"/>
      <c r="P976" s="305"/>
      <c r="Q976" s="305"/>
      <c r="R976" s="305"/>
      <c r="S976" s="305"/>
      <c r="T976" s="305"/>
      <c r="U976" s="305"/>
      <c r="V976" s="305"/>
      <c r="W976" s="305"/>
      <c r="X976" s="305"/>
      <c r="Y976" s="305"/>
      <c r="Z976" s="305"/>
    </row>
    <row r="977" spans="1:26" ht="15.75" customHeight="1" x14ac:dyDescent="0.25">
      <c r="A977" s="305"/>
      <c r="B977" s="305"/>
      <c r="C977" s="305"/>
      <c r="D977" s="305"/>
      <c r="E977" s="305"/>
      <c r="F977" s="305"/>
      <c r="G977" s="305"/>
      <c r="H977" s="305"/>
      <c r="I977" s="305"/>
      <c r="J977" s="305"/>
      <c r="K977" s="305"/>
      <c r="L977" s="305"/>
      <c r="M977" s="305"/>
      <c r="N977" s="305"/>
      <c r="O977" s="305"/>
      <c r="P977" s="305"/>
      <c r="Q977" s="305"/>
      <c r="R977" s="305"/>
      <c r="S977" s="305"/>
      <c r="T977" s="305"/>
      <c r="U977" s="305"/>
      <c r="V977" s="305"/>
      <c r="W977" s="305"/>
      <c r="X977" s="305"/>
      <c r="Y977" s="305"/>
      <c r="Z977" s="305"/>
    </row>
    <row r="978" spans="1:26" ht="15.75" customHeight="1" x14ac:dyDescent="0.25">
      <c r="A978" s="305"/>
      <c r="B978" s="305"/>
      <c r="C978" s="305"/>
      <c r="D978" s="305"/>
      <c r="E978" s="305"/>
      <c r="F978" s="305"/>
      <c r="G978" s="305"/>
      <c r="H978" s="305"/>
      <c r="I978" s="305"/>
      <c r="J978" s="305"/>
      <c r="K978" s="305"/>
      <c r="L978" s="305"/>
      <c r="M978" s="305"/>
      <c r="N978" s="305"/>
      <c r="O978" s="305"/>
      <c r="P978" s="305"/>
      <c r="Q978" s="305"/>
      <c r="R978" s="305"/>
      <c r="S978" s="305"/>
      <c r="T978" s="305"/>
      <c r="U978" s="305"/>
      <c r="V978" s="305"/>
      <c r="W978" s="305"/>
      <c r="X978" s="305"/>
      <c r="Y978" s="305"/>
      <c r="Z978" s="305"/>
    </row>
    <row r="979" spans="1:26" ht="15.75" customHeight="1" x14ac:dyDescent="0.25">
      <c r="A979" s="305"/>
      <c r="B979" s="305"/>
      <c r="C979" s="305"/>
      <c r="D979" s="305"/>
      <c r="E979" s="305"/>
      <c r="F979" s="305"/>
      <c r="G979" s="305"/>
      <c r="H979" s="305"/>
      <c r="I979" s="305"/>
      <c r="J979" s="305"/>
      <c r="K979" s="305"/>
      <c r="L979" s="305"/>
      <c r="M979" s="305"/>
      <c r="N979" s="305"/>
      <c r="O979" s="305"/>
      <c r="P979" s="305"/>
      <c r="Q979" s="305"/>
      <c r="R979" s="305"/>
      <c r="S979" s="305"/>
      <c r="T979" s="305"/>
      <c r="U979" s="305"/>
      <c r="V979" s="305"/>
      <c r="W979" s="305"/>
      <c r="X979" s="305"/>
      <c r="Y979" s="305"/>
      <c r="Z979" s="305"/>
    </row>
    <row r="980" spans="1:26" ht="15.75" customHeight="1" x14ac:dyDescent="0.25">
      <c r="A980" s="305"/>
      <c r="B980" s="305"/>
      <c r="C980" s="305"/>
      <c r="D980" s="305"/>
      <c r="E980" s="305"/>
      <c r="F980" s="305"/>
      <c r="G980" s="305"/>
      <c r="H980" s="305"/>
      <c r="I980" s="305"/>
      <c r="J980" s="305"/>
      <c r="K980" s="305"/>
      <c r="L980" s="305"/>
      <c r="M980" s="305"/>
      <c r="N980" s="305"/>
      <c r="O980" s="305"/>
      <c r="P980" s="305"/>
      <c r="Q980" s="305"/>
      <c r="R980" s="305"/>
      <c r="S980" s="305"/>
      <c r="T980" s="305"/>
      <c r="U980" s="305"/>
      <c r="V980" s="305"/>
      <c r="W980" s="305"/>
      <c r="X980" s="305"/>
      <c r="Y980" s="305"/>
      <c r="Z980" s="305"/>
    </row>
    <row r="981" spans="1:26" ht="15.75" customHeight="1" x14ac:dyDescent="0.25">
      <c r="A981" s="305"/>
      <c r="B981" s="305"/>
      <c r="C981" s="305"/>
      <c r="D981" s="305"/>
      <c r="E981" s="305"/>
      <c r="F981" s="305"/>
      <c r="G981" s="305"/>
      <c r="H981" s="305"/>
      <c r="I981" s="305"/>
      <c r="J981" s="305"/>
      <c r="K981" s="305"/>
      <c r="L981" s="305"/>
      <c r="M981" s="305"/>
      <c r="N981" s="305"/>
      <c r="O981" s="305"/>
      <c r="P981" s="305"/>
      <c r="Q981" s="305"/>
      <c r="R981" s="305"/>
      <c r="S981" s="305"/>
      <c r="T981" s="305"/>
      <c r="U981" s="305"/>
      <c r="V981" s="305"/>
      <c r="W981" s="305"/>
      <c r="X981" s="305"/>
      <c r="Y981" s="305"/>
      <c r="Z981" s="305"/>
    </row>
    <row r="982" spans="1:26" ht="15.75" customHeight="1" x14ac:dyDescent="0.25">
      <c r="A982" s="305"/>
      <c r="B982" s="305"/>
      <c r="C982" s="305"/>
      <c r="D982" s="305"/>
      <c r="E982" s="305"/>
      <c r="F982" s="305"/>
      <c r="G982" s="305"/>
      <c r="H982" s="305"/>
      <c r="I982" s="305"/>
      <c r="J982" s="305"/>
      <c r="K982" s="305"/>
      <c r="L982" s="305"/>
      <c r="M982" s="305"/>
      <c r="N982" s="305"/>
      <c r="O982" s="305"/>
      <c r="P982" s="305"/>
      <c r="Q982" s="305"/>
      <c r="R982" s="305"/>
      <c r="S982" s="305"/>
      <c r="T982" s="305"/>
      <c r="U982" s="305"/>
      <c r="V982" s="305"/>
      <c r="W982" s="305"/>
      <c r="X982" s="305"/>
      <c r="Y982" s="305"/>
      <c r="Z982" s="305"/>
    </row>
    <row r="983" spans="1:26" ht="15.75" customHeight="1" x14ac:dyDescent="0.25">
      <c r="A983" s="305"/>
      <c r="B983" s="305"/>
      <c r="C983" s="305"/>
      <c r="D983" s="305"/>
      <c r="E983" s="305"/>
      <c r="F983" s="305"/>
      <c r="G983" s="305"/>
      <c r="H983" s="305"/>
      <c r="I983" s="305"/>
      <c r="J983" s="305"/>
      <c r="K983" s="305"/>
      <c r="L983" s="305"/>
      <c r="M983" s="305"/>
      <c r="N983" s="305"/>
      <c r="O983" s="305"/>
      <c r="P983" s="305"/>
      <c r="Q983" s="305"/>
      <c r="R983" s="305"/>
      <c r="S983" s="305"/>
      <c r="T983" s="305"/>
      <c r="U983" s="305"/>
      <c r="V983" s="305"/>
      <c r="W983" s="305"/>
      <c r="X983" s="305"/>
      <c r="Y983" s="305"/>
      <c r="Z983" s="305"/>
    </row>
    <row r="984" spans="1:26" ht="15.75" customHeight="1" x14ac:dyDescent="0.25">
      <c r="A984" s="305"/>
      <c r="B984" s="305"/>
      <c r="C984" s="305"/>
      <c r="D984" s="305"/>
      <c r="E984" s="305"/>
      <c r="F984" s="305"/>
      <c r="G984" s="305"/>
      <c r="H984" s="305"/>
      <c r="I984" s="305"/>
      <c r="J984" s="305"/>
      <c r="K984" s="305"/>
      <c r="L984" s="305"/>
      <c r="M984" s="305"/>
      <c r="N984" s="305"/>
      <c r="O984" s="305"/>
      <c r="P984" s="305"/>
      <c r="Q984" s="305"/>
      <c r="R984" s="305"/>
      <c r="S984" s="305"/>
      <c r="T984" s="305"/>
      <c r="U984" s="305"/>
      <c r="V984" s="305"/>
      <c r="W984" s="305"/>
      <c r="X984" s="305"/>
      <c r="Y984" s="305"/>
      <c r="Z984" s="305"/>
    </row>
    <row r="985" spans="1:26" ht="15.75" customHeight="1" x14ac:dyDescent="0.25">
      <c r="A985" s="305"/>
      <c r="B985" s="305"/>
      <c r="C985" s="305"/>
      <c r="D985" s="305"/>
      <c r="E985" s="305"/>
      <c r="F985" s="305"/>
      <c r="G985" s="305"/>
      <c r="H985" s="305"/>
      <c r="I985" s="305"/>
      <c r="J985" s="305"/>
      <c r="K985" s="305"/>
      <c r="L985" s="305"/>
      <c r="M985" s="305"/>
      <c r="N985" s="305"/>
      <c r="O985" s="305"/>
      <c r="P985" s="305"/>
      <c r="Q985" s="305"/>
      <c r="R985" s="305"/>
      <c r="S985" s="305"/>
      <c r="T985" s="305"/>
      <c r="U985" s="305"/>
      <c r="V985" s="305"/>
      <c r="W985" s="305"/>
      <c r="X985" s="305"/>
      <c r="Y985" s="305"/>
      <c r="Z985" s="305"/>
    </row>
    <row r="986" spans="1:26" ht="15.75" customHeight="1" x14ac:dyDescent="0.25">
      <c r="A986" s="305"/>
      <c r="B986" s="305"/>
      <c r="C986" s="305"/>
      <c r="D986" s="305"/>
      <c r="E986" s="305"/>
      <c r="F986" s="305"/>
      <c r="G986" s="305"/>
      <c r="H986" s="305"/>
      <c r="I986" s="305"/>
      <c r="J986" s="305"/>
      <c r="K986" s="305"/>
      <c r="L986" s="305"/>
      <c r="M986" s="305"/>
      <c r="N986" s="305"/>
      <c r="O986" s="305"/>
      <c r="P986" s="305"/>
      <c r="Q986" s="305"/>
      <c r="R986" s="305"/>
      <c r="S986" s="305"/>
      <c r="T986" s="305"/>
      <c r="U986" s="305"/>
      <c r="V986" s="305"/>
      <c r="W986" s="305"/>
      <c r="X986" s="305"/>
      <c r="Y986" s="305"/>
      <c r="Z986" s="305"/>
    </row>
    <row r="987" spans="1:26" ht="15.75" customHeight="1" x14ac:dyDescent="0.25">
      <c r="A987" s="305"/>
      <c r="B987" s="305"/>
      <c r="C987" s="305"/>
      <c r="D987" s="305"/>
      <c r="E987" s="305"/>
      <c r="F987" s="305"/>
      <c r="G987" s="305"/>
      <c r="H987" s="305"/>
      <c r="I987" s="305"/>
      <c r="J987" s="305"/>
      <c r="K987" s="305"/>
      <c r="L987" s="305"/>
      <c r="M987" s="305"/>
      <c r="N987" s="305"/>
      <c r="O987" s="305"/>
      <c r="P987" s="305"/>
      <c r="Q987" s="305"/>
      <c r="R987" s="305"/>
      <c r="S987" s="305"/>
      <c r="T987" s="305"/>
      <c r="U987" s="305"/>
      <c r="V987" s="305"/>
      <c r="W987" s="305"/>
      <c r="X987" s="305"/>
      <c r="Y987" s="305"/>
      <c r="Z987" s="305"/>
    </row>
    <row r="988" spans="1:26" ht="15.75" customHeight="1" x14ac:dyDescent="0.25">
      <c r="A988" s="305"/>
      <c r="B988" s="305"/>
      <c r="C988" s="305"/>
      <c r="D988" s="305"/>
      <c r="E988" s="305"/>
      <c r="F988" s="305"/>
      <c r="G988" s="305"/>
      <c r="H988" s="305"/>
      <c r="I988" s="305"/>
      <c r="J988" s="305"/>
      <c r="K988" s="305"/>
      <c r="L988" s="305"/>
      <c r="M988" s="305"/>
      <c r="N988" s="305"/>
      <c r="O988" s="305"/>
      <c r="P988" s="305"/>
      <c r="Q988" s="305"/>
      <c r="R988" s="305"/>
      <c r="S988" s="305"/>
      <c r="T988" s="305"/>
      <c r="U988" s="305"/>
      <c r="V988" s="305"/>
      <c r="W988" s="305"/>
      <c r="X988" s="305"/>
      <c r="Y988" s="305"/>
      <c r="Z988" s="305"/>
    </row>
    <row r="989" spans="1:26" ht="15.75" customHeight="1" x14ac:dyDescent="0.25">
      <c r="A989" s="305"/>
      <c r="B989" s="305"/>
      <c r="C989" s="305"/>
      <c r="D989" s="305"/>
      <c r="E989" s="305"/>
      <c r="F989" s="305"/>
      <c r="G989" s="305"/>
      <c r="H989" s="305"/>
      <c r="I989" s="305"/>
      <c r="J989" s="305"/>
      <c r="K989" s="305"/>
      <c r="L989" s="305"/>
      <c r="M989" s="305"/>
      <c r="N989" s="305"/>
      <c r="O989" s="305"/>
      <c r="P989" s="305"/>
      <c r="Q989" s="305"/>
      <c r="R989" s="305"/>
      <c r="S989" s="305"/>
      <c r="T989" s="305"/>
      <c r="U989" s="305"/>
      <c r="V989" s="305"/>
      <c r="W989" s="305"/>
      <c r="X989" s="305"/>
      <c r="Y989" s="305"/>
      <c r="Z989" s="305"/>
    </row>
    <row r="990" spans="1:26" ht="15.75" customHeight="1" x14ac:dyDescent="0.25">
      <c r="A990" s="305"/>
      <c r="B990" s="305"/>
      <c r="C990" s="305"/>
      <c r="D990" s="305"/>
      <c r="E990" s="305"/>
      <c r="F990" s="305"/>
      <c r="G990" s="305"/>
      <c r="H990" s="305"/>
      <c r="I990" s="305"/>
      <c r="J990" s="305"/>
      <c r="K990" s="305"/>
      <c r="L990" s="305"/>
      <c r="M990" s="305"/>
      <c r="N990" s="305"/>
      <c r="O990" s="305"/>
      <c r="P990" s="305"/>
      <c r="Q990" s="305"/>
      <c r="R990" s="305"/>
      <c r="S990" s="305"/>
      <c r="T990" s="305"/>
      <c r="U990" s="305"/>
      <c r="V990" s="305"/>
      <c r="W990" s="305"/>
      <c r="X990" s="305"/>
      <c r="Y990" s="305"/>
      <c r="Z990" s="305"/>
    </row>
    <row r="991" spans="1:26" ht="15.75" customHeight="1" x14ac:dyDescent="0.25">
      <c r="A991" s="305"/>
      <c r="B991" s="305"/>
      <c r="C991" s="305"/>
      <c r="D991" s="305"/>
      <c r="E991" s="305"/>
      <c r="F991" s="305"/>
      <c r="G991" s="305"/>
      <c r="H991" s="305"/>
      <c r="I991" s="305"/>
      <c r="J991" s="305"/>
      <c r="K991" s="305"/>
      <c r="L991" s="305"/>
      <c r="M991" s="305"/>
      <c r="N991" s="305"/>
      <c r="O991" s="305"/>
      <c r="P991" s="305"/>
      <c r="Q991" s="305"/>
      <c r="R991" s="305"/>
      <c r="S991" s="305"/>
      <c r="T991" s="305"/>
      <c r="U991" s="305"/>
      <c r="V991" s="305"/>
      <c r="W991" s="305"/>
      <c r="X991" s="305"/>
      <c r="Y991" s="305"/>
      <c r="Z991" s="305"/>
    </row>
    <row r="992" spans="1:26" ht="15.75" customHeight="1" x14ac:dyDescent="0.25">
      <c r="A992" s="305"/>
      <c r="B992" s="305"/>
      <c r="C992" s="305"/>
      <c r="D992" s="305"/>
      <c r="E992" s="305"/>
      <c r="F992" s="305"/>
      <c r="G992" s="305"/>
      <c r="H992" s="305"/>
      <c r="I992" s="305"/>
      <c r="J992" s="305"/>
      <c r="K992" s="305"/>
      <c r="L992" s="305"/>
      <c r="M992" s="305"/>
      <c r="N992" s="305"/>
      <c r="O992" s="305"/>
      <c r="P992" s="305"/>
      <c r="Q992" s="305"/>
      <c r="R992" s="305"/>
      <c r="S992" s="305"/>
      <c r="T992" s="305"/>
      <c r="U992" s="305"/>
      <c r="V992" s="305"/>
      <c r="W992" s="305"/>
      <c r="X992" s="305"/>
      <c r="Y992" s="305"/>
      <c r="Z992" s="305"/>
    </row>
    <row r="993" spans="1:26" ht="15.75" customHeight="1" x14ac:dyDescent="0.25">
      <c r="A993" s="305"/>
      <c r="B993" s="305"/>
      <c r="C993" s="305"/>
      <c r="D993" s="305"/>
      <c r="E993" s="305"/>
      <c r="F993" s="305"/>
      <c r="G993" s="305"/>
      <c r="H993" s="305"/>
      <c r="I993" s="305"/>
      <c r="J993" s="305"/>
      <c r="K993" s="305"/>
      <c r="L993" s="305"/>
      <c r="M993" s="305"/>
      <c r="N993" s="305"/>
      <c r="O993" s="305"/>
      <c r="P993" s="305"/>
      <c r="Q993" s="305"/>
      <c r="R993" s="305"/>
      <c r="S993" s="305"/>
      <c r="T993" s="305"/>
      <c r="U993" s="305"/>
      <c r="V993" s="305"/>
      <c r="W993" s="305"/>
      <c r="X993" s="305"/>
      <c r="Y993" s="305"/>
      <c r="Z993" s="305"/>
    </row>
    <row r="994" spans="1:26" ht="15.75" customHeight="1" x14ac:dyDescent="0.25">
      <c r="A994" s="305"/>
      <c r="B994" s="305"/>
      <c r="C994" s="305"/>
      <c r="D994" s="305"/>
      <c r="E994" s="305"/>
      <c r="F994" s="305"/>
      <c r="G994" s="305"/>
      <c r="H994" s="305"/>
      <c r="I994" s="305"/>
      <c r="J994" s="305"/>
      <c r="K994" s="305"/>
      <c r="L994" s="305"/>
      <c r="M994" s="305"/>
      <c r="N994" s="305"/>
      <c r="O994" s="305"/>
      <c r="P994" s="305"/>
      <c r="Q994" s="305"/>
      <c r="R994" s="305"/>
      <c r="S994" s="305"/>
      <c r="T994" s="305"/>
      <c r="U994" s="305"/>
      <c r="V994" s="305"/>
      <c r="W994" s="305"/>
      <c r="X994" s="305"/>
      <c r="Y994" s="305"/>
      <c r="Z994" s="305"/>
    </row>
    <row r="995" spans="1:26" ht="15.75" customHeight="1" x14ac:dyDescent="0.25">
      <c r="A995" s="305"/>
      <c r="B995" s="305"/>
      <c r="C995" s="305"/>
      <c r="D995" s="305"/>
      <c r="E995" s="305"/>
      <c r="F995" s="305"/>
      <c r="G995" s="305"/>
      <c r="H995" s="305"/>
      <c r="I995" s="305"/>
      <c r="J995" s="305"/>
      <c r="K995" s="305"/>
      <c r="L995" s="305"/>
      <c r="M995" s="305"/>
      <c r="N995" s="305"/>
      <c r="O995" s="305"/>
      <c r="P995" s="305"/>
      <c r="Q995" s="305"/>
      <c r="R995" s="305"/>
      <c r="S995" s="305"/>
      <c r="T995" s="305"/>
      <c r="U995" s="305"/>
      <c r="V995" s="305"/>
      <c r="W995" s="305"/>
      <c r="X995" s="305"/>
      <c r="Y995" s="305"/>
      <c r="Z995" s="305"/>
    </row>
    <row r="996" spans="1:26" ht="15.75" customHeight="1" x14ac:dyDescent="0.25">
      <c r="A996" s="305"/>
      <c r="B996" s="305"/>
      <c r="C996" s="305"/>
      <c r="D996" s="305"/>
      <c r="E996" s="305"/>
      <c r="F996" s="305"/>
      <c r="G996" s="305"/>
      <c r="H996" s="305"/>
      <c r="I996" s="305"/>
      <c r="J996" s="305"/>
      <c r="K996" s="305"/>
      <c r="L996" s="305"/>
      <c r="M996" s="305"/>
      <c r="N996" s="305"/>
      <c r="O996" s="305"/>
      <c r="P996" s="305"/>
      <c r="Q996" s="305"/>
      <c r="R996" s="305"/>
      <c r="S996" s="305"/>
      <c r="T996" s="305"/>
      <c r="U996" s="305"/>
      <c r="V996" s="305"/>
      <c r="W996" s="305"/>
      <c r="X996" s="305"/>
      <c r="Y996" s="305"/>
      <c r="Z996" s="305"/>
    </row>
    <row r="997" spans="1:26" ht="15.75" customHeight="1" x14ac:dyDescent="0.25">
      <c r="A997" s="305"/>
      <c r="B997" s="305"/>
      <c r="C997" s="305"/>
      <c r="D997" s="305"/>
      <c r="E997" s="305"/>
      <c r="F997" s="305"/>
      <c r="G997" s="305"/>
      <c r="H997" s="305"/>
      <c r="I997" s="305"/>
      <c r="J997" s="305"/>
      <c r="K997" s="305"/>
      <c r="L997" s="305"/>
      <c r="M997" s="305"/>
      <c r="N997" s="305"/>
      <c r="O997" s="305"/>
      <c r="P997" s="305"/>
      <c r="Q997" s="305"/>
      <c r="R997" s="305"/>
      <c r="S997" s="305"/>
      <c r="T997" s="305"/>
      <c r="U997" s="305"/>
      <c r="V997" s="305"/>
      <c r="W997" s="305"/>
      <c r="X997" s="305"/>
      <c r="Y997" s="305"/>
      <c r="Z997" s="305"/>
    </row>
    <row r="998" spans="1:26" ht="15.75" customHeight="1" x14ac:dyDescent="0.25">
      <c r="A998" s="305"/>
      <c r="B998" s="305"/>
      <c r="C998" s="305"/>
      <c r="D998" s="305"/>
      <c r="E998" s="305"/>
      <c r="F998" s="305"/>
      <c r="G998" s="305"/>
      <c r="H998" s="305"/>
      <c r="I998" s="305"/>
      <c r="J998" s="305"/>
      <c r="K998" s="305"/>
      <c r="L998" s="305"/>
      <c r="M998" s="305"/>
      <c r="N998" s="305"/>
      <c r="O998" s="305"/>
      <c r="P998" s="305"/>
      <c r="Q998" s="305"/>
      <c r="R998" s="305"/>
      <c r="S998" s="305"/>
      <c r="T998" s="305"/>
      <c r="U998" s="305"/>
      <c r="V998" s="305"/>
      <c r="W998" s="305"/>
      <c r="X998" s="305"/>
      <c r="Y998" s="305"/>
      <c r="Z998" s="305"/>
    </row>
    <row r="999" spans="1:26" ht="15.75" customHeight="1" x14ac:dyDescent="0.25">
      <c r="A999" s="305"/>
      <c r="B999" s="305"/>
      <c r="C999" s="305"/>
      <c r="D999" s="305"/>
      <c r="E999" s="305"/>
      <c r="F999" s="305"/>
      <c r="G999" s="305"/>
      <c r="H999" s="305"/>
      <c r="I999" s="305"/>
      <c r="J999" s="305"/>
      <c r="K999" s="305"/>
      <c r="L999" s="305"/>
      <c r="M999" s="305"/>
      <c r="N999" s="305"/>
      <c r="O999" s="305"/>
      <c r="P999" s="305"/>
      <c r="Q999" s="305"/>
      <c r="R999" s="305"/>
      <c r="S999" s="305"/>
      <c r="T999" s="305"/>
      <c r="U999" s="305"/>
      <c r="V999" s="305"/>
      <c r="W999" s="305"/>
      <c r="X999" s="305"/>
      <c r="Y999" s="305"/>
      <c r="Z999" s="305"/>
    </row>
    <row r="1000" spans="1:26" ht="15.75" customHeight="1" x14ac:dyDescent="0.25">
      <c r="A1000" s="305"/>
      <c r="B1000" s="305"/>
      <c r="C1000" s="305"/>
      <c r="D1000" s="305"/>
      <c r="E1000" s="305"/>
      <c r="F1000" s="305"/>
      <c r="G1000" s="305"/>
      <c r="H1000" s="305"/>
      <c r="I1000" s="305"/>
      <c r="J1000" s="305"/>
      <c r="K1000" s="305"/>
      <c r="L1000" s="305"/>
      <c r="M1000" s="305"/>
      <c r="N1000" s="305"/>
      <c r="O1000" s="305"/>
      <c r="P1000" s="305"/>
      <c r="Q1000" s="305"/>
      <c r="R1000" s="305"/>
      <c r="S1000" s="305"/>
      <c r="T1000" s="305"/>
      <c r="U1000" s="305"/>
      <c r="V1000" s="305"/>
      <c r="W1000" s="305"/>
      <c r="X1000" s="305"/>
      <c r="Y1000" s="305"/>
      <c r="Z1000" s="305"/>
    </row>
  </sheetData>
  <mergeCells count="10">
    <mergeCell ref="A20:E20"/>
    <mergeCell ref="A22:J22"/>
    <mergeCell ref="A32:J32"/>
    <mergeCell ref="A40:E40"/>
    <mergeCell ref="D3:E3"/>
    <mergeCell ref="D4:E4"/>
    <mergeCell ref="A9:E9"/>
    <mergeCell ref="A15:E15"/>
    <mergeCell ref="A18:J18"/>
    <mergeCell ref="A19:E19"/>
  </mergeCells>
  <pageMargins left="0.511811024" right="0.511811024" top="0.78740157499999996" bottom="0.78740157499999996" header="0" footer="0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1E4D6-9978-4604-8088-31B5029968B1}">
  <sheetPr>
    <pageSetUpPr fitToPage="1"/>
  </sheetPr>
  <dimension ref="A1:Z1000"/>
  <sheetViews>
    <sheetView showGridLines="0" workbookViewId="0">
      <selection activeCell="B9" sqref="B9:F9"/>
    </sheetView>
  </sheetViews>
  <sheetFormatPr defaultColWidth="14.42578125" defaultRowHeight="15" customHeight="1" x14ac:dyDescent="0.25"/>
  <cols>
    <col min="1" max="1" width="10.7109375" customWidth="1"/>
    <col min="2" max="2" width="83.7109375" customWidth="1"/>
    <col min="3" max="4" width="11.28515625" customWidth="1"/>
    <col min="5" max="5" width="11.140625" customWidth="1"/>
    <col min="6" max="6" width="24" customWidth="1"/>
    <col min="7" max="24" width="8.5703125" customWidth="1"/>
    <col min="25" max="26" width="12.5703125" customWidth="1"/>
  </cols>
  <sheetData>
    <row r="1" spans="1:26" ht="18" customHeight="1" x14ac:dyDescent="0.6">
      <c r="A1" s="214" t="s">
        <v>0</v>
      </c>
      <c r="B1" s="215" t="str">
        <f>DADOS_INICIAIS!B1</f>
        <v>MONOLYT</v>
      </c>
      <c r="C1" s="216"/>
      <c r="D1" s="217"/>
      <c r="E1" s="250"/>
      <c r="F1" s="218"/>
      <c r="G1" s="305"/>
      <c r="H1" s="305"/>
      <c r="I1" s="305"/>
      <c r="J1" s="305"/>
      <c r="K1" s="305"/>
      <c r="L1" s="305"/>
      <c r="M1" s="305"/>
      <c r="N1" s="305"/>
      <c r="O1" s="305"/>
      <c r="P1" s="305"/>
      <c r="Q1" s="305"/>
      <c r="R1" s="305"/>
      <c r="S1" s="305"/>
      <c r="T1" s="305"/>
      <c r="U1" s="305"/>
      <c r="V1" s="305"/>
      <c r="W1" s="305"/>
      <c r="X1" s="305"/>
      <c r="Y1" s="305"/>
      <c r="Z1" s="305"/>
    </row>
    <row r="2" spans="1:26" ht="18" customHeight="1" x14ac:dyDescent="0.6">
      <c r="A2" s="219" t="s">
        <v>113</v>
      </c>
      <c r="B2" s="220" t="str">
        <f>DADOS_INICIAIS!B2</f>
        <v>BLUE HEAVEN</v>
      </c>
      <c r="C2" s="221"/>
      <c r="D2" s="222"/>
      <c r="E2" s="252"/>
      <c r="F2" s="223"/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305"/>
      <c r="S2" s="305"/>
      <c r="T2" s="305"/>
      <c r="U2" s="305"/>
      <c r="V2" s="305"/>
      <c r="W2" s="305"/>
      <c r="X2" s="305"/>
      <c r="Y2" s="305"/>
      <c r="Z2" s="305"/>
    </row>
    <row r="3" spans="1:26" ht="18" customHeight="1" x14ac:dyDescent="0.6">
      <c r="A3" s="219" t="s">
        <v>1</v>
      </c>
      <c r="B3" s="220" t="s">
        <v>161</v>
      </c>
      <c r="C3" s="221"/>
      <c r="D3" s="222"/>
      <c r="E3" s="252"/>
      <c r="F3" s="223"/>
      <c r="G3" s="305"/>
      <c r="H3" s="305"/>
      <c r="I3" s="305"/>
      <c r="J3" s="305"/>
      <c r="K3" s="305"/>
      <c r="L3" s="305"/>
      <c r="M3" s="305"/>
      <c r="N3" s="305"/>
      <c r="O3" s="305"/>
      <c r="P3" s="305"/>
      <c r="Q3" s="305"/>
      <c r="R3" s="305"/>
      <c r="S3" s="305"/>
      <c r="T3" s="305"/>
      <c r="U3" s="305"/>
      <c r="V3" s="305"/>
      <c r="W3" s="305"/>
      <c r="X3" s="305"/>
      <c r="Y3" s="305"/>
      <c r="Z3" s="305"/>
    </row>
    <row r="4" spans="1:26" ht="24.75" customHeight="1" x14ac:dyDescent="0.25">
      <c r="A4" s="1088" t="s">
        <v>283</v>
      </c>
      <c r="B4" s="1089"/>
      <c r="C4" s="1089"/>
      <c r="D4" s="1089"/>
      <c r="E4" s="1089"/>
      <c r="F4" s="1090"/>
      <c r="G4" s="305"/>
      <c r="H4" s="305"/>
      <c r="I4" s="305"/>
      <c r="J4" s="305"/>
      <c r="K4" s="305"/>
      <c r="L4" s="305"/>
      <c r="M4" s="305"/>
      <c r="N4" s="305"/>
      <c r="O4" s="305"/>
      <c r="P4" s="305"/>
      <c r="Q4" s="305"/>
      <c r="R4" s="305"/>
      <c r="S4" s="305"/>
      <c r="T4" s="305"/>
      <c r="U4" s="305"/>
      <c r="V4" s="305"/>
      <c r="W4" s="305"/>
      <c r="X4" s="305"/>
      <c r="Y4" s="305"/>
      <c r="Z4" s="305"/>
    </row>
    <row r="5" spans="1:26" ht="14.25" customHeight="1" x14ac:dyDescent="0.6">
      <c r="A5" s="224"/>
      <c r="B5" s="225"/>
      <c r="C5" s="225"/>
      <c r="D5" s="226"/>
      <c r="E5" s="255"/>
      <c r="F5" s="227"/>
      <c r="G5" s="305"/>
      <c r="H5" s="305"/>
      <c r="I5" s="305"/>
      <c r="J5" s="305"/>
      <c r="K5" s="305"/>
      <c r="L5" s="305"/>
      <c r="M5" s="305"/>
      <c r="N5" s="305"/>
      <c r="O5" s="305"/>
      <c r="P5" s="305"/>
      <c r="Q5" s="305"/>
      <c r="R5" s="305"/>
      <c r="S5" s="305"/>
      <c r="T5" s="305"/>
      <c r="U5" s="305"/>
      <c r="V5" s="305"/>
      <c r="W5" s="305"/>
      <c r="X5" s="305"/>
      <c r="Y5" s="305"/>
      <c r="Z5" s="305"/>
    </row>
    <row r="6" spans="1:26" ht="16.5" customHeight="1" x14ac:dyDescent="0.25">
      <c r="A6" s="1091" t="s">
        <v>386</v>
      </c>
      <c r="B6" s="1089"/>
      <c r="C6" s="1089"/>
      <c r="D6" s="1089"/>
      <c r="E6" s="1089"/>
      <c r="F6" s="1090"/>
      <c r="G6" s="305"/>
      <c r="H6" s="305"/>
      <c r="I6" s="305"/>
      <c r="J6" s="305"/>
      <c r="K6" s="305"/>
      <c r="L6" s="305"/>
      <c r="M6" s="305"/>
      <c r="N6" s="305"/>
      <c r="O6" s="305"/>
      <c r="P6" s="305"/>
      <c r="Q6" s="305"/>
      <c r="R6" s="305"/>
      <c r="S6" s="305"/>
      <c r="T6" s="305"/>
      <c r="U6" s="305"/>
      <c r="V6" s="305"/>
      <c r="W6" s="305"/>
      <c r="X6" s="305"/>
      <c r="Y6" s="305"/>
      <c r="Z6" s="305"/>
    </row>
    <row r="7" spans="1:26" ht="14.25" customHeight="1" x14ac:dyDescent="0.6">
      <c r="A7" s="228"/>
      <c r="B7" s="229"/>
      <c r="C7" s="230"/>
      <c r="D7" s="231"/>
      <c r="E7" s="253"/>
      <c r="F7" s="232"/>
      <c r="G7" s="305"/>
      <c r="H7" s="305"/>
      <c r="I7" s="305"/>
      <c r="J7" s="305"/>
      <c r="K7" s="305"/>
      <c r="L7" s="305"/>
      <c r="M7" s="305"/>
      <c r="N7" s="305"/>
      <c r="O7" s="305"/>
      <c r="P7" s="305"/>
      <c r="Q7" s="305"/>
      <c r="R7" s="305"/>
      <c r="S7" s="305"/>
      <c r="T7" s="305"/>
      <c r="U7" s="305"/>
      <c r="V7" s="305"/>
      <c r="W7" s="305"/>
      <c r="X7" s="305"/>
      <c r="Y7" s="305"/>
      <c r="Z7" s="305"/>
    </row>
    <row r="8" spans="1:26" ht="21.75" customHeight="1" x14ac:dyDescent="0.6">
      <c r="A8" s="256" t="s">
        <v>387</v>
      </c>
      <c r="B8" s="257"/>
      <c r="C8" s="257"/>
      <c r="D8" s="258"/>
      <c r="E8" s="259"/>
      <c r="F8" s="260"/>
      <c r="G8" s="305"/>
      <c r="H8" s="305"/>
      <c r="I8" s="305"/>
      <c r="J8" s="305"/>
      <c r="K8" s="305"/>
      <c r="L8" s="305"/>
      <c r="M8" s="305"/>
      <c r="N8" s="305"/>
      <c r="O8" s="305"/>
      <c r="P8" s="305"/>
      <c r="Q8" s="305"/>
      <c r="R8" s="305"/>
      <c r="S8" s="305"/>
      <c r="T8" s="305"/>
      <c r="U8" s="305"/>
      <c r="V8" s="305"/>
      <c r="W8" s="305"/>
      <c r="X8" s="305"/>
      <c r="Y8" s="305"/>
      <c r="Z8" s="305"/>
    </row>
    <row r="9" spans="1:26" ht="21.75" customHeight="1" thickBot="1" x14ac:dyDescent="0.65">
      <c r="A9" s="233"/>
      <c r="B9" s="263"/>
      <c r="C9" s="263"/>
      <c r="D9" s="264"/>
      <c r="E9" s="265"/>
      <c r="F9" s="232"/>
      <c r="G9" s="305"/>
      <c r="H9" s="305"/>
      <c r="I9" s="305"/>
      <c r="J9" s="305"/>
      <c r="K9" s="305"/>
      <c r="L9" s="305"/>
      <c r="M9" s="305"/>
      <c r="N9" s="305"/>
      <c r="O9" s="305"/>
      <c r="P9" s="305"/>
      <c r="Q9" s="305"/>
      <c r="R9" s="305"/>
      <c r="S9" s="305"/>
      <c r="T9" s="305"/>
      <c r="U9" s="305"/>
      <c r="V9" s="305"/>
      <c r="W9" s="305"/>
      <c r="X9" s="305"/>
      <c r="Y9" s="305"/>
      <c r="Z9" s="305"/>
    </row>
    <row r="10" spans="1:26" ht="21.75" customHeight="1" x14ac:dyDescent="0.6">
      <c r="A10" s="233"/>
      <c r="B10" s="234" t="s">
        <v>14</v>
      </c>
      <c r="C10" s="235" t="s">
        <v>123</v>
      </c>
      <c r="D10" s="236" t="s">
        <v>18</v>
      </c>
      <c r="E10" s="265"/>
      <c r="F10" s="232"/>
      <c r="G10" s="305"/>
      <c r="H10" s="305"/>
      <c r="I10" s="305"/>
      <c r="J10" s="305"/>
      <c r="K10" s="305"/>
      <c r="L10" s="305"/>
      <c r="M10" s="305"/>
      <c r="N10" s="305"/>
      <c r="O10" s="305"/>
      <c r="P10" s="305"/>
      <c r="Q10" s="305"/>
      <c r="R10" s="305"/>
      <c r="S10" s="305"/>
      <c r="T10" s="305"/>
      <c r="U10" s="305"/>
      <c r="V10" s="305"/>
      <c r="W10" s="305"/>
      <c r="X10" s="305"/>
      <c r="Y10" s="305"/>
      <c r="Z10" s="305"/>
    </row>
    <row r="11" spans="1:26" ht="21.75" customHeight="1" x14ac:dyDescent="0.6">
      <c r="A11" s="233"/>
      <c r="B11" s="240" t="s">
        <v>388</v>
      </c>
      <c r="C11" s="241" t="s">
        <v>4</v>
      </c>
      <c r="D11" s="242"/>
      <c r="E11" s="265"/>
      <c r="F11" s="232"/>
      <c r="G11" s="305"/>
      <c r="H11" s="305"/>
      <c r="I11" s="305"/>
      <c r="J11" s="305"/>
      <c r="K11" s="305"/>
      <c r="L11" s="305"/>
      <c r="M11" s="305"/>
      <c r="N11" s="305"/>
      <c r="O11" s="305"/>
      <c r="P11" s="305"/>
      <c r="Q11" s="305"/>
      <c r="R11" s="305"/>
      <c r="S11" s="305"/>
      <c r="T11" s="305"/>
      <c r="U11" s="305"/>
      <c r="V11" s="305"/>
      <c r="W11" s="305"/>
      <c r="X11" s="305"/>
      <c r="Y11" s="305"/>
      <c r="Z11" s="305"/>
    </row>
    <row r="12" spans="1:26" ht="21.75" customHeight="1" x14ac:dyDescent="0.6">
      <c r="A12" s="233"/>
      <c r="B12" s="240" t="s">
        <v>389</v>
      </c>
      <c r="C12" s="241" t="s">
        <v>4</v>
      </c>
      <c r="D12" s="242"/>
      <c r="E12" s="265"/>
      <c r="F12" s="232"/>
      <c r="G12" s="305"/>
      <c r="H12" s="305"/>
      <c r="I12" s="305"/>
      <c r="J12" s="305"/>
      <c r="K12" s="305"/>
      <c r="L12" s="305"/>
      <c r="M12" s="305"/>
      <c r="N12" s="305"/>
      <c r="O12" s="305"/>
      <c r="P12" s="305"/>
      <c r="Q12" s="305"/>
      <c r="R12" s="305"/>
      <c r="S12" s="305"/>
      <c r="T12" s="305"/>
      <c r="U12" s="305"/>
      <c r="V12" s="305"/>
      <c r="W12" s="305"/>
      <c r="X12" s="305"/>
      <c r="Y12" s="305"/>
      <c r="Z12" s="305"/>
    </row>
    <row r="13" spans="1:26" ht="21.75" customHeight="1" x14ac:dyDescent="0.6">
      <c r="A13" s="233"/>
      <c r="B13" s="240" t="s">
        <v>390</v>
      </c>
      <c r="C13" s="241" t="s">
        <v>3</v>
      </c>
      <c r="D13" s="242"/>
      <c r="E13" s="265"/>
      <c r="F13" s="232"/>
      <c r="G13" s="305"/>
      <c r="H13" s="305"/>
      <c r="I13" s="305"/>
      <c r="J13" s="305"/>
      <c r="K13" s="305"/>
      <c r="L13" s="305"/>
      <c r="M13" s="305"/>
      <c r="N13" s="305"/>
      <c r="O13" s="305"/>
      <c r="P13" s="305"/>
      <c r="Q13" s="305"/>
      <c r="R13" s="305"/>
      <c r="S13" s="305"/>
      <c r="T13" s="305"/>
      <c r="U13" s="305"/>
      <c r="V13" s="305"/>
      <c r="W13" s="305"/>
      <c r="X13" s="305"/>
      <c r="Y13" s="305"/>
      <c r="Z13" s="305"/>
    </row>
    <row r="14" spans="1:26" ht="21.75" customHeight="1" x14ac:dyDescent="0.6">
      <c r="A14" s="233"/>
      <c r="B14" s="240" t="s">
        <v>391</v>
      </c>
      <c r="C14" s="241" t="s">
        <v>3</v>
      </c>
      <c r="D14" s="242"/>
      <c r="E14" s="265"/>
      <c r="F14" s="232"/>
      <c r="G14" s="305"/>
      <c r="H14" s="305"/>
      <c r="I14" s="305"/>
      <c r="J14" s="305"/>
      <c r="K14" s="305"/>
      <c r="L14" s="305"/>
      <c r="M14" s="305"/>
      <c r="N14" s="305"/>
      <c r="O14" s="305"/>
      <c r="P14" s="305"/>
      <c r="Q14" s="305"/>
      <c r="R14" s="305"/>
      <c r="S14" s="305"/>
      <c r="T14" s="305"/>
      <c r="U14" s="305"/>
      <c r="V14" s="305"/>
      <c r="W14" s="305"/>
      <c r="X14" s="305"/>
      <c r="Y14" s="305"/>
      <c r="Z14" s="305"/>
    </row>
    <row r="15" spans="1:26" ht="21.75" customHeight="1" thickBot="1" x14ac:dyDescent="0.65">
      <c r="A15" s="233"/>
      <c r="B15" s="337" t="s">
        <v>392</v>
      </c>
      <c r="C15" s="338" t="s">
        <v>4</v>
      </c>
      <c r="D15" s="339">
        <f>D11*D13+(D12-38.27)*D13</f>
        <v>0</v>
      </c>
      <c r="E15" s="265"/>
      <c r="F15" s="232"/>
      <c r="G15" s="305"/>
      <c r="H15" s="305"/>
      <c r="I15" s="305"/>
      <c r="J15" s="305"/>
      <c r="K15" s="305"/>
      <c r="L15" s="305"/>
      <c r="M15" s="305"/>
      <c r="N15" s="305"/>
      <c r="O15" s="305"/>
      <c r="P15" s="305"/>
      <c r="Q15" s="305"/>
      <c r="R15" s="305"/>
      <c r="S15" s="305"/>
      <c r="T15" s="305"/>
      <c r="U15" s="305"/>
      <c r="V15" s="305"/>
      <c r="W15" s="305"/>
      <c r="X15" s="305"/>
      <c r="Y15" s="305"/>
      <c r="Z15" s="305"/>
    </row>
    <row r="16" spans="1:26" ht="21.75" customHeight="1" thickBot="1" x14ac:dyDescent="0.65">
      <c r="A16" s="233"/>
      <c r="B16" s="337" t="s">
        <v>393</v>
      </c>
      <c r="C16" s="338" t="s">
        <v>4</v>
      </c>
      <c r="D16" s="339">
        <f>D12*D14</f>
        <v>0</v>
      </c>
      <c r="E16" s="265"/>
      <c r="F16" s="232"/>
      <c r="G16" s="305"/>
      <c r="H16" s="305"/>
      <c r="I16" s="305"/>
      <c r="J16" s="305"/>
      <c r="K16" s="305"/>
      <c r="L16" s="305"/>
      <c r="M16" s="305"/>
      <c r="N16" s="305"/>
      <c r="O16" s="305"/>
      <c r="P16" s="305"/>
      <c r="Q16" s="305"/>
      <c r="R16" s="305"/>
      <c r="S16" s="305"/>
      <c r="T16" s="305"/>
      <c r="U16" s="305"/>
      <c r="V16" s="305"/>
      <c r="W16" s="305"/>
      <c r="X16" s="305"/>
      <c r="Y16" s="305"/>
      <c r="Z16" s="305"/>
    </row>
    <row r="17" spans="1:26" ht="21.75" customHeight="1" x14ac:dyDescent="0.6">
      <c r="A17" s="282"/>
      <c r="B17" s="263"/>
      <c r="C17" s="263"/>
      <c r="D17" s="264"/>
      <c r="E17" s="265"/>
      <c r="F17" s="232"/>
      <c r="G17" s="305"/>
      <c r="H17" s="305"/>
      <c r="I17" s="305"/>
      <c r="J17" s="305"/>
      <c r="K17" s="305"/>
      <c r="L17" s="305"/>
      <c r="M17" s="305"/>
      <c r="N17" s="305"/>
      <c r="O17" s="305"/>
      <c r="P17" s="305"/>
      <c r="Q17" s="305"/>
      <c r="R17" s="305"/>
      <c r="S17" s="305"/>
      <c r="T17" s="305"/>
      <c r="U17" s="305"/>
      <c r="V17" s="305"/>
      <c r="W17" s="305"/>
      <c r="X17" s="305"/>
      <c r="Y17" s="305"/>
      <c r="Z17" s="305"/>
    </row>
    <row r="18" spans="1:26" ht="21.75" customHeight="1" x14ac:dyDescent="0.6">
      <c r="A18" s="256" t="s">
        <v>394</v>
      </c>
      <c r="B18" s="257"/>
      <c r="C18" s="257"/>
      <c r="D18" s="258"/>
      <c r="E18" s="259"/>
      <c r="F18" s="260"/>
      <c r="G18" s="305"/>
      <c r="H18" s="305"/>
      <c r="I18" s="305"/>
      <c r="J18" s="305"/>
      <c r="K18" s="305"/>
      <c r="L18" s="305"/>
      <c r="M18" s="305"/>
      <c r="N18" s="305"/>
      <c r="O18" s="305"/>
      <c r="P18" s="305"/>
      <c r="Q18" s="305"/>
      <c r="R18" s="305"/>
      <c r="S18" s="305"/>
      <c r="T18" s="305"/>
      <c r="U18" s="305"/>
      <c r="V18" s="305"/>
      <c r="W18" s="305"/>
      <c r="X18" s="305"/>
      <c r="Y18" s="305"/>
      <c r="Z18" s="305"/>
    </row>
    <row r="19" spans="1:26" ht="21.75" customHeight="1" thickBot="1" x14ac:dyDescent="0.65">
      <c r="A19" s="282"/>
      <c r="B19" s="263"/>
      <c r="C19" s="263"/>
      <c r="D19" s="264"/>
      <c r="E19" s="265"/>
      <c r="F19" s="232"/>
      <c r="G19" s="305"/>
      <c r="H19" s="305"/>
      <c r="I19" s="305"/>
      <c r="J19" s="305"/>
      <c r="K19" s="305"/>
      <c r="L19" s="305"/>
      <c r="M19" s="305"/>
      <c r="N19" s="305"/>
      <c r="O19" s="305"/>
      <c r="P19" s="305"/>
      <c r="Q19" s="305"/>
      <c r="R19" s="305"/>
      <c r="S19" s="305"/>
      <c r="T19" s="305"/>
      <c r="U19" s="305"/>
      <c r="V19" s="305"/>
      <c r="W19" s="305"/>
      <c r="X19" s="305"/>
      <c r="Y19" s="305"/>
      <c r="Z19" s="305"/>
    </row>
    <row r="20" spans="1:26" ht="21.75" customHeight="1" x14ac:dyDescent="0.6">
      <c r="A20" s="282"/>
      <c r="B20" s="234" t="s">
        <v>14</v>
      </c>
      <c r="C20" s="235" t="s">
        <v>123</v>
      </c>
      <c r="D20" s="236" t="s">
        <v>18</v>
      </c>
      <c r="E20" s="265"/>
      <c r="F20" s="232"/>
      <c r="G20" s="305"/>
      <c r="H20" s="305"/>
      <c r="I20" s="305"/>
      <c r="J20" s="305"/>
      <c r="K20" s="305"/>
      <c r="L20" s="305"/>
      <c r="M20" s="305"/>
      <c r="N20" s="305"/>
      <c r="O20" s="305"/>
      <c r="P20" s="305"/>
      <c r="Q20" s="305"/>
      <c r="R20" s="305"/>
      <c r="S20" s="305"/>
      <c r="T20" s="305"/>
      <c r="U20" s="305"/>
      <c r="V20" s="305"/>
      <c r="W20" s="305"/>
      <c r="X20" s="305"/>
      <c r="Y20" s="305"/>
      <c r="Z20" s="305"/>
    </row>
    <row r="21" spans="1:26" ht="21.75" customHeight="1" x14ac:dyDescent="0.6">
      <c r="A21" s="282"/>
      <c r="B21" s="237" t="s">
        <v>395</v>
      </c>
      <c r="C21" s="238" t="s">
        <v>4</v>
      </c>
      <c r="D21" s="239">
        <f>D12</f>
        <v>0</v>
      </c>
      <c r="E21" s="265"/>
      <c r="F21" s="232"/>
      <c r="G21" s="305"/>
      <c r="H21" s="305"/>
      <c r="I21" s="305"/>
      <c r="J21" s="305"/>
      <c r="K21" s="305"/>
      <c r="L21" s="305"/>
      <c r="M21" s="305"/>
      <c r="N21" s="305"/>
      <c r="O21" s="305"/>
      <c r="P21" s="305"/>
      <c r="Q21" s="305"/>
      <c r="R21" s="305"/>
      <c r="S21" s="305"/>
      <c r="T21" s="305"/>
      <c r="U21" s="305"/>
      <c r="V21" s="305"/>
      <c r="W21" s="305"/>
      <c r="X21" s="305"/>
      <c r="Y21" s="305"/>
      <c r="Z21" s="305"/>
    </row>
    <row r="22" spans="1:26" ht="21.75" customHeight="1" x14ac:dyDescent="0.6">
      <c r="A22" s="282"/>
      <c r="B22" s="267" t="s">
        <v>396</v>
      </c>
      <c r="C22" s="268" t="s">
        <v>3</v>
      </c>
      <c r="D22" s="340">
        <v>4</v>
      </c>
      <c r="E22" s="265"/>
      <c r="F22" s="232"/>
      <c r="G22" s="305"/>
      <c r="H22" s="305"/>
      <c r="I22" s="305"/>
      <c r="J22" s="305"/>
      <c r="K22" s="305"/>
      <c r="L22" s="305"/>
      <c r="M22" s="305"/>
      <c r="N22" s="305"/>
      <c r="O22" s="305"/>
      <c r="P22" s="305"/>
      <c r="Q22" s="305"/>
      <c r="R22" s="305"/>
      <c r="S22" s="305"/>
      <c r="T22" s="305"/>
      <c r="U22" s="305"/>
      <c r="V22" s="305"/>
      <c r="W22" s="305"/>
      <c r="X22" s="305"/>
      <c r="Y22" s="305"/>
      <c r="Z22" s="305"/>
    </row>
    <row r="23" spans="1:26" ht="21.75" customHeight="1" x14ac:dyDescent="0.6">
      <c r="A23" s="282"/>
      <c r="B23" s="341" t="s">
        <v>397</v>
      </c>
      <c r="C23" s="342" t="s">
        <v>4</v>
      </c>
      <c r="D23" s="343">
        <f>(D21*D22)</f>
        <v>0</v>
      </c>
      <c r="E23" s="265"/>
      <c r="F23" s="232"/>
      <c r="G23" s="305"/>
      <c r="H23" s="305"/>
      <c r="I23" s="305"/>
      <c r="J23" s="305"/>
      <c r="K23" s="305"/>
      <c r="L23" s="305"/>
      <c r="M23" s="305"/>
      <c r="N23" s="305"/>
      <c r="O23" s="305"/>
      <c r="P23" s="305"/>
      <c r="Q23" s="305"/>
      <c r="R23" s="305"/>
      <c r="S23" s="305"/>
      <c r="T23" s="305"/>
      <c r="U23" s="305"/>
      <c r="V23" s="305"/>
      <c r="W23" s="305"/>
      <c r="X23" s="305"/>
      <c r="Y23" s="305"/>
      <c r="Z23" s="305"/>
    </row>
    <row r="24" spans="1:26" ht="21.75" customHeight="1" x14ac:dyDescent="0.45">
      <c r="A24" s="233"/>
      <c r="B24" s="265"/>
      <c r="C24" s="265"/>
      <c r="D24" s="344"/>
      <c r="E24" s="265"/>
      <c r="F24" s="345"/>
      <c r="G24" s="346"/>
      <c r="H24" s="346"/>
      <c r="I24" s="346"/>
      <c r="J24" s="346"/>
      <c r="K24" s="346"/>
      <c r="L24" s="346"/>
      <c r="M24" s="346"/>
      <c r="N24" s="346"/>
      <c r="O24" s="346"/>
      <c r="P24" s="346"/>
      <c r="Q24" s="346"/>
      <c r="R24" s="346"/>
      <c r="S24" s="346"/>
      <c r="T24" s="346"/>
      <c r="U24" s="346"/>
      <c r="V24" s="346"/>
      <c r="W24" s="346"/>
      <c r="X24" s="346"/>
      <c r="Y24" s="346"/>
      <c r="Z24" s="346"/>
    </row>
    <row r="25" spans="1:26" ht="21.75" customHeight="1" x14ac:dyDescent="0.6">
      <c r="A25" s="256" t="s">
        <v>398</v>
      </c>
      <c r="B25" s="257"/>
      <c r="C25" s="257"/>
      <c r="D25" s="258"/>
      <c r="E25" s="259"/>
      <c r="F25" s="260"/>
      <c r="G25" s="305"/>
      <c r="H25" s="305"/>
      <c r="I25" s="305"/>
      <c r="J25" s="305"/>
      <c r="K25" s="305"/>
      <c r="L25" s="305"/>
      <c r="M25" s="305"/>
      <c r="N25" s="305"/>
      <c r="O25" s="305"/>
      <c r="P25" s="305"/>
      <c r="Q25" s="305"/>
      <c r="R25" s="305"/>
      <c r="S25" s="305"/>
      <c r="T25" s="305"/>
      <c r="U25" s="305"/>
      <c r="V25" s="305"/>
      <c r="W25" s="305"/>
      <c r="X25" s="305"/>
      <c r="Y25" s="305"/>
      <c r="Z25" s="305"/>
    </row>
    <row r="26" spans="1:26" ht="21.75" customHeight="1" thickBot="1" x14ac:dyDescent="0.65">
      <c r="A26" s="282"/>
      <c r="B26" s="263"/>
      <c r="C26" s="263"/>
      <c r="D26" s="264"/>
      <c r="E26" s="265"/>
      <c r="F26" s="232"/>
      <c r="G26" s="305"/>
      <c r="H26" s="305"/>
      <c r="I26" s="305"/>
      <c r="J26" s="305"/>
      <c r="K26" s="305"/>
      <c r="L26" s="305"/>
      <c r="M26" s="305"/>
      <c r="N26" s="305"/>
      <c r="O26" s="305"/>
      <c r="P26" s="305"/>
      <c r="Q26" s="305"/>
      <c r="R26" s="305"/>
      <c r="S26" s="305"/>
      <c r="T26" s="305"/>
      <c r="U26" s="305"/>
      <c r="V26" s="305"/>
      <c r="W26" s="305"/>
      <c r="X26" s="305"/>
      <c r="Y26" s="305"/>
      <c r="Z26" s="305"/>
    </row>
    <row r="27" spans="1:26" ht="21.75" customHeight="1" x14ac:dyDescent="0.6">
      <c r="A27" s="282"/>
      <c r="B27" s="234" t="s">
        <v>14</v>
      </c>
      <c r="C27" s="235" t="s">
        <v>123</v>
      </c>
      <c r="D27" s="236" t="s">
        <v>18</v>
      </c>
      <c r="E27" s="265"/>
      <c r="F27" s="232"/>
      <c r="G27" s="305"/>
      <c r="H27" s="305"/>
      <c r="I27" s="305"/>
      <c r="J27" s="305"/>
      <c r="K27" s="305"/>
      <c r="L27" s="305"/>
      <c r="M27" s="305"/>
      <c r="N27" s="305"/>
      <c r="O27" s="305"/>
      <c r="P27" s="305"/>
      <c r="Q27" s="305"/>
      <c r="R27" s="305"/>
      <c r="S27" s="305"/>
      <c r="T27" s="305"/>
      <c r="U27" s="305"/>
      <c r="V27" s="305"/>
      <c r="W27" s="305"/>
      <c r="X27" s="305"/>
      <c r="Y27" s="305"/>
      <c r="Z27" s="305"/>
    </row>
    <row r="28" spans="1:26" ht="21.75" customHeight="1" x14ac:dyDescent="0.6">
      <c r="A28" s="282"/>
      <c r="B28" s="237" t="s">
        <v>399</v>
      </c>
      <c r="C28" s="238" t="s">
        <v>2</v>
      </c>
      <c r="D28" s="340"/>
      <c r="E28" s="265"/>
      <c r="F28" s="232"/>
      <c r="G28" s="305"/>
      <c r="H28" s="305"/>
      <c r="I28" s="305"/>
      <c r="J28" s="305"/>
      <c r="K28" s="305"/>
      <c r="L28" s="305"/>
      <c r="M28" s="305"/>
      <c r="N28" s="305"/>
      <c r="O28" s="305"/>
      <c r="P28" s="305"/>
      <c r="Q28" s="305"/>
      <c r="R28" s="305"/>
      <c r="S28" s="305"/>
      <c r="T28" s="305"/>
      <c r="U28" s="305"/>
      <c r="V28" s="305"/>
      <c r="W28" s="305"/>
      <c r="X28" s="305"/>
      <c r="Y28" s="305"/>
      <c r="Z28" s="305"/>
    </row>
    <row r="29" spans="1:26" ht="21.75" customHeight="1" x14ac:dyDescent="0.6">
      <c r="A29" s="282"/>
      <c r="B29" s="341" t="s">
        <v>398</v>
      </c>
      <c r="C29" s="342" t="s">
        <v>196</v>
      </c>
      <c r="D29" s="343">
        <f>D28</f>
        <v>0</v>
      </c>
      <c r="E29" s="265"/>
      <c r="F29" s="232"/>
      <c r="G29" s="305"/>
      <c r="H29" s="305"/>
      <c r="I29" s="305"/>
      <c r="J29" s="305"/>
      <c r="K29" s="305"/>
      <c r="L29" s="305"/>
      <c r="M29" s="305"/>
      <c r="N29" s="305"/>
      <c r="O29" s="305"/>
      <c r="P29" s="305"/>
      <c r="Q29" s="305"/>
      <c r="R29" s="305"/>
      <c r="S29" s="305"/>
      <c r="T29" s="305"/>
      <c r="U29" s="305"/>
      <c r="V29" s="305"/>
      <c r="W29" s="305"/>
      <c r="X29" s="305"/>
      <c r="Y29" s="305"/>
      <c r="Z29" s="305"/>
    </row>
    <row r="30" spans="1:26" ht="21.75" customHeight="1" x14ac:dyDescent="0.6">
      <c r="A30" s="282"/>
      <c r="B30" s="263"/>
      <c r="C30" s="263"/>
      <c r="D30" s="264"/>
      <c r="E30" s="265"/>
      <c r="F30" s="232"/>
      <c r="G30" s="305"/>
      <c r="H30" s="305"/>
      <c r="I30" s="305"/>
      <c r="J30" s="305"/>
      <c r="K30" s="305"/>
      <c r="L30" s="305"/>
      <c r="M30" s="305"/>
      <c r="N30" s="305"/>
      <c r="O30" s="305"/>
      <c r="P30" s="305"/>
      <c r="Q30" s="305"/>
      <c r="R30" s="305"/>
      <c r="S30" s="305"/>
      <c r="T30" s="305"/>
      <c r="U30" s="305"/>
      <c r="V30" s="305"/>
      <c r="W30" s="305"/>
      <c r="X30" s="305"/>
      <c r="Y30" s="305"/>
      <c r="Z30" s="305"/>
    </row>
    <row r="31" spans="1:26" ht="21.75" customHeight="1" x14ac:dyDescent="0.6">
      <c r="A31" s="256" t="s">
        <v>400</v>
      </c>
      <c r="B31" s="257"/>
      <c r="C31" s="257"/>
      <c r="D31" s="258"/>
      <c r="E31" s="259"/>
      <c r="F31" s="260"/>
      <c r="G31" s="305"/>
      <c r="H31" s="305"/>
      <c r="I31" s="305"/>
      <c r="J31" s="305"/>
      <c r="K31" s="305"/>
      <c r="L31" s="305"/>
      <c r="M31" s="305"/>
      <c r="N31" s="305"/>
      <c r="O31" s="305"/>
      <c r="P31" s="305"/>
      <c r="Q31" s="305"/>
      <c r="R31" s="305"/>
      <c r="S31" s="305"/>
      <c r="T31" s="305"/>
      <c r="U31" s="305"/>
      <c r="V31" s="305"/>
      <c r="W31" s="305"/>
      <c r="X31" s="305"/>
      <c r="Y31" s="305"/>
      <c r="Z31" s="305"/>
    </row>
    <row r="32" spans="1:26" ht="21.75" customHeight="1" thickBot="1" x14ac:dyDescent="0.65">
      <c r="A32" s="282"/>
      <c r="B32" s="263"/>
      <c r="C32" s="263"/>
      <c r="D32" s="264"/>
      <c r="E32" s="265"/>
      <c r="F32" s="232"/>
      <c r="G32" s="305"/>
      <c r="H32" s="305"/>
      <c r="I32" s="305"/>
      <c r="J32" s="305"/>
      <c r="K32" s="305"/>
      <c r="L32" s="305"/>
      <c r="M32" s="305"/>
      <c r="N32" s="305"/>
      <c r="O32" s="305"/>
      <c r="P32" s="305"/>
      <c r="Q32" s="305"/>
      <c r="R32" s="305"/>
      <c r="S32" s="305"/>
      <c r="T32" s="305"/>
      <c r="U32" s="305"/>
      <c r="V32" s="305"/>
      <c r="W32" s="305"/>
      <c r="X32" s="305"/>
      <c r="Y32" s="305"/>
      <c r="Z32" s="305"/>
    </row>
    <row r="33" spans="1:26" ht="21.75" customHeight="1" x14ac:dyDescent="0.6">
      <c r="A33" s="282"/>
      <c r="B33" s="347" t="s">
        <v>14</v>
      </c>
      <c r="C33" s="348" t="s">
        <v>123</v>
      </c>
      <c r="D33" s="349" t="s">
        <v>18</v>
      </c>
      <c r="E33" s="265"/>
      <c r="F33" s="232"/>
      <c r="G33" s="305"/>
      <c r="H33" s="305"/>
      <c r="I33" s="305"/>
      <c r="J33" s="305"/>
      <c r="K33" s="305"/>
      <c r="L33" s="305"/>
      <c r="M33" s="305"/>
      <c r="N33" s="305"/>
      <c r="O33" s="305"/>
      <c r="P33" s="305"/>
      <c r="Q33" s="305"/>
      <c r="R33" s="305"/>
      <c r="S33" s="305"/>
      <c r="T33" s="305"/>
      <c r="U33" s="305"/>
      <c r="V33" s="305"/>
      <c r="W33" s="305"/>
      <c r="X33" s="305"/>
      <c r="Y33" s="305"/>
      <c r="Z33" s="305"/>
    </row>
    <row r="34" spans="1:26" ht="21.75" customHeight="1" x14ac:dyDescent="0.6">
      <c r="A34" s="282"/>
      <c r="B34" s="240" t="s">
        <v>401</v>
      </c>
      <c r="C34" s="241" t="s">
        <v>196</v>
      </c>
      <c r="D34" s="243"/>
      <c r="E34" s="265"/>
      <c r="F34" s="232"/>
      <c r="G34" s="305"/>
      <c r="H34" s="305"/>
      <c r="I34" s="305"/>
      <c r="J34" s="305"/>
      <c r="K34" s="305"/>
      <c r="L34" s="305"/>
      <c r="M34" s="305"/>
      <c r="N34" s="305"/>
      <c r="O34" s="305"/>
      <c r="P34" s="305"/>
      <c r="Q34" s="305"/>
      <c r="R34" s="305"/>
      <c r="S34" s="305"/>
      <c r="T34" s="305"/>
      <c r="U34" s="305"/>
      <c r="V34" s="305"/>
      <c r="W34" s="305"/>
      <c r="X34" s="305"/>
      <c r="Y34" s="305"/>
      <c r="Z34" s="305"/>
    </row>
    <row r="35" spans="1:26" ht="21.75" customHeight="1" x14ac:dyDescent="0.6">
      <c r="A35" s="282"/>
      <c r="B35" s="240" t="s">
        <v>402</v>
      </c>
      <c r="C35" s="241" t="s">
        <v>3</v>
      </c>
      <c r="D35" s="243"/>
      <c r="E35" s="265"/>
      <c r="F35" s="232"/>
      <c r="G35" s="305"/>
      <c r="H35" s="305"/>
      <c r="I35" s="305"/>
      <c r="J35" s="305"/>
      <c r="K35" s="305"/>
      <c r="L35" s="305"/>
      <c r="M35" s="305"/>
      <c r="N35" s="305"/>
      <c r="O35" s="305"/>
      <c r="P35" s="305"/>
      <c r="Q35" s="305"/>
      <c r="R35" s="305"/>
      <c r="S35" s="305"/>
      <c r="T35" s="305"/>
      <c r="U35" s="305"/>
      <c r="V35" s="305"/>
      <c r="W35" s="305"/>
      <c r="X35" s="305"/>
      <c r="Y35" s="305"/>
      <c r="Z35" s="305"/>
    </row>
    <row r="36" spans="1:26" ht="21.75" customHeight="1" x14ac:dyDescent="0.6">
      <c r="A36" s="282"/>
      <c r="B36" s="240" t="s">
        <v>403</v>
      </c>
      <c r="C36" s="241" t="s">
        <v>3</v>
      </c>
      <c r="D36" s="243">
        <f>D35*12</f>
        <v>0</v>
      </c>
      <c r="E36" s="265"/>
      <c r="F36" s="232"/>
      <c r="G36" s="305"/>
      <c r="H36" s="305"/>
      <c r="I36" s="305"/>
      <c r="J36" s="305"/>
      <c r="K36" s="305"/>
      <c r="L36" s="305"/>
      <c r="M36" s="305"/>
      <c r="N36" s="305"/>
      <c r="O36" s="305"/>
      <c r="P36" s="305"/>
      <c r="Q36" s="305"/>
      <c r="R36" s="305"/>
      <c r="S36" s="305"/>
      <c r="T36" s="305"/>
      <c r="U36" s="305"/>
      <c r="V36" s="305"/>
      <c r="W36" s="305"/>
      <c r="X36" s="305"/>
      <c r="Y36" s="305"/>
      <c r="Z36" s="305"/>
    </row>
    <row r="37" spans="1:26" ht="21.75" customHeight="1" x14ac:dyDescent="0.6">
      <c r="A37" s="282"/>
      <c r="B37" s="350" t="s">
        <v>400</v>
      </c>
      <c r="C37" s="351" t="s">
        <v>196</v>
      </c>
      <c r="D37" s="352">
        <f>D34*D36</f>
        <v>0</v>
      </c>
      <c r="E37" s="265"/>
      <c r="F37" s="232"/>
      <c r="G37" s="305"/>
      <c r="H37" s="305"/>
      <c r="I37" s="305"/>
      <c r="J37" s="305"/>
      <c r="K37" s="305"/>
      <c r="L37" s="305"/>
      <c r="M37" s="305"/>
      <c r="N37" s="305"/>
      <c r="O37" s="305"/>
      <c r="P37" s="305"/>
      <c r="Q37" s="305"/>
      <c r="R37" s="305"/>
      <c r="S37" s="305"/>
      <c r="T37" s="305"/>
      <c r="U37" s="305"/>
      <c r="V37" s="305"/>
      <c r="W37" s="305"/>
      <c r="X37" s="305"/>
      <c r="Y37" s="305"/>
      <c r="Z37" s="305"/>
    </row>
    <row r="38" spans="1:26" ht="21.75" customHeight="1" x14ac:dyDescent="0.6">
      <c r="A38" s="282"/>
      <c r="B38" s="263"/>
      <c r="C38" s="263"/>
      <c r="D38" s="264"/>
      <c r="E38" s="265"/>
      <c r="F38" s="232"/>
      <c r="G38" s="305"/>
      <c r="H38" s="305"/>
      <c r="I38" s="305"/>
      <c r="J38" s="305"/>
      <c r="K38" s="305"/>
      <c r="L38" s="305"/>
      <c r="M38" s="305"/>
      <c r="N38" s="305"/>
      <c r="O38" s="305"/>
      <c r="P38" s="305"/>
      <c r="Q38" s="305"/>
      <c r="R38" s="305"/>
      <c r="S38" s="305"/>
      <c r="T38" s="305"/>
      <c r="U38" s="305"/>
      <c r="V38" s="305"/>
      <c r="W38" s="305"/>
      <c r="X38" s="305"/>
      <c r="Y38" s="305"/>
      <c r="Z38" s="305"/>
    </row>
    <row r="39" spans="1:26" ht="21.75" customHeight="1" x14ac:dyDescent="0.6">
      <c r="A39" s="256" t="s">
        <v>404</v>
      </c>
      <c r="B39" s="257"/>
      <c r="C39" s="257"/>
      <c r="D39" s="258"/>
      <c r="E39" s="259"/>
      <c r="F39" s="260"/>
      <c r="G39" s="305"/>
      <c r="H39" s="305"/>
      <c r="I39" s="305"/>
      <c r="J39" s="305"/>
      <c r="K39" s="305"/>
      <c r="L39" s="305"/>
      <c r="M39" s="305"/>
      <c r="N39" s="305"/>
      <c r="O39" s="305"/>
      <c r="P39" s="305"/>
      <c r="Q39" s="305"/>
      <c r="R39" s="305"/>
      <c r="S39" s="305"/>
      <c r="T39" s="305"/>
      <c r="U39" s="305"/>
      <c r="V39" s="305"/>
      <c r="W39" s="305"/>
      <c r="X39" s="305"/>
      <c r="Y39" s="305"/>
      <c r="Z39" s="305"/>
    </row>
    <row r="40" spans="1:26" ht="21.75" customHeight="1" thickBot="1" x14ac:dyDescent="0.65">
      <c r="A40" s="282"/>
      <c r="B40" s="263"/>
      <c r="C40" s="263"/>
      <c r="D40" s="264"/>
      <c r="E40" s="265"/>
      <c r="F40" s="232"/>
      <c r="G40" s="305"/>
      <c r="H40" s="305"/>
      <c r="I40" s="305"/>
      <c r="J40" s="305"/>
      <c r="K40" s="305"/>
      <c r="L40" s="305"/>
      <c r="M40" s="305"/>
      <c r="N40" s="305"/>
      <c r="O40" s="305"/>
      <c r="P40" s="305"/>
      <c r="Q40" s="305"/>
      <c r="R40" s="305"/>
      <c r="S40" s="305"/>
      <c r="T40" s="305"/>
      <c r="U40" s="305"/>
      <c r="V40" s="305"/>
      <c r="W40" s="305"/>
      <c r="X40" s="305"/>
      <c r="Y40" s="305"/>
      <c r="Z40" s="305"/>
    </row>
    <row r="41" spans="1:26" ht="21.75" customHeight="1" x14ac:dyDescent="0.6">
      <c r="A41" s="282"/>
      <c r="B41" s="234" t="s">
        <v>14</v>
      </c>
      <c r="C41" s="235" t="s">
        <v>123</v>
      </c>
      <c r="D41" s="236" t="s">
        <v>18</v>
      </c>
      <c r="E41" s="265"/>
      <c r="F41" s="232"/>
      <c r="G41" s="305"/>
      <c r="H41" s="305"/>
      <c r="I41" s="305"/>
      <c r="J41" s="305"/>
      <c r="K41" s="305"/>
      <c r="L41" s="305"/>
      <c r="M41" s="305"/>
      <c r="N41" s="305"/>
      <c r="O41" s="305"/>
      <c r="P41" s="305"/>
      <c r="Q41" s="305"/>
      <c r="R41" s="305"/>
      <c r="S41" s="305"/>
      <c r="T41" s="305"/>
      <c r="U41" s="305"/>
      <c r="V41" s="305"/>
      <c r="W41" s="305"/>
      <c r="X41" s="305"/>
      <c r="Y41" s="305"/>
      <c r="Z41" s="305"/>
    </row>
    <row r="42" spans="1:26" ht="21.75" customHeight="1" x14ac:dyDescent="0.6">
      <c r="A42" s="282"/>
      <c r="B42" s="237" t="s">
        <v>405</v>
      </c>
      <c r="C42" s="238" t="s">
        <v>4</v>
      </c>
      <c r="D42" s="239"/>
      <c r="E42" s="265"/>
      <c r="F42" s="232"/>
      <c r="G42" s="305"/>
      <c r="H42" s="305"/>
      <c r="I42" s="305"/>
      <c r="J42" s="305"/>
      <c r="K42" s="305"/>
      <c r="L42" s="305"/>
      <c r="M42" s="305"/>
      <c r="N42" s="305"/>
      <c r="O42" s="305"/>
      <c r="P42" s="305"/>
      <c r="Q42" s="305"/>
      <c r="R42" s="305"/>
      <c r="S42" s="305"/>
      <c r="T42" s="305"/>
      <c r="U42" s="305"/>
      <c r="V42" s="305"/>
      <c r="W42" s="305"/>
      <c r="X42" s="305"/>
      <c r="Y42" s="305"/>
      <c r="Z42" s="305"/>
    </row>
    <row r="43" spans="1:26" ht="21.75" customHeight="1" x14ac:dyDescent="0.6">
      <c r="A43" s="282"/>
      <c r="B43" s="267" t="s">
        <v>406</v>
      </c>
      <c r="C43" s="268" t="s">
        <v>4</v>
      </c>
      <c r="D43" s="340">
        <v>2.4</v>
      </c>
      <c r="E43" s="265"/>
      <c r="F43" s="232"/>
      <c r="G43" s="305"/>
      <c r="H43" s="305"/>
      <c r="I43" s="305"/>
      <c r="J43" s="305"/>
      <c r="K43" s="305"/>
      <c r="L43" s="305"/>
      <c r="M43" s="305"/>
      <c r="N43" s="305"/>
      <c r="O43" s="305"/>
      <c r="P43" s="305"/>
      <c r="Q43" s="305"/>
      <c r="R43" s="305"/>
      <c r="S43" s="305"/>
      <c r="T43" s="305"/>
      <c r="U43" s="305"/>
      <c r="V43" s="305"/>
      <c r="W43" s="305"/>
      <c r="X43" s="305"/>
      <c r="Y43" s="305"/>
      <c r="Z43" s="305"/>
    </row>
    <row r="44" spans="1:26" ht="21.75" customHeight="1" x14ac:dyDescent="0.6">
      <c r="A44" s="282"/>
      <c r="B44" s="341" t="s">
        <v>407</v>
      </c>
      <c r="C44" s="342" t="s">
        <v>196</v>
      </c>
      <c r="D44" s="343">
        <f>D43*D42</f>
        <v>0</v>
      </c>
      <c r="E44" s="265"/>
      <c r="F44" s="232"/>
      <c r="G44" s="305"/>
      <c r="H44" s="305"/>
      <c r="I44" s="305"/>
      <c r="J44" s="305"/>
      <c r="K44" s="305"/>
      <c r="L44" s="305"/>
      <c r="M44" s="305"/>
      <c r="N44" s="305"/>
      <c r="O44" s="305"/>
      <c r="P44" s="305"/>
      <c r="Q44" s="305"/>
      <c r="R44" s="305"/>
      <c r="S44" s="305"/>
      <c r="T44" s="305"/>
      <c r="U44" s="305"/>
      <c r="V44" s="305"/>
      <c r="W44" s="305"/>
      <c r="X44" s="305"/>
      <c r="Y44" s="305"/>
      <c r="Z44" s="305"/>
    </row>
    <row r="45" spans="1:26" ht="21.75" customHeight="1" x14ac:dyDescent="0.6">
      <c r="A45" s="282"/>
      <c r="B45" s="263"/>
      <c r="C45" s="263"/>
      <c r="D45" s="264"/>
      <c r="E45" s="265"/>
      <c r="F45" s="232"/>
      <c r="G45" s="305"/>
      <c r="H45" s="305"/>
      <c r="I45" s="305"/>
      <c r="J45" s="305"/>
      <c r="K45" s="305"/>
      <c r="L45" s="305"/>
      <c r="M45" s="305"/>
      <c r="N45" s="305"/>
      <c r="O45" s="305"/>
      <c r="P45" s="305"/>
      <c r="Q45" s="305"/>
      <c r="R45" s="305"/>
      <c r="S45" s="305"/>
      <c r="T45" s="305"/>
      <c r="U45" s="305"/>
      <c r="V45" s="305"/>
      <c r="W45" s="305"/>
      <c r="X45" s="305"/>
      <c r="Y45" s="305"/>
      <c r="Z45" s="305"/>
    </row>
    <row r="46" spans="1:26" ht="21.75" customHeight="1" thickBot="1" x14ac:dyDescent="0.65">
      <c r="A46" s="245"/>
      <c r="B46" s="246"/>
      <c r="C46" s="246"/>
      <c r="D46" s="247"/>
      <c r="E46" s="353"/>
      <c r="F46" s="248"/>
      <c r="G46" s="305"/>
      <c r="H46" s="305"/>
      <c r="I46" s="305"/>
      <c r="J46" s="305"/>
      <c r="K46" s="305"/>
      <c r="L46" s="305"/>
      <c r="M46" s="305"/>
      <c r="N46" s="305"/>
      <c r="O46" s="305"/>
      <c r="P46" s="305"/>
      <c r="Q46" s="305"/>
      <c r="R46" s="305"/>
      <c r="S46" s="305"/>
      <c r="T46" s="305"/>
      <c r="U46" s="305"/>
      <c r="V46" s="305"/>
      <c r="W46" s="305"/>
      <c r="X46" s="305"/>
      <c r="Y46" s="305"/>
      <c r="Z46" s="305"/>
    </row>
    <row r="47" spans="1:26" ht="21.75" customHeight="1" x14ac:dyDescent="0.6">
      <c r="A47" s="354"/>
      <c r="B47" s="355"/>
      <c r="C47" s="355"/>
      <c r="D47" s="356"/>
      <c r="E47" s="357"/>
      <c r="F47" s="354"/>
      <c r="G47" s="305"/>
      <c r="H47" s="305"/>
      <c r="I47" s="305"/>
      <c r="J47" s="305"/>
      <c r="K47" s="305"/>
      <c r="L47" s="305"/>
      <c r="M47" s="305"/>
      <c r="N47" s="305"/>
      <c r="O47" s="305"/>
      <c r="P47" s="305"/>
      <c r="Q47" s="305"/>
      <c r="R47" s="305"/>
      <c r="S47" s="305"/>
      <c r="T47" s="305"/>
      <c r="U47" s="305"/>
      <c r="V47" s="305"/>
      <c r="W47" s="305"/>
      <c r="X47" s="305"/>
      <c r="Y47" s="305"/>
      <c r="Z47" s="305"/>
    </row>
    <row r="48" spans="1:26" ht="21.75" customHeight="1" x14ac:dyDescent="0.6">
      <c r="A48" s="354"/>
      <c r="B48" s="355"/>
      <c r="C48" s="355"/>
      <c r="D48" s="356"/>
      <c r="E48" s="357"/>
      <c r="F48" s="354"/>
      <c r="G48" s="305"/>
      <c r="H48" s="305"/>
      <c r="I48" s="305"/>
      <c r="J48" s="305"/>
      <c r="K48" s="305"/>
      <c r="L48" s="305"/>
      <c r="M48" s="305"/>
      <c r="N48" s="305"/>
      <c r="O48" s="305"/>
      <c r="P48" s="305"/>
      <c r="Q48" s="305"/>
      <c r="R48" s="305"/>
      <c r="S48" s="305"/>
      <c r="T48" s="305"/>
      <c r="U48" s="305"/>
      <c r="V48" s="305"/>
      <c r="W48" s="305"/>
      <c r="X48" s="305"/>
      <c r="Y48" s="305"/>
      <c r="Z48" s="305"/>
    </row>
    <row r="49" spans="1:26" ht="21.75" customHeight="1" x14ac:dyDescent="0.6">
      <c r="A49" s="34"/>
      <c r="B49" s="35"/>
      <c r="C49" s="35"/>
      <c r="D49" s="249"/>
      <c r="E49" s="37"/>
      <c r="F49" s="34"/>
      <c r="G49" s="305"/>
      <c r="H49" s="305"/>
      <c r="I49" s="305"/>
      <c r="J49" s="305"/>
      <c r="K49" s="305"/>
      <c r="L49" s="305"/>
      <c r="M49" s="305"/>
      <c r="N49" s="305"/>
      <c r="O49" s="305"/>
      <c r="P49" s="305"/>
      <c r="Q49" s="305"/>
      <c r="R49" s="305"/>
      <c r="S49" s="305"/>
      <c r="T49" s="305"/>
      <c r="U49" s="305"/>
      <c r="V49" s="305"/>
      <c r="W49" s="305"/>
      <c r="X49" s="305"/>
      <c r="Y49" s="305"/>
      <c r="Z49" s="305"/>
    </row>
    <row r="50" spans="1:26" ht="21.75" customHeight="1" x14ac:dyDescent="0.6">
      <c r="A50" s="34"/>
      <c r="B50" s="35"/>
      <c r="C50" s="35"/>
      <c r="D50" s="249"/>
      <c r="E50" s="37"/>
      <c r="F50" s="34"/>
      <c r="G50" s="305"/>
      <c r="H50" s="305"/>
      <c r="I50" s="305"/>
      <c r="J50" s="305"/>
      <c r="K50" s="305"/>
      <c r="L50" s="305"/>
      <c r="M50" s="305"/>
      <c r="N50" s="305"/>
      <c r="O50" s="305"/>
      <c r="P50" s="305"/>
      <c r="Q50" s="305"/>
      <c r="R50" s="305"/>
      <c r="S50" s="305"/>
      <c r="T50" s="305"/>
      <c r="U50" s="305"/>
      <c r="V50" s="305"/>
      <c r="W50" s="305"/>
      <c r="X50" s="305"/>
      <c r="Y50" s="305"/>
      <c r="Z50" s="305"/>
    </row>
    <row r="51" spans="1:26" ht="21.75" customHeight="1" x14ac:dyDescent="0.6">
      <c r="A51" s="34"/>
      <c r="B51" s="35"/>
      <c r="C51" s="35"/>
      <c r="D51" s="249"/>
      <c r="E51" s="37"/>
      <c r="F51" s="34"/>
      <c r="G51" s="305"/>
      <c r="H51" s="305"/>
      <c r="I51" s="305"/>
      <c r="J51" s="305"/>
      <c r="K51" s="305"/>
      <c r="L51" s="305"/>
      <c r="M51" s="305"/>
      <c r="N51" s="305"/>
      <c r="O51" s="305"/>
      <c r="P51" s="305"/>
      <c r="Q51" s="305"/>
      <c r="R51" s="305"/>
      <c r="S51" s="305"/>
      <c r="T51" s="305"/>
      <c r="U51" s="305"/>
      <c r="V51" s="305"/>
      <c r="W51" s="305"/>
      <c r="X51" s="305"/>
      <c r="Y51" s="305"/>
      <c r="Z51" s="305"/>
    </row>
    <row r="52" spans="1:26" ht="21.75" customHeight="1" x14ac:dyDescent="0.6">
      <c r="A52" s="34"/>
      <c r="B52" s="35"/>
      <c r="C52" s="35"/>
      <c r="D52" s="249"/>
      <c r="E52" s="37"/>
      <c r="F52" s="34"/>
      <c r="G52" s="305"/>
      <c r="H52" s="305"/>
      <c r="I52" s="305"/>
      <c r="J52" s="305"/>
      <c r="K52" s="305"/>
      <c r="L52" s="305"/>
      <c r="M52" s="305"/>
      <c r="N52" s="305"/>
      <c r="O52" s="305"/>
      <c r="P52" s="305"/>
      <c r="Q52" s="305"/>
      <c r="R52" s="305"/>
      <c r="S52" s="305"/>
      <c r="T52" s="305"/>
      <c r="U52" s="305"/>
      <c r="V52" s="305"/>
      <c r="W52" s="305"/>
      <c r="X52" s="305"/>
      <c r="Y52" s="305"/>
      <c r="Z52" s="305"/>
    </row>
    <row r="53" spans="1:26" ht="21.75" customHeight="1" x14ac:dyDescent="0.6">
      <c r="A53" s="34"/>
      <c r="B53" s="35"/>
      <c r="C53" s="35"/>
      <c r="D53" s="249"/>
      <c r="E53" s="37"/>
      <c r="F53" s="34"/>
      <c r="G53" s="305"/>
      <c r="H53" s="305"/>
      <c r="I53" s="305"/>
      <c r="J53" s="305"/>
      <c r="K53" s="305"/>
      <c r="L53" s="305"/>
      <c r="M53" s="305"/>
      <c r="N53" s="305"/>
      <c r="O53" s="305"/>
      <c r="P53" s="305"/>
      <c r="Q53" s="305"/>
      <c r="R53" s="305"/>
      <c r="S53" s="305"/>
      <c r="T53" s="305"/>
      <c r="U53" s="305"/>
      <c r="V53" s="305"/>
      <c r="W53" s="305"/>
      <c r="X53" s="305"/>
      <c r="Y53" s="305"/>
      <c r="Z53" s="305"/>
    </row>
    <row r="54" spans="1:26" ht="21.75" customHeight="1" x14ac:dyDescent="0.6">
      <c r="A54" s="34"/>
      <c r="B54" s="35"/>
      <c r="C54" s="35"/>
      <c r="D54" s="249"/>
      <c r="E54" s="37"/>
      <c r="F54" s="34"/>
      <c r="G54" s="305"/>
      <c r="H54" s="305"/>
      <c r="I54" s="305"/>
      <c r="J54" s="305"/>
      <c r="K54" s="305"/>
      <c r="L54" s="305"/>
      <c r="M54" s="305"/>
      <c r="N54" s="305"/>
      <c r="O54" s="305"/>
      <c r="P54" s="305"/>
      <c r="Q54" s="305"/>
      <c r="R54" s="305"/>
      <c r="S54" s="305"/>
      <c r="T54" s="305"/>
      <c r="U54" s="305"/>
      <c r="V54" s="305"/>
      <c r="W54" s="305"/>
      <c r="X54" s="305"/>
      <c r="Y54" s="305"/>
      <c r="Z54" s="305"/>
    </row>
    <row r="55" spans="1:26" ht="21.75" customHeight="1" x14ac:dyDescent="0.6">
      <c r="A55" s="34"/>
      <c r="B55" s="35"/>
      <c r="C55" s="35"/>
      <c r="D55" s="249"/>
      <c r="E55" s="37"/>
      <c r="F55" s="34"/>
      <c r="G55" s="305"/>
      <c r="H55" s="305"/>
      <c r="I55" s="305"/>
      <c r="J55" s="305"/>
      <c r="K55" s="305"/>
      <c r="L55" s="305"/>
      <c r="M55" s="305"/>
      <c r="N55" s="305"/>
      <c r="O55" s="305"/>
      <c r="P55" s="305"/>
      <c r="Q55" s="305"/>
      <c r="R55" s="305"/>
      <c r="S55" s="305"/>
      <c r="T55" s="305"/>
      <c r="U55" s="305"/>
      <c r="V55" s="305"/>
      <c r="W55" s="305"/>
      <c r="X55" s="305"/>
      <c r="Y55" s="305"/>
      <c r="Z55" s="305"/>
    </row>
    <row r="56" spans="1:26" ht="21.75" customHeight="1" x14ac:dyDescent="0.6">
      <c r="A56" s="34"/>
      <c r="B56" s="35"/>
      <c r="C56" s="35"/>
      <c r="D56" s="249"/>
      <c r="E56" s="37"/>
      <c r="F56" s="34"/>
      <c r="G56" s="305"/>
      <c r="H56" s="305"/>
      <c r="I56" s="305"/>
      <c r="J56" s="305"/>
      <c r="K56" s="305"/>
      <c r="L56" s="305"/>
      <c r="M56" s="305"/>
      <c r="N56" s="305"/>
      <c r="O56" s="305"/>
      <c r="P56" s="305"/>
      <c r="Q56" s="305"/>
      <c r="R56" s="305"/>
      <c r="S56" s="305"/>
      <c r="T56" s="305"/>
      <c r="U56" s="305"/>
      <c r="V56" s="305"/>
      <c r="W56" s="305"/>
      <c r="X56" s="305"/>
      <c r="Y56" s="305"/>
      <c r="Z56" s="305"/>
    </row>
    <row r="57" spans="1:26" ht="21.75" customHeight="1" x14ac:dyDescent="0.6">
      <c r="A57" s="34"/>
      <c r="B57" s="35"/>
      <c r="C57" s="35"/>
      <c r="D57" s="249"/>
      <c r="E57" s="37"/>
      <c r="F57" s="34"/>
      <c r="G57" s="305"/>
      <c r="H57" s="305"/>
      <c r="I57" s="305"/>
      <c r="J57" s="305"/>
      <c r="K57" s="305"/>
      <c r="L57" s="305"/>
      <c r="M57" s="305"/>
      <c r="N57" s="305"/>
      <c r="O57" s="305"/>
      <c r="P57" s="305"/>
      <c r="Q57" s="305"/>
      <c r="R57" s="305"/>
      <c r="S57" s="305"/>
      <c r="T57" s="305"/>
      <c r="U57" s="305"/>
      <c r="V57" s="305"/>
      <c r="W57" s="305"/>
      <c r="X57" s="305"/>
      <c r="Y57" s="305"/>
      <c r="Z57" s="305"/>
    </row>
    <row r="58" spans="1:26" ht="21.75" customHeight="1" x14ac:dyDescent="0.6">
      <c r="A58" s="34"/>
      <c r="B58" s="35"/>
      <c r="C58" s="35"/>
      <c r="D58" s="249"/>
      <c r="E58" s="37"/>
      <c r="F58" s="34"/>
      <c r="G58" s="305"/>
      <c r="H58" s="305"/>
      <c r="I58" s="305"/>
      <c r="J58" s="305"/>
      <c r="K58" s="305"/>
      <c r="L58" s="305"/>
      <c r="M58" s="305"/>
      <c r="N58" s="305"/>
      <c r="O58" s="305"/>
      <c r="P58" s="305"/>
      <c r="Q58" s="305"/>
      <c r="R58" s="305"/>
      <c r="S58" s="305"/>
      <c r="T58" s="305"/>
      <c r="U58" s="305"/>
      <c r="V58" s="305"/>
      <c r="W58" s="305"/>
      <c r="X58" s="305"/>
      <c r="Y58" s="305"/>
      <c r="Z58" s="305"/>
    </row>
    <row r="59" spans="1:26" ht="21.75" customHeight="1" x14ac:dyDescent="0.6">
      <c r="A59" s="34"/>
      <c r="B59" s="35"/>
      <c r="C59" s="35"/>
      <c r="D59" s="249"/>
      <c r="E59" s="37"/>
      <c r="F59" s="34"/>
      <c r="G59" s="305"/>
      <c r="H59" s="305"/>
      <c r="I59" s="305"/>
      <c r="J59" s="305"/>
      <c r="K59" s="305"/>
      <c r="L59" s="305"/>
      <c r="M59" s="305"/>
      <c r="N59" s="305"/>
      <c r="O59" s="305"/>
      <c r="P59" s="305"/>
      <c r="Q59" s="305"/>
      <c r="R59" s="305"/>
      <c r="S59" s="305"/>
      <c r="T59" s="305"/>
      <c r="U59" s="305"/>
      <c r="V59" s="305"/>
      <c r="W59" s="305"/>
      <c r="X59" s="305"/>
      <c r="Y59" s="305"/>
      <c r="Z59" s="305"/>
    </row>
    <row r="60" spans="1:26" ht="21.75" customHeight="1" x14ac:dyDescent="0.6">
      <c r="A60" s="34"/>
      <c r="B60" s="35"/>
      <c r="C60" s="35"/>
      <c r="D60" s="249"/>
      <c r="E60" s="37"/>
      <c r="F60" s="34"/>
      <c r="G60" s="305"/>
      <c r="H60" s="305"/>
      <c r="I60" s="305"/>
      <c r="J60" s="305"/>
      <c r="K60" s="305"/>
      <c r="L60" s="305"/>
      <c r="M60" s="305"/>
      <c r="N60" s="305"/>
      <c r="O60" s="305"/>
      <c r="P60" s="305"/>
      <c r="Q60" s="305"/>
      <c r="R60" s="305"/>
      <c r="S60" s="305"/>
      <c r="T60" s="305"/>
      <c r="U60" s="305"/>
      <c r="V60" s="305"/>
      <c r="W60" s="305"/>
      <c r="X60" s="305"/>
      <c r="Y60" s="305"/>
      <c r="Z60" s="305"/>
    </row>
    <row r="61" spans="1:26" ht="21.75" customHeight="1" x14ac:dyDescent="0.6">
      <c r="A61" s="34"/>
      <c r="B61" s="35"/>
      <c r="C61" s="35"/>
      <c r="D61" s="249"/>
      <c r="E61" s="37"/>
      <c r="F61" s="34"/>
      <c r="G61" s="305"/>
      <c r="H61" s="305"/>
      <c r="I61" s="305"/>
      <c r="J61" s="305"/>
      <c r="K61" s="305"/>
      <c r="L61" s="305"/>
      <c r="M61" s="305"/>
      <c r="N61" s="305"/>
      <c r="O61" s="305"/>
      <c r="P61" s="305"/>
      <c r="Q61" s="305"/>
      <c r="R61" s="305"/>
      <c r="S61" s="305"/>
      <c r="T61" s="305"/>
      <c r="U61" s="305"/>
      <c r="V61" s="305"/>
      <c r="W61" s="305"/>
      <c r="X61" s="305"/>
      <c r="Y61" s="305"/>
      <c r="Z61" s="305"/>
    </row>
    <row r="62" spans="1:26" ht="21.75" customHeight="1" x14ac:dyDescent="0.6">
      <c r="A62" s="34"/>
      <c r="B62" s="35"/>
      <c r="C62" s="35"/>
      <c r="D62" s="249"/>
      <c r="E62" s="37"/>
      <c r="F62" s="34"/>
      <c r="G62" s="305"/>
      <c r="H62" s="305"/>
      <c r="I62" s="305"/>
      <c r="J62" s="305"/>
      <c r="K62" s="305"/>
      <c r="L62" s="305"/>
      <c r="M62" s="305"/>
      <c r="N62" s="305"/>
      <c r="O62" s="305"/>
      <c r="P62" s="305"/>
      <c r="Q62" s="305"/>
      <c r="R62" s="305"/>
      <c r="S62" s="305"/>
      <c r="T62" s="305"/>
      <c r="U62" s="305"/>
      <c r="V62" s="305"/>
      <c r="W62" s="305"/>
      <c r="X62" s="305"/>
      <c r="Y62" s="305"/>
      <c r="Z62" s="305"/>
    </row>
    <row r="63" spans="1:26" ht="21.75" customHeight="1" x14ac:dyDescent="0.6">
      <c r="A63" s="34"/>
      <c r="B63" s="35"/>
      <c r="C63" s="35"/>
      <c r="D63" s="249"/>
      <c r="E63" s="37"/>
      <c r="F63" s="34"/>
      <c r="G63" s="305"/>
      <c r="H63" s="305"/>
      <c r="I63" s="305"/>
      <c r="J63" s="305"/>
      <c r="K63" s="305"/>
      <c r="L63" s="305"/>
      <c r="M63" s="305"/>
      <c r="N63" s="305"/>
      <c r="O63" s="305"/>
      <c r="P63" s="305"/>
      <c r="Q63" s="305"/>
      <c r="R63" s="305"/>
      <c r="S63" s="305"/>
      <c r="T63" s="305"/>
      <c r="U63" s="305"/>
      <c r="V63" s="305"/>
      <c r="W63" s="305"/>
      <c r="X63" s="305"/>
      <c r="Y63" s="305"/>
      <c r="Z63" s="305"/>
    </row>
    <row r="64" spans="1:26" ht="21.75" customHeight="1" x14ac:dyDescent="0.6">
      <c r="A64" s="34"/>
      <c r="B64" s="35"/>
      <c r="C64" s="35"/>
      <c r="D64" s="249"/>
      <c r="E64" s="37"/>
      <c r="F64" s="34"/>
      <c r="G64" s="305"/>
      <c r="H64" s="305"/>
      <c r="I64" s="305"/>
      <c r="J64" s="305"/>
      <c r="K64" s="305"/>
      <c r="L64" s="305"/>
      <c r="M64" s="305"/>
      <c r="N64" s="305"/>
      <c r="O64" s="305"/>
      <c r="P64" s="305"/>
      <c r="Q64" s="305"/>
      <c r="R64" s="305"/>
      <c r="S64" s="305"/>
      <c r="T64" s="305"/>
      <c r="U64" s="305"/>
      <c r="V64" s="305"/>
      <c r="W64" s="305"/>
      <c r="X64" s="305"/>
      <c r="Y64" s="305"/>
      <c r="Z64" s="305"/>
    </row>
    <row r="65" spans="1:26" ht="21.75" customHeight="1" x14ac:dyDescent="0.6">
      <c r="A65" s="34"/>
      <c r="B65" s="35"/>
      <c r="C65" s="35"/>
      <c r="D65" s="249"/>
      <c r="E65" s="37"/>
      <c r="F65" s="34"/>
      <c r="G65" s="305"/>
      <c r="H65" s="305"/>
      <c r="I65" s="305"/>
      <c r="J65" s="305"/>
      <c r="K65" s="305"/>
      <c r="L65" s="305"/>
      <c r="M65" s="305"/>
      <c r="N65" s="305"/>
      <c r="O65" s="305"/>
      <c r="P65" s="305"/>
      <c r="Q65" s="305"/>
      <c r="R65" s="305"/>
      <c r="S65" s="305"/>
      <c r="T65" s="305"/>
      <c r="U65" s="305"/>
      <c r="V65" s="305"/>
      <c r="W65" s="305"/>
      <c r="X65" s="305"/>
      <c r="Y65" s="305"/>
      <c r="Z65" s="305"/>
    </row>
    <row r="66" spans="1:26" ht="21.75" customHeight="1" x14ac:dyDescent="0.6">
      <c r="A66" s="34"/>
      <c r="B66" s="35"/>
      <c r="C66" s="35"/>
      <c r="D66" s="249"/>
      <c r="E66" s="37"/>
      <c r="F66" s="34"/>
      <c r="G66" s="305"/>
      <c r="H66" s="305"/>
      <c r="I66" s="305"/>
      <c r="J66" s="305"/>
      <c r="K66" s="305"/>
      <c r="L66" s="305"/>
      <c r="M66" s="305"/>
      <c r="N66" s="305"/>
      <c r="O66" s="305"/>
      <c r="P66" s="305"/>
      <c r="Q66" s="305"/>
      <c r="R66" s="305"/>
      <c r="S66" s="305"/>
      <c r="T66" s="305"/>
      <c r="U66" s="305"/>
      <c r="V66" s="305"/>
      <c r="W66" s="305"/>
      <c r="X66" s="305"/>
      <c r="Y66" s="305"/>
      <c r="Z66" s="305"/>
    </row>
    <row r="67" spans="1:26" ht="21.75" customHeight="1" x14ac:dyDescent="0.6">
      <c r="A67" s="34"/>
      <c r="B67" s="35"/>
      <c r="C67" s="35"/>
      <c r="D67" s="249"/>
      <c r="E67" s="37"/>
      <c r="F67" s="34"/>
      <c r="G67" s="305"/>
      <c r="H67" s="305"/>
      <c r="I67" s="305"/>
      <c r="J67" s="305"/>
      <c r="K67" s="305"/>
      <c r="L67" s="305"/>
      <c r="M67" s="305"/>
      <c r="N67" s="305"/>
      <c r="O67" s="305"/>
      <c r="P67" s="305"/>
      <c r="Q67" s="305"/>
      <c r="R67" s="305"/>
      <c r="S67" s="305"/>
      <c r="T67" s="305"/>
      <c r="U67" s="305"/>
      <c r="V67" s="305"/>
      <c r="W67" s="305"/>
      <c r="X67" s="305"/>
      <c r="Y67" s="305"/>
      <c r="Z67" s="305"/>
    </row>
    <row r="68" spans="1:26" ht="21.75" customHeight="1" x14ac:dyDescent="0.6">
      <c r="A68" s="34"/>
      <c r="B68" s="35"/>
      <c r="C68" s="35"/>
      <c r="D68" s="249"/>
      <c r="E68" s="37"/>
      <c r="F68" s="34"/>
      <c r="G68" s="305"/>
      <c r="H68" s="305"/>
      <c r="I68" s="305"/>
      <c r="J68" s="305"/>
      <c r="K68" s="305"/>
      <c r="L68" s="305"/>
      <c r="M68" s="305"/>
      <c r="N68" s="305"/>
      <c r="O68" s="305"/>
      <c r="P68" s="305"/>
      <c r="Q68" s="305"/>
      <c r="R68" s="305"/>
      <c r="S68" s="305"/>
      <c r="T68" s="305"/>
      <c r="U68" s="305"/>
      <c r="V68" s="305"/>
      <c r="W68" s="305"/>
      <c r="X68" s="305"/>
      <c r="Y68" s="305"/>
      <c r="Z68" s="305"/>
    </row>
    <row r="69" spans="1:26" ht="21.75" customHeight="1" x14ac:dyDescent="0.6">
      <c r="A69" s="34"/>
      <c r="B69" s="35"/>
      <c r="C69" s="35"/>
      <c r="D69" s="249"/>
      <c r="E69" s="37"/>
      <c r="F69" s="34"/>
      <c r="G69" s="305"/>
      <c r="H69" s="305"/>
      <c r="I69" s="305"/>
      <c r="J69" s="305"/>
      <c r="K69" s="305"/>
      <c r="L69" s="305"/>
      <c r="M69" s="305"/>
      <c r="N69" s="305"/>
      <c r="O69" s="305"/>
      <c r="P69" s="305"/>
      <c r="Q69" s="305"/>
      <c r="R69" s="305"/>
      <c r="S69" s="305"/>
      <c r="T69" s="305"/>
      <c r="U69" s="305"/>
      <c r="V69" s="305"/>
      <c r="W69" s="305"/>
      <c r="X69" s="305"/>
      <c r="Y69" s="305"/>
      <c r="Z69" s="305"/>
    </row>
    <row r="70" spans="1:26" ht="21.75" customHeight="1" x14ac:dyDescent="0.6">
      <c r="A70" s="34"/>
      <c r="B70" s="35"/>
      <c r="C70" s="35"/>
      <c r="D70" s="249"/>
      <c r="E70" s="37"/>
      <c r="F70" s="34"/>
      <c r="G70" s="305"/>
      <c r="H70" s="305"/>
      <c r="I70" s="305"/>
      <c r="J70" s="305"/>
      <c r="K70" s="305"/>
      <c r="L70" s="305"/>
      <c r="M70" s="305"/>
      <c r="N70" s="305"/>
      <c r="O70" s="305"/>
      <c r="P70" s="305"/>
      <c r="Q70" s="305"/>
      <c r="R70" s="305"/>
      <c r="S70" s="305"/>
      <c r="T70" s="305"/>
      <c r="U70" s="305"/>
      <c r="V70" s="305"/>
      <c r="W70" s="305"/>
      <c r="X70" s="305"/>
      <c r="Y70" s="305"/>
      <c r="Z70" s="305"/>
    </row>
    <row r="71" spans="1:26" ht="21.75" customHeight="1" x14ac:dyDescent="0.6">
      <c r="A71" s="34"/>
      <c r="B71" s="35"/>
      <c r="C71" s="35"/>
      <c r="D71" s="249"/>
      <c r="E71" s="37"/>
      <c r="F71" s="34"/>
      <c r="G71" s="305"/>
      <c r="H71" s="305"/>
      <c r="I71" s="305"/>
      <c r="J71" s="305"/>
      <c r="K71" s="305"/>
      <c r="L71" s="305"/>
      <c r="M71" s="305"/>
      <c r="N71" s="305"/>
      <c r="O71" s="305"/>
      <c r="P71" s="305"/>
      <c r="Q71" s="305"/>
      <c r="R71" s="305"/>
      <c r="S71" s="305"/>
      <c r="T71" s="305"/>
      <c r="U71" s="305"/>
      <c r="V71" s="305"/>
      <c r="W71" s="305"/>
      <c r="X71" s="305"/>
      <c r="Y71" s="305"/>
      <c r="Z71" s="305"/>
    </row>
    <row r="72" spans="1:26" ht="21.75" customHeight="1" x14ac:dyDescent="0.6">
      <c r="A72" s="34"/>
      <c r="B72" s="35"/>
      <c r="C72" s="35"/>
      <c r="D72" s="249"/>
      <c r="E72" s="37"/>
      <c r="F72" s="34"/>
      <c r="G72" s="305"/>
      <c r="H72" s="305"/>
      <c r="I72" s="305"/>
      <c r="J72" s="305"/>
      <c r="K72" s="305"/>
      <c r="L72" s="305"/>
      <c r="M72" s="305"/>
      <c r="N72" s="305"/>
      <c r="O72" s="305"/>
      <c r="P72" s="305"/>
      <c r="Q72" s="305"/>
      <c r="R72" s="305"/>
      <c r="S72" s="305"/>
      <c r="T72" s="305"/>
      <c r="U72" s="305"/>
      <c r="V72" s="305"/>
      <c r="W72" s="305"/>
      <c r="X72" s="305"/>
      <c r="Y72" s="305"/>
      <c r="Z72" s="305"/>
    </row>
    <row r="73" spans="1:26" ht="21.75" customHeight="1" x14ac:dyDescent="0.6">
      <c r="A73" s="34"/>
      <c r="B73" s="35"/>
      <c r="C73" s="35"/>
      <c r="D73" s="249"/>
      <c r="E73" s="37"/>
      <c r="F73" s="34"/>
      <c r="G73" s="305"/>
      <c r="H73" s="305"/>
      <c r="I73" s="305"/>
      <c r="J73" s="305"/>
      <c r="K73" s="305"/>
      <c r="L73" s="305"/>
      <c r="M73" s="305"/>
      <c r="N73" s="305"/>
      <c r="O73" s="305"/>
      <c r="P73" s="305"/>
      <c r="Q73" s="305"/>
      <c r="R73" s="305"/>
      <c r="S73" s="305"/>
      <c r="T73" s="305"/>
      <c r="U73" s="305"/>
      <c r="V73" s="305"/>
      <c r="W73" s="305"/>
      <c r="X73" s="305"/>
      <c r="Y73" s="305"/>
      <c r="Z73" s="305"/>
    </row>
    <row r="74" spans="1:26" ht="21.75" customHeight="1" x14ac:dyDescent="0.6">
      <c r="A74" s="34"/>
      <c r="B74" s="35"/>
      <c r="C74" s="35"/>
      <c r="D74" s="249"/>
      <c r="E74" s="37"/>
      <c r="F74" s="34"/>
      <c r="G74" s="305"/>
      <c r="H74" s="305"/>
      <c r="I74" s="305"/>
      <c r="J74" s="305"/>
      <c r="K74" s="305"/>
      <c r="L74" s="305"/>
      <c r="M74" s="305"/>
      <c r="N74" s="305"/>
      <c r="O74" s="305"/>
      <c r="P74" s="305"/>
      <c r="Q74" s="305"/>
      <c r="R74" s="305"/>
      <c r="S74" s="305"/>
      <c r="T74" s="305"/>
      <c r="U74" s="305"/>
      <c r="V74" s="305"/>
      <c r="W74" s="305"/>
      <c r="X74" s="305"/>
      <c r="Y74" s="305"/>
      <c r="Z74" s="305"/>
    </row>
    <row r="75" spans="1:26" ht="21.75" customHeight="1" x14ac:dyDescent="0.6">
      <c r="A75" s="34"/>
      <c r="B75" s="35"/>
      <c r="C75" s="35"/>
      <c r="D75" s="249"/>
      <c r="E75" s="37"/>
      <c r="F75" s="34"/>
      <c r="G75" s="305"/>
      <c r="H75" s="305"/>
      <c r="I75" s="305"/>
      <c r="J75" s="305"/>
      <c r="K75" s="305"/>
      <c r="L75" s="305"/>
      <c r="M75" s="305"/>
      <c r="N75" s="305"/>
      <c r="O75" s="305"/>
      <c r="P75" s="305"/>
      <c r="Q75" s="305"/>
      <c r="R75" s="305"/>
      <c r="S75" s="305"/>
      <c r="T75" s="305"/>
      <c r="U75" s="305"/>
      <c r="V75" s="305"/>
      <c r="W75" s="305"/>
      <c r="X75" s="305"/>
      <c r="Y75" s="305"/>
      <c r="Z75" s="305"/>
    </row>
    <row r="76" spans="1:26" ht="21.75" customHeight="1" x14ac:dyDescent="0.6">
      <c r="A76" s="34"/>
      <c r="B76" s="35"/>
      <c r="C76" s="35"/>
      <c r="D76" s="249"/>
      <c r="E76" s="37"/>
      <c r="F76" s="34"/>
      <c r="G76" s="305"/>
      <c r="H76" s="305"/>
      <c r="I76" s="305"/>
      <c r="J76" s="305"/>
      <c r="K76" s="305"/>
      <c r="L76" s="305"/>
      <c r="M76" s="305"/>
      <c r="N76" s="305"/>
      <c r="O76" s="305"/>
      <c r="P76" s="305"/>
      <c r="Q76" s="305"/>
      <c r="R76" s="305"/>
      <c r="S76" s="305"/>
      <c r="T76" s="305"/>
      <c r="U76" s="305"/>
      <c r="V76" s="305"/>
      <c r="W76" s="305"/>
      <c r="X76" s="305"/>
      <c r="Y76" s="305"/>
      <c r="Z76" s="305"/>
    </row>
    <row r="77" spans="1:26" ht="21.75" customHeight="1" x14ac:dyDescent="0.6">
      <c r="A77" s="34"/>
      <c r="B77" s="35"/>
      <c r="C77" s="35"/>
      <c r="D77" s="249"/>
      <c r="E77" s="37"/>
      <c r="F77" s="34"/>
      <c r="G77" s="305"/>
      <c r="H77" s="305"/>
      <c r="I77" s="305"/>
      <c r="J77" s="305"/>
      <c r="K77" s="305"/>
      <c r="L77" s="305"/>
      <c r="M77" s="305"/>
      <c r="N77" s="305"/>
      <c r="O77" s="305"/>
      <c r="P77" s="305"/>
      <c r="Q77" s="305"/>
      <c r="R77" s="305"/>
      <c r="S77" s="305"/>
      <c r="T77" s="305"/>
      <c r="U77" s="305"/>
      <c r="V77" s="305"/>
      <c r="W77" s="305"/>
      <c r="X77" s="305"/>
      <c r="Y77" s="305"/>
      <c r="Z77" s="305"/>
    </row>
    <row r="78" spans="1:26" ht="21.75" customHeight="1" x14ac:dyDescent="0.6">
      <c r="A78" s="34"/>
      <c r="B78" s="35"/>
      <c r="C78" s="35"/>
      <c r="D78" s="249"/>
      <c r="E78" s="37"/>
      <c r="F78" s="34"/>
      <c r="G78" s="305"/>
      <c r="H78" s="305"/>
      <c r="I78" s="305"/>
      <c r="J78" s="305"/>
      <c r="K78" s="305"/>
      <c r="L78" s="305"/>
      <c r="M78" s="305"/>
      <c r="N78" s="305"/>
      <c r="O78" s="305"/>
      <c r="P78" s="305"/>
      <c r="Q78" s="305"/>
      <c r="R78" s="305"/>
      <c r="S78" s="305"/>
      <c r="T78" s="305"/>
      <c r="U78" s="305"/>
      <c r="V78" s="305"/>
      <c r="W78" s="305"/>
      <c r="X78" s="305"/>
      <c r="Y78" s="305"/>
      <c r="Z78" s="305"/>
    </row>
    <row r="79" spans="1:26" ht="21.75" customHeight="1" x14ac:dyDescent="0.6">
      <c r="A79" s="34"/>
      <c r="B79" s="35"/>
      <c r="C79" s="35"/>
      <c r="D79" s="249"/>
      <c r="E79" s="37"/>
      <c r="F79" s="34"/>
      <c r="G79" s="305"/>
      <c r="H79" s="305"/>
      <c r="I79" s="305"/>
      <c r="J79" s="305"/>
      <c r="K79" s="305"/>
      <c r="L79" s="305"/>
      <c r="M79" s="305"/>
      <c r="N79" s="305"/>
      <c r="O79" s="305"/>
      <c r="P79" s="305"/>
      <c r="Q79" s="305"/>
      <c r="R79" s="305"/>
      <c r="S79" s="305"/>
      <c r="T79" s="305"/>
      <c r="U79" s="305"/>
      <c r="V79" s="305"/>
      <c r="W79" s="305"/>
      <c r="X79" s="305"/>
      <c r="Y79" s="305"/>
      <c r="Z79" s="305"/>
    </row>
    <row r="80" spans="1:26" ht="21.75" customHeight="1" x14ac:dyDescent="0.6">
      <c r="A80" s="34"/>
      <c r="B80" s="35"/>
      <c r="C80" s="35"/>
      <c r="D80" s="249"/>
      <c r="E80" s="37"/>
      <c r="F80" s="34"/>
      <c r="G80" s="305"/>
      <c r="H80" s="305"/>
      <c r="I80" s="305"/>
      <c r="J80" s="305"/>
      <c r="K80" s="305"/>
      <c r="L80" s="305"/>
      <c r="M80" s="305"/>
      <c r="N80" s="305"/>
      <c r="O80" s="305"/>
      <c r="P80" s="305"/>
      <c r="Q80" s="305"/>
      <c r="R80" s="305"/>
      <c r="S80" s="305"/>
      <c r="T80" s="305"/>
      <c r="U80" s="305"/>
      <c r="V80" s="305"/>
      <c r="W80" s="305"/>
      <c r="X80" s="305"/>
      <c r="Y80" s="305"/>
      <c r="Z80" s="305"/>
    </row>
    <row r="81" spans="1:26" ht="21.75" customHeight="1" x14ac:dyDescent="0.6">
      <c r="A81" s="34"/>
      <c r="B81" s="35"/>
      <c r="C81" s="35"/>
      <c r="D81" s="249"/>
      <c r="E81" s="37"/>
      <c r="F81" s="34"/>
      <c r="G81" s="305"/>
      <c r="H81" s="305"/>
      <c r="I81" s="305"/>
      <c r="J81" s="305"/>
      <c r="K81" s="305"/>
      <c r="L81" s="305"/>
      <c r="M81" s="305"/>
      <c r="N81" s="305"/>
      <c r="O81" s="305"/>
      <c r="P81" s="305"/>
      <c r="Q81" s="305"/>
      <c r="R81" s="305"/>
      <c r="S81" s="305"/>
      <c r="T81" s="305"/>
      <c r="U81" s="305"/>
      <c r="V81" s="305"/>
      <c r="W81" s="305"/>
      <c r="X81" s="305"/>
      <c r="Y81" s="305"/>
      <c r="Z81" s="305"/>
    </row>
    <row r="82" spans="1:26" ht="21.75" customHeight="1" x14ac:dyDescent="0.6">
      <c r="A82" s="34"/>
      <c r="B82" s="35"/>
      <c r="C82" s="35"/>
      <c r="D82" s="249"/>
      <c r="E82" s="37"/>
      <c r="F82" s="34"/>
      <c r="G82" s="305"/>
      <c r="H82" s="305"/>
      <c r="I82" s="305"/>
      <c r="J82" s="305"/>
      <c r="K82" s="305"/>
      <c r="L82" s="305"/>
      <c r="M82" s="305"/>
      <c r="N82" s="305"/>
      <c r="O82" s="305"/>
      <c r="P82" s="305"/>
      <c r="Q82" s="305"/>
      <c r="R82" s="305"/>
      <c r="S82" s="305"/>
      <c r="T82" s="305"/>
      <c r="U82" s="305"/>
      <c r="V82" s="305"/>
      <c r="W82" s="305"/>
      <c r="X82" s="305"/>
      <c r="Y82" s="305"/>
      <c r="Z82" s="305"/>
    </row>
    <row r="83" spans="1:26" ht="21.75" customHeight="1" x14ac:dyDescent="0.6">
      <c r="A83" s="34"/>
      <c r="B83" s="35"/>
      <c r="C83" s="35"/>
      <c r="D83" s="249"/>
      <c r="E83" s="37"/>
      <c r="F83" s="34"/>
      <c r="G83" s="305"/>
      <c r="H83" s="305"/>
      <c r="I83" s="305"/>
      <c r="J83" s="305"/>
      <c r="K83" s="305"/>
      <c r="L83" s="305"/>
      <c r="M83" s="305"/>
      <c r="N83" s="305"/>
      <c r="O83" s="305"/>
      <c r="P83" s="305"/>
      <c r="Q83" s="305"/>
      <c r="R83" s="305"/>
      <c r="S83" s="305"/>
      <c r="T83" s="305"/>
      <c r="U83" s="305"/>
      <c r="V83" s="305"/>
      <c r="W83" s="305"/>
      <c r="X83" s="305"/>
      <c r="Y83" s="305"/>
      <c r="Z83" s="305"/>
    </row>
    <row r="84" spans="1:26" ht="21.75" customHeight="1" x14ac:dyDescent="0.6">
      <c r="A84" s="34"/>
      <c r="B84" s="35"/>
      <c r="C84" s="35"/>
      <c r="D84" s="249"/>
      <c r="E84" s="37"/>
      <c r="F84" s="34"/>
      <c r="G84" s="305"/>
      <c r="H84" s="305"/>
      <c r="I84" s="305"/>
      <c r="J84" s="305"/>
      <c r="K84" s="305"/>
      <c r="L84" s="305"/>
      <c r="M84" s="305"/>
      <c r="N84" s="305"/>
      <c r="O84" s="305"/>
      <c r="P84" s="305"/>
      <c r="Q84" s="305"/>
      <c r="R84" s="305"/>
      <c r="S84" s="305"/>
      <c r="T84" s="305"/>
      <c r="U84" s="305"/>
      <c r="V84" s="305"/>
      <c r="W84" s="305"/>
      <c r="X84" s="305"/>
      <c r="Y84" s="305"/>
      <c r="Z84" s="305"/>
    </row>
    <row r="85" spans="1:26" ht="21.75" customHeight="1" x14ac:dyDescent="0.6">
      <c r="A85" s="34"/>
      <c r="B85" s="35"/>
      <c r="C85" s="35"/>
      <c r="D85" s="249"/>
      <c r="E85" s="37"/>
      <c r="F85" s="34"/>
      <c r="G85" s="305"/>
      <c r="H85" s="305"/>
      <c r="I85" s="305"/>
      <c r="J85" s="305"/>
      <c r="K85" s="305"/>
      <c r="L85" s="305"/>
      <c r="M85" s="305"/>
      <c r="N85" s="305"/>
      <c r="O85" s="305"/>
      <c r="P85" s="305"/>
      <c r="Q85" s="305"/>
      <c r="R85" s="305"/>
      <c r="S85" s="305"/>
      <c r="T85" s="305"/>
      <c r="U85" s="305"/>
      <c r="V85" s="305"/>
      <c r="W85" s="305"/>
      <c r="X85" s="305"/>
      <c r="Y85" s="305"/>
      <c r="Z85" s="305"/>
    </row>
    <row r="86" spans="1:26" ht="21.75" customHeight="1" x14ac:dyDescent="0.6">
      <c r="A86" s="34"/>
      <c r="B86" s="35"/>
      <c r="C86" s="35"/>
      <c r="D86" s="249"/>
      <c r="E86" s="37"/>
      <c r="F86" s="34"/>
      <c r="G86" s="305"/>
      <c r="H86" s="305"/>
      <c r="I86" s="305"/>
      <c r="J86" s="305"/>
      <c r="K86" s="305"/>
      <c r="L86" s="305"/>
      <c r="M86" s="305"/>
      <c r="N86" s="305"/>
      <c r="O86" s="305"/>
      <c r="P86" s="305"/>
      <c r="Q86" s="305"/>
      <c r="R86" s="305"/>
      <c r="S86" s="305"/>
      <c r="T86" s="305"/>
      <c r="U86" s="305"/>
      <c r="V86" s="305"/>
      <c r="W86" s="305"/>
      <c r="X86" s="305"/>
      <c r="Y86" s="305"/>
      <c r="Z86" s="305"/>
    </row>
    <row r="87" spans="1:26" ht="21.75" customHeight="1" x14ac:dyDescent="0.6">
      <c r="A87" s="34"/>
      <c r="B87" s="35"/>
      <c r="C87" s="35"/>
      <c r="D87" s="249"/>
      <c r="E87" s="37"/>
      <c r="F87" s="34"/>
      <c r="G87" s="305"/>
      <c r="H87" s="305"/>
      <c r="I87" s="305"/>
      <c r="J87" s="305"/>
      <c r="K87" s="305"/>
      <c r="L87" s="305"/>
      <c r="M87" s="305"/>
      <c r="N87" s="305"/>
      <c r="O87" s="305"/>
      <c r="P87" s="305"/>
      <c r="Q87" s="305"/>
      <c r="R87" s="305"/>
      <c r="S87" s="305"/>
      <c r="T87" s="305"/>
      <c r="U87" s="305"/>
      <c r="V87" s="305"/>
      <c r="W87" s="305"/>
      <c r="X87" s="305"/>
      <c r="Y87" s="305"/>
      <c r="Z87" s="305"/>
    </row>
    <row r="88" spans="1:26" ht="21.75" customHeight="1" x14ac:dyDescent="0.6">
      <c r="A88" s="34"/>
      <c r="B88" s="35"/>
      <c r="C88" s="35"/>
      <c r="D88" s="249"/>
      <c r="E88" s="37"/>
      <c r="F88" s="34"/>
      <c r="G88" s="305"/>
      <c r="H88" s="305"/>
      <c r="I88" s="305"/>
      <c r="J88" s="305"/>
      <c r="K88" s="305"/>
      <c r="L88" s="305"/>
      <c r="M88" s="305"/>
      <c r="N88" s="305"/>
      <c r="O88" s="305"/>
      <c r="P88" s="305"/>
      <c r="Q88" s="305"/>
      <c r="R88" s="305"/>
      <c r="S88" s="305"/>
      <c r="T88" s="305"/>
      <c r="U88" s="305"/>
      <c r="V88" s="305"/>
      <c r="W88" s="305"/>
      <c r="X88" s="305"/>
      <c r="Y88" s="305"/>
      <c r="Z88" s="305"/>
    </row>
    <row r="89" spans="1:26" ht="21.75" customHeight="1" x14ac:dyDescent="0.6">
      <c r="A89" s="34"/>
      <c r="B89" s="35"/>
      <c r="C89" s="35"/>
      <c r="D89" s="249"/>
      <c r="E89" s="37"/>
      <c r="F89" s="34"/>
      <c r="G89" s="305"/>
      <c r="H89" s="305"/>
      <c r="I89" s="305"/>
      <c r="J89" s="305"/>
      <c r="K89" s="305"/>
      <c r="L89" s="305"/>
      <c r="M89" s="305"/>
      <c r="N89" s="305"/>
      <c r="O89" s="305"/>
      <c r="P89" s="305"/>
      <c r="Q89" s="305"/>
      <c r="R89" s="305"/>
      <c r="S89" s="305"/>
      <c r="T89" s="305"/>
      <c r="U89" s="305"/>
      <c r="V89" s="305"/>
      <c r="W89" s="305"/>
      <c r="X89" s="305"/>
      <c r="Y89" s="305"/>
      <c r="Z89" s="305"/>
    </row>
    <row r="90" spans="1:26" ht="21.75" customHeight="1" x14ac:dyDescent="0.6">
      <c r="A90" s="34"/>
      <c r="B90" s="35"/>
      <c r="C90" s="35"/>
      <c r="D90" s="249"/>
      <c r="E90" s="37"/>
      <c r="F90" s="34"/>
      <c r="G90" s="305"/>
      <c r="H90" s="305"/>
      <c r="I90" s="305"/>
      <c r="J90" s="305"/>
      <c r="K90" s="305"/>
      <c r="L90" s="305"/>
      <c r="M90" s="305"/>
      <c r="N90" s="305"/>
      <c r="O90" s="305"/>
      <c r="P90" s="305"/>
      <c r="Q90" s="305"/>
      <c r="R90" s="305"/>
      <c r="S90" s="305"/>
      <c r="T90" s="305"/>
      <c r="U90" s="305"/>
      <c r="V90" s="305"/>
      <c r="W90" s="305"/>
      <c r="X90" s="305"/>
      <c r="Y90" s="305"/>
      <c r="Z90" s="305"/>
    </row>
    <row r="91" spans="1:26" ht="21.75" customHeight="1" x14ac:dyDescent="0.6">
      <c r="A91" s="34"/>
      <c r="B91" s="35"/>
      <c r="C91" s="35"/>
      <c r="D91" s="249"/>
      <c r="E91" s="37"/>
      <c r="F91" s="34"/>
      <c r="G91" s="305"/>
      <c r="H91" s="305"/>
      <c r="I91" s="305"/>
      <c r="J91" s="305"/>
      <c r="K91" s="305"/>
      <c r="L91" s="305"/>
      <c r="M91" s="305"/>
      <c r="N91" s="305"/>
      <c r="O91" s="305"/>
      <c r="P91" s="305"/>
      <c r="Q91" s="305"/>
      <c r="R91" s="305"/>
      <c r="S91" s="305"/>
      <c r="T91" s="305"/>
      <c r="U91" s="305"/>
      <c r="V91" s="305"/>
      <c r="W91" s="305"/>
      <c r="X91" s="305"/>
      <c r="Y91" s="305"/>
      <c r="Z91" s="305"/>
    </row>
    <row r="92" spans="1:26" ht="21.75" customHeight="1" x14ac:dyDescent="0.6">
      <c r="A92" s="34"/>
      <c r="B92" s="35"/>
      <c r="C92" s="35"/>
      <c r="D92" s="249"/>
      <c r="E92" s="37"/>
      <c r="F92" s="34"/>
      <c r="G92" s="305"/>
      <c r="H92" s="305"/>
      <c r="I92" s="305"/>
      <c r="J92" s="305"/>
      <c r="K92" s="305"/>
      <c r="L92" s="305"/>
      <c r="M92" s="305"/>
      <c r="N92" s="305"/>
      <c r="O92" s="305"/>
      <c r="P92" s="305"/>
      <c r="Q92" s="305"/>
      <c r="R92" s="305"/>
      <c r="S92" s="305"/>
      <c r="T92" s="305"/>
      <c r="U92" s="305"/>
      <c r="V92" s="305"/>
      <c r="W92" s="305"/>
      <c r="X92" s="305"/>
      <c r="Y92" s="305"/>
      <c r="Z92" s="305"/>
    </row>
    <row r="93" spans="1:26" ht="21.75" customHeight="1" x14ac:dyDescent="0.6">
      <c r="A93" s="34"/>
      <c r="B93" s="35"/>
      <c r="C93" s="35"/>
      <c r="D93" s="249"/>
      <c r="E93" s="37"/>
      <c r="F93" s="34"/>
      <c r="G93" s="305"/>
      <c r="H93" s="305"/>
      <c r="I93" s="305"/>
      <c r="J93" s="305"/>
      <c r="K93" s="305"/>
      <c r="L93" s="305"/>
      <c r="M93" s="305"/>
      <c r="N93" s="305"/>
      <c r="O93" s="305"/>
      <c r="P93" s="305"/>
      <c r="Q93" s="305"/>
      <c r="R93" s="305"/>
      <c r="S93" s="305"/>
      <c r="T93" s="305"/>
      <c r="U93" s="305"/>
      <c r="V93" s="305"/>
      <c r="W93" s="305"/>
      <c r="X93" s="305"/>
      <c r="Y93" s="305"/>
      <c r="Z93" s="305"/>
    </row>
    <row r="94" spans="1:26" ht="21.75" customHeight="1" x14ac:dyDescent="0.6">
      <c r="A94" s="34"/>
      <c r="B94" s="35"/>
      <c r="C94" s="35"/>
      <c r="D94" s="249"/>
      <c r="E94" s="37"/>
      <c r="F94" s="34"/>
      <c r="G94" s="305"/>
      <c r="H94" s="305"/>
      <c r="I94" s="305"/>
      <c r="J94" s="305"/>
      <c r="K94" s="305"/>
      <c r="L94" s="305"/>
      <c r="M94" s="305"/>
      <c r="N94" s="305"/>
      <c r="O94" s="305"/>
      <c r="P94" s="305"/>
      <c r="Q94" s="305"/>
      <c r="R94" s="305"/>
      <c r="S94" s="305"/>
      <c r="T94" s="305"/>
      <c r="U94" s="305"/>
      <c r="V94" s="305"/>
      <c r="W94" s="305"/>
      <c r="X94" s="305"/>
      <c r="Y94" s="305"/>
      <c r="Z94" s="305"/>
    </row>
    <row r="95" spans="1:26" ht="21.75" customHeight="1" x14ac:dyDescent="0.6">
      <c r="A95" s="34"/>
      <c r="B95" s="35"/>
      <c r="C95" s="35"/>
      <c r="D95" s="249"/>
      <c r="E95" s="37"/>
      <c r="F95" s="34"/>
      <c r="G95" s="305"/>
      <c r="H95" s="305"/>
      <c r="I95" s="305"/>
      <c r="J95" s="305"/>
      <c r="K95" s="305"/>
      <c r="L95" s="305"/>
      <c r="M95" s="305"/>
      <c r="N95" s="305"/>
      <c r="O95" s="305"/>
      <c r="P95" s="305"/>
      <c r="Q95" s="305"/>
      <c r="R95" s="305"/>
      <c r="S95" s="305"/>
      <c r="T95" s="305"/>
      <c r="U95" s="305"/>
      <c r="V95" s="305"/>
      <c r="W95" s="305"/>
      <c r="X95" s="305"/>
      <c r="Y95" s="305"/>
      <c r="Z95" s="305"/>
    </row>
    <row r="96" spans="1:26" ht="21.75" customHeight="1" x14ac:dyDescent="0.6">
      <c r="A96" s="34"/>
      <c r="B96" s="35"/>
      <c r="C96" s="35"/>
      <c r="D96" s="249"/>
      <c r="E96" s="37"/>
      <c r="F96" s="34"/>
      <c r="G96" s="305"/>
      <c r="H96" s="305"/>
      <c r="I96" s="305"/>
      <c r="J96" s="305"/>
      <c r="K96" s="305"/>
      <c r="L96" s="305"/>
      <c r="M96" s="305"/>
      <c r="N96" s="305"/>
      <c r="O96" s="305"/>
      <c r="P96" s="305"/>
      <c r="Q96" s="305"/>
      <c r="R96" s="305"/>
      <c r="S96" s="305"/>
      <c r="T96" s="305"/>
      <c r="U96" s="305"/>
      <c r="V96" s="305"/>
      <c r="W96" s="305"/>
      <c r="X96" s="305"/>
      <c r="Y96" s="305"/>
      <c r="Z96" s="305"/>
    </row>
    <row r="97" spans="1:26" ht="21.75" customHeight="1" x14ac:dyDescent="0.6">
      <c r="A97" s="34"/>
      <c r="B97" s="35"/>
      <c r="C97" s="35"/>
      <c r="D97" s="249"/>
      <c r="E97" s="37"/>
      <c r="F97" s="34"/>
      <c r="G97" s="305"/>
      <c r="H97" s="305"/>
      <c r="I97" s="305"/>
      <c r="J97" s="305"/>
      <c r="K97" s="305"/>
      <c r="L97" s="305"/>
      <c r="M97" s="305"/>
      <c r="N97" s="305"/>
      <c r="O97" s="305"/>
      <c r="P97" s="305"/>
      <c r="Q97" s="305"/>
      <c r="R97" s="305"/>
      <c r="S97" s="305"/>
      <c r="T97" s="305"/>
      <c r="U97" s="305"/>
      <c r="V97" s="305"/>
      <c r="W97" s="305"/>
      <c r="X97" s="305"/>
      <c r="Y97" s="305"/>
      <c r="Z97" s="305"/>
    </row>
    <row r="98" spans="1:26" ht="21.75" customHeight="1" x14ac:dyDescent="0.6">
      <c r="A98" s="34"/>
      <c r="B98" s="35"/>
      <c r="C98" s="35"/>
      <c r="D98" s="249"/>
      <c r="E98" s="37"/>
      <c r="F98" s="34"/>
      <c r="G98" s="305"/>
      <c r="H98" s="305"/>
      <c r="I98" s="305"/>
      <c r="J98" s="305"/>
      <c r="K98" s="305"/>
      <c r="L98" s="305"/>
      <c r="M98" s="305"/>
      <c r="N98" s="305"/>
      <c r="O98" s="305"/>
      <c r="P98" s="305"/>
      <c r="Q98" s="305"/>
      <c r="R98" s="305"/>
      <c r="S98" s="305"/>
      <c r="T98" s="305"/>
      <c r="U98" s="305"/>
      <c r="V98" s="305"/>
      <c r="W98" s="305"/>
      <c r="X98" s="305"/>
      <c r="Y98" s="305"/>
      <c r="Z98" s="305"/>
    </row>
    <row r="99" spans="1:26" ht="21.75" customHeight="1" x14ac:dyDescent="0.6">
      <c r="A99" s="34"/>
      <c r="B99" s="35"/>
      <c r="C99" s="35"/>
      <c r="D99" s="249"/>
      <c r="E99" s="37"/>
      <c r="F99" s="34"/>
      <c r="G99" s="305"/>
      <c r="H99" s="305"/>
      <c r="I99" s="305"/>
      <c r="J99" s="305"/>
      <c r="K99" s="305"/>
      <c r="L99" s="305"/>
      <c r="M99" s="305"/>
      <c r="N99" s="305"/>
      <c r="O99" s="305"/>
      <c r="P99" s="305"/>
      <c r="Q99" s="305"/>
      <c r="R99" s="305"/>
      <c r="S99" s="305"/>
      <c r="T99" s="305"/>
      <c r="U99" s="305"/>
      <c r="V99" s="305"/>
      <c r="W99" s="305"/>
      <c r="X99" s="305"/>
      <c r="Y99" s="305"/>
      <c r="Z99" s="305"/>
    </row>
    <row r="100" spans="1:26" ht="21.75" customHeight="1" x14ac:dyDescent="0.6">
      <c r="A100" s="34"/>
      <c r="B100" s="35"/>
      <c r="C100" s="35"/>
      <c r="D100" s="249"/>
      <c r="E100" s="37"/>
      <c r="F100" s="34"/>
      <c r="G100" s="305"/>
      <c r="H100" s="305"/>
      <c r="I100" s="305"/>
      <c r="J100" s="305"/>
      <c r="K100" s="305"/>
      <c r="L100" s="305"/>
      <c r="M100" s="305"/>
      <c r="N100" s="305"/>
      <c r="O100" s="305"/>
      <c r="P100" s="305"/>
      <c r="Q100" s="305"/>
      <c r="R100" s="305"/>
      <c r="S100" s="305"/>
      <c r="T100" s="305"/>
      <c r="U100" s="305"/>
      <c r="V100" s="305"/>
      <c r="W100" s="305"/>
      <c r="X100" s="305"/>
      <c r="Y100" s="305"/>
      <c r="Z100" s="305"/>
    </row>
    <row r="101" spans="1:26" ht="21.75" customHeight="1" x14ac:dyDescent="0.6">
      <c r="A101" s="34"/>
      <c r="B101" s="35"/>
      <c r="C101" s="35"/>
      <c r="D101" s="249"/>
      <c r="E101" s="37"/>
      <c r="F101" s="34"/>
      <c r="G101" s="305"/>
      <c r="H101" s="305"/>
      <c r="I101" s="305"/>
      <c r="J101" s="305"/>
      <c r="K101" s="305"/>
      <c r="L101" s="305"/>
      <c r="M101" s="305"/>
      <c r="N101" s="305"/>
      <c r="O101" s="305"/>
      <c r="P101" s="305"/>
      <c r="Q101" s="305"/>
      <c r="R101" s="305"/>
      <c r="S101" s="305"/>
      <c r="T101" s="305"/>
      <c r="U101" s="305"/>
      <c r="V101" s="305"/>
      <c r="W101" s="305"/>
      <c r="X101" s="305"/>
      <c r="Y101" s="305"/>
      <c r="Z101" s="305"/>
    </row>
    <row r="102" spans="1:26" ht="21.75" customHeight="1" x14ac:dyDescent="0.6">
      <c r="A102" s="34"/>
      <c r="B102" s="35"/>
      <c r="C102" s="35"/>
      <c r="D102" s="249"/>
      <c r="E102" s="37"/>
      <c r="F102" s="34"/>
      <c r="G102" s="305"/>
      <c r="H102" s="305"/>
      <c r="I102" s="305"/>
      <c r="J102" s="305"/>
      <c r="K102" s="305"/>
      <c r="L102" s="305"/>
      <c r="M102" s="305"/>
      <c r="N102" s="305"/>
      <c r="O102" s="305"/>
      <c r="P102" s="305"/>
      <c r="Q102" s="305"/>
      <c r="R102" s="305"/>
      <c r="S102" s="305"/>
      <c r="T102" s="305"/>
      <c r="U102" s="305"/>
      <c r="V102" s="305"/>
      <c r="W102" s="305"/>
      <c r="X102" s="305"/>
      <c r="Y102" s="305"/>
      <c r="Z102" s="305"/>
    </row>
    <row r="103" spans="1:26" ht="21.75" customHeight="1" x14ac:dyDescent="0.6">
      <c r="A103" s="34"/>
      <c r="B103" s="35"/>
      <c r="C103" s="35"/>
      <c r="D103" s="249"/>
      <c r="E103" s="37"/>
      <c r="F103" s="34"/>
      <c r="G103" s="305"/>
      <c r="H103" s="305"/>
      <c r="I103" s="305"/>
      <c r="J103" s="305"/>
      <c r="K103" s="305"/>
      <c r="L103" s="305"/>
      <c r="M103" s="305"/>
      <c r="N103" s="305"/>
      <c r="O103" s="305"/>
      <c r="P103" s="305"/>
      <c r="Q103" s="305"/>
      <c r="R103" s="305"/>
      <c r="S103" s="305"/>
      <c r="T103" s="305"/>
      <c r="U103" s="305"/>
      <c r="V103" s="305"/>
      <c r="W103" s="305"/>
      <c r="X103" s="305"/>
      <c r="Y103" s="305"/>
      <c r="Z103" s="305"/>
    </row>
    <row r="104" spans="1:26" ht="21.75" customHeight="1" x14ac:dyDescent="0.6">
      <c r="A104" s="34"/>
      <c r="B104" s="35"/>
      <c r="C104" s="35"/>
      <c r="D104" s="249"/>
      <c r="E104" s="37"/>
      <c r="F104" s="34"/>
      <c r="G104" s="305"/>
      <c r="H104" s="305"/>
      <c r="I104" s="305"/>
      <c r="J104" s="305"/>
      <c r="K104" s="305"/>
      <c r="L104" s="305"/>
      <c r="M104" s="305"/>
      <c r="N104" s="305"/>
      <c r="O104" s="305"/>
      <c r="P104" s="305"/>
      <c r="Q104" s="305"/>
      <c r="R104" s="305"/>
      <c r="S104" s="305"/>
      <c r="T104" s="305"/>
      <c r="U104" s="305"/>
      <c r="V104" s="305"/>
      <c r="W104" s="305"/>
      <c r="X104" s="305"/>
      <c r="Y104" s="305"/>
      <c r="Z104" s="305"/>
    </row>
    <row r="105" spans="1:26" ht="21.75" customHeight="1" x14ac:dyDescent="0.6">
      <c r="A105" s="34"/>
      <c r="B105" s="35"/>
      <c r="C105" s="35"/>
      <c r="D105" s="249"/>
      <c r="E105" s="37"/>
      <c r="F105" s="34"/>
      <c r="G105" s="305"/>
      <c r="H105" s="305"/>
      <c r="I105" s="305"/>
      <c r="J105" s="305"/>
      <c r="K105" s="305"/>
      <c r="L105" s="305"/>
      <c r="M105" s="305"/>
      <c r="N105" s="305"/>
      <c r="O105" s="305"/>
      <c r="P105" s="305"/>
      <c r="Q105" s="305"/>
      <c r="R105" s="305"/>
      <c r="S105" s="305"/>
      <c r="T105" s="305"/>
      <c r="U105" s="305"/>
      <c r="V105" s="305"/>
      <c r="W105" s="305"/>
      <c r="X105" s="305"/>
      <c r="Y105" s="305"/>
      <c r="Z105" s="305"/>
    </row>
    <row r="106" spans="1:26" ht="21.75" customHeight="1" x14ac:dyDescent="0.6">
      <c r="A106" s="34"/>
      <c r="B106" s="35"/>
      <c r="C106" s="35"/>
      <c r="D106" s="249"/>
      <c r="E106" s="37"/>
      <c r="F106" s="34"/>
      <c r="G106" s="305"/>
      <c r="H106" s="305"/>
      <c r="I106" s="305"/>
      <c r="J106" s="305"/>
      <c r="K106" s="305"/>
      <c r="L106" s="305"/>
      <c r="M106" s="305"/>
      <c r="N106" s="305"/>
      <c r="O106" s="305"/>
      <c r="P106" s="305"/>
      <c r="Q106" s="305"/>
      <c r="R106" s="305"/>
      <c r="S106" s="305"/>
      <c r="T106" s="305"/>
      <c r="U106" s="305"/>
      <c r="V106" s="305"/>
      <c r="W106" s="305"/>
      <c r="X106" s="305"/>
      <c r="Y106" s="305"/>
      <c r="Z106" s="305"/>
    </row>
    <row r="107" spans="1:26" ht="21.75" customHeight="1" x14ac:dyDescent="0.6">
      <c r="A107" s="34"/>
      <c r="B107" s="35"/>
      <c r="C107" s="35"/>
      <c r="D107" s="249"/>
      <c r="E107" s="37"/>
      <c r="F107" s="34"/>
      <c r="G107" s="305"/>
      <c r="H107" s="305"/>
      <c r="I107" s="305"/>
      <c r="J107" s="305"/>
      <c r="K107" s="305"/>
      <c r="L107" s="305"/>
      <c r="M107" s="305"/>
      <c r="N107" s="305"/>
      <c r="O107" s="305"/>
      <c r="P107" s="305"/>
      <c r="Q107" s="305"/>
      <c r="R107" s="305"/>
      <c r="S107" s="305"/>
      <c r="T107" s="305"/>
      <c r="U107" s="305"/>
      <c r="V107" s="305"/>
      <c r="W107" s="305"/>
      <c r="X107" s="305"/>
      <c r="Y107" s="305"/>
      <c r="Z107" s="305"/>
    </row>
    <row r="108" spans="1:26" ht="21.75" customHeight="1" x14ac:dyDescent="0.6">
      <c r="A108" s="34"/>
      <c r="B108" s="35"/>
      <c r="C108" s="35"/>
      <c r="D108" s="249"/>
      <c r="E108" s="37"/>
      <c r="F108" s="34"/>
      <c r="G108" s="305"/>
      <c r="H108" s="305"/>
      <c r="I108" s="305"/>
      <c r="J108" s="305"/>
      <c r="K108" s="305"/>
      <c r="L108" s="305"/>
      <c r="M108" s="305"/>
      <c r="N108" s="305"/>
      <c r="O108" s="305"/>
      <c r="P108" s="305"/>
      <c r="Q108" s="305"/>
      <c r="R108" s="305"/>
      <c r="S108" s="305"/>
      <c r="T108" s="305"/>
      <c r="U108" s="305"/>
      <c r="V108" s="305"/>
      <c r="W108" s="305"/>
      <c r="X108" s="305"/>
      <c r="Y108" s="305"/>
      <c r="Z108" s="305"/>
    </row>
    <row r="109" spans="1:26" ht="21.75" customHeight="1" x14ac:dyDescent="0.6">
      <c r="A109" s="34"/>
      <c r="B109" s="35"/>
      <c r="C109" s="35"/>
      <c r="D109" s="249"/>
      <c r="E109" s="37"/>
      <c r="F109" s="34"/>
      <c r="G109" s="305"/>
      <c r="H109" s="305"/>
      <c r="I109" s="305"/>
      <c r="J109" s="305"/>
      <c r="K109" s="305"/>
      <c r="L109" s="305"/>
      <c r="M109" s="305"/>
      <c r="N109" s="305"/>
      <c r="O109" s="305"/>
      <c r="P109" s="305"/>
      <c r="Q109" s="305"/>
      <c r="R109" s="305"/>
      <c r="S109" s="305"/>
      <c r="T109" s="305"/>
      <c r="U109" s="305"/>
      <c r="V109" s="305"/>
      <c r="W109" s="305"/>
      <c r="X109" s="305"/>
      <c r="Y109" s="305"/>
      <c r="Z109" s="305"/>
    </row>
    <row r="110" spans="1:26" ht="21.75" customHeight="1" x14ac:dyDescent="0.6">
      <c r="A110" s="34"/>
      <c r="B110" s="35"/>
      <c r="C110" s="35"/>
      <c r="D110" s="249"/>
      <c r="E110" s="37"/>
      <c r="F110" s="34"/>
      <c r="G110" s="305"/>
      <c r="H110" s="305"/>
      <c r="I110" s="305"/>
      <c r="J110" s="305"/>
      <c r="K110" s="305"/>
      <c r="L110" s="305"/>
      <c r="M110" s="305"/>
      <c r="N110" s="305"/>
      <c r="O110" s="305"/>
      <c r="P110" s="305"/>
      <c r="Q110" s="305"/>
      <c r="R110" s="305"/>
      <c r="S110" s="305"/>
      <c r="T110" s="305"/>
      <c r="U110" s="305"/>
      <c r="V110" s="305"/>
      <c r="W110" s="305"/>
      <c r="X110" s="305"/>
      <c r="Y110" s="305"/>
      <c r="Z110" s="305"/>
    </row>
    <row r="111" spans="1:26" ht="21.75" customHeight="1" x14ac:dyDescent="0.6">
      <c r="A111" s="34"/>
      <c r="B111" s="35"/>
      <c r="C111" s="35"/>
      <c r="D111" s="249"/>
      <c r="E111" s="37"/>
      <c r="F111" s="34"/>
      <c r="G111" s="305"/>
      <c r="H111" s="305"/>
      <c r="I111" s="305"/>
      <c r="J111" s="305"/>
      <c r="K111" s="305"/>
      <c r="L111" s="305"/>
      <c r="M111" s="305"/>
      <c r="N111" s="305"/>
      <c r="O111" s="305"/>
      <c r="P111" s="305"/>
      <c r="Q111" s="305"/>
      <c r="R111" s="305"/>
      <c r="S111" s="305"/>
      <c r="T111" s="305"/>
      <c r="U111" s="305"/>
      <c r="V111" s="305"/>
      <c r="W111" s="305"/>
      <c r="X111" s="305"/>
      <c r="Y111" s="305"/>
      <c r="Z111" s="305"/>
    </row>
    <row r="112" spans="1:26" ht="21.75" customHeight="1" x14ac:dyDescent="0.6">
      <c r="A112" s="34"/>
      <c r="B112" s="35"/>
      <c r="C112" s="35"/>
      <c r="D112" s="249"/>
      <c r="E112" s="37"/>
      <c r="F112" s="34"/>
      <c r="G112" s="305"/>
      <c r="H112" s="305"/>
      <c r="I112" s="305"/>
      <c r="J112" s="305"/>
      <c r="K112" s="305"/>
      <c r="L112" s="305"/>
      <c r="M112" s="305"/>
      <c r="N112" s="305"/>
      <c r="O112" s="305"/>
      <c r="P112" s="305"/>
      <c r="Q112" s="305"/>
      <c r="R112" s="305"/>
      <c r="S112" s="305"/>
      <c r="T112" s="305"/>
      <c r="U112" s="305"/>
      <c r="V112" s="305"/>
      <c r="W112" s="305"/>
      <c r="X112" s="305"/>
      <c r="Y112" s="305"/>
      <c r="Z112" s="305"/>
    </row>
    <row r="113" spans="1:26" ht="21.75" customHeight="1" x14ac:dyDescent="0.6">
      <c r="A113" s="34"/>
      <c r="B113" s="35"/>
      <c r="C113" s="35"/>
      <c r="D113" s="249"/>
      <c r="E113" s="37"/>
      <c r="F113" s="34"/>
      <c r="G113" s="305"/>
      <c r="H113" s="305"/>
      <c r="I113" s="305"/>
      <c r="J113" s="305"/>
      <c r="K113" s="305"/>
      <c r="L113" s="305"/>
      <c r="M113" s="305"/>
      <c r="N113" s="305"/>
      <c r="O113" s="305"/>
      <c r="P113" s="305"/>
      <c r="Q113" s="305"/>
      <c r="R113" s="305"/>
      <c r="S113" s="305"/>
      <c r="T113" s="305"/>
      <c r="U113" s="305"/>
      <c r="V113" s="305"/>
      <c r="W113" s="305"/>
      <c r="X113" s="305"/>
      <c r="Y113" s="305"/>
      <c r="Z113" s="305"/>
    </row>
    <row r="114" spans="1:26" ht="21.75" customHeight="1" x14ac:dyDescent="0.6">
      <c r="A114" s="34"/>
      <c r="B114" s="35"/>
      <c r="C114" s="35"/>
      <c r="D114" s="249"/>
      <c r="E114" s="37"/>
      <c r="F114" s="34"/>
      <c r="G114" s="305"/>
      <c r="H114" s="305"/>
      <c r="I114" s="305"/>
      <c r="J114" s="305"/>
      <c r="K114" s="305"/>
      <c r="L114" s="305"/>
      <c r="M114" s="305"/>
      <c r="N114" s="305"/>
      <c r="O114" s="305"/>
      <c r="P114" s="305"/>
      <c r="Q114" s="305"/>
      <c r="R114" s="305"/>
      <c r="S114" s="305"/>
      <c r="T114" s="305"/>
      <c r="U114" s="305"/>
      <c r="V114" s="305"/>
      <c r="W114" s="305"/>
      <c r="X114" s="305"/>
      <c r="Y114" s="305"/>
      <c r="Z114" s="305"/>
    </row>
    <row r="115" spans="1:26" ht="21.75" customHeight="1" x14ac:dyDescent="0.6">
      <c r="A115" s="34"/>
      <c r="B115" s="35"/>
      <c r="C115" s="35"/>
      <c r="D115" s="249"/>
      <c r="E115" s="37"/>
      <c r="F115" s="34"/>
      <c r="G115" s="305"/>
      <c r="H115" s="305"/>
      <c r="I115" s="305"/>
      <c r="J115" s="305"/>
      <c r="K115" s="305"/>
      <c r="L115" s="305"/>
      <c r="M115" s="305"/>
      <c r="N115" s="305"/>
      <c r="O115" s="305"/>
      <c r="P115" s="305"/>
      <c r="Q115" s="305"/>
      <c r="R115" s="305"/>
      <c r="S115" s="305"/>
      <c r="T115" s="305"/>
      <c r="U115" s="305"/>
      <c r="V115" s="305"/>
      <c r="W115" s="305"/>
      <c r="X115" s="305"/>
      <c r="Y115" s="305"/>
      <c r="Z115" s="305"/>
    </row>
    <row r="116" spans="1:26" ht="21.75" customHeight="1" x14ac:dyDescent="0.6">
      <c r="A116" s="34"/>
      <c r="B116" s="35"/>
      <c r="C116" s="35"/>
      <c r="D116" s="249"/>
      <c r="E116" s="37"/>
      <c r="F116" s="34"/>
      <c r="G116" s="305"/>
      <c r="H116" s="305"/>
      <c r="I116" s="305"/>
      <c r="J116" s="305"/>
      <c r="K116" s="305"/>
      <c r="L116" s="305"/>
      <c r="M116" s="305"/>
      <c r="N116" s="305"/>
      <c r="O116" s="305"/>
      <c r="P116" s="305"/>
      <c r="Q116" s="305"/>
      <c r="R116" s="305"/>
      <c r="S116" s="305"/>
      <c r="T116" s="305"/>
      <c r="U116" s="305"/>
      <c r="V116" s="305"/>
      <c r="W116" s="305"/>
      <c r="X116" s="305"/>
      <c r="Y116" s="305"/>
      <c r="Z116" s="305"/>
    </row>
    <row r="117" spans="1:26" ht="21.75" customHeight="1" x14ac:dyDescent="0.6">
      <c r="A117" s="34"/>
      <c r="B117" s="35"/>
      <c r="C117" s="35"/>
      <c r="D117" s="249"/>
      <c r="E117" s="37"/>
      <c r="F117" s="34"/>
      <c r="G117" s="305"/>
      <c r="H117" s="305"/>
      <c r="I117" s="305"/>
      <c r="J117" s="305"/>
      <c r="K117" s="305"/>
      <c r="L117" s="305"/>
      <c r="M117" s="305"/>
      <c r="N117" s="305"/>
      <c r="O117" s="305"/>
      <c r="P117" s="305"/>
      <c r="Q117" s="305"/>
      <c r="R117" s="305"/>
      <c r="S117" s="305"/>
      <c r="T117" s="305"/>
      <c r="U117" s="305"/>
      <c r="V117" s="305"/>
      <c r="W117" s="305"/>
      <c r="X117" s="305"/>
      <c r="Y117" s="305"/>
      <c r="Z117" s="305"/>
    </row>
    <row r="118" spans="1:26" ht="21.75" customHeight="1" x14ac:dyDescent="0.6">
      <c r="A118" s="34"/>
      <c r="B118" s="35"/>
      <c r="C118" s="35"/>
      <c r="D118" s="249"/>
      <c r="E118" s="37"/>
      <c r="F118" s="34"/>
      <c r="G118" s="305"/>
      <c r="H118" s="305"/>
      <c r="I118" s="305"/>
      <c r="J118" s="305"/>
      <c r="K118" s="305"/>
      <c r="L118" s="305"/>
      <c r="M118" s="305"/>
      <c r="N118" s="305"/>
      <c r="O118" s="305"/>
      <c r="P118" s="305"/>
      <c r="Q118" s="305"/>
      <c r="R118" s="305"/>
      <c r="S118" s="305"/>
      <c r="T118" s="305"/>
      <c r="U118" s="305"/>
      <c r="V118" s="305"/>
      <c r="W118" s="305"/>
      <c r="X118" s="305"/>
      <c r="Y118" s="305"/>
      <c r="Z118" s="305"/>
    </row>
    <row r="119" spans="1:26" ht="21.75" customHeight="1" x14ac:dyDescent="0.6">
      <c r="A119" s="34"/>
      <c r="B119" s="35"/>
      <c r="C119" s="35"/>
      <c r="D119" s="249"/>
      <c r="E119" s="37"/>
      <c r="F119" s="34"/>
      <c r="G119" s="305"/>
      <c r="H119" s="305"/>
      <c r="I119" s="305"/>
      <c r="J119" s="305"/>
      <c r="K119" s="305"/>
      <c r="L119" s="305"/>
      <c r="M119" s="305"/>
      <c r="N119" s="305"/>
      <c r="O119" s="305"/>
      <c r="P119" s="305"/>
      <c r="Q119" s="305"/>
      <c r="R119" s="305"/>
      <c r="S119" s="305"/>
      <c r="T119" s="305"/>
      <c r="U119" s="305"/>
      <c r="V119" s="305"/>
      <c r="W119" s="305"/>
      <c r="X119" s="305"/>
      <c r="Y119" s="305"/>
      <c r="Z119" s="305"/>
    </row>
    <row r="120" spans="1:26" ht="21.75" customHeight="1" x14ac:dyDescent="0.6">
      <c r="A120" s="34"/>
      <c r="B120" s="35"/>
      <c r="C120" s="35"/>
      <c r="D120" s="249"/>
      <c r="E120" s="37"/>
      <c r="F120" s="34"/>
      <c r="G120" s="305"/>
      <c r="H120" s="305"/>
      <c r="I120" s="305"/>
      <c r="J120" s="305"/>
      <c r="K120" s="305"/>
      <c r="L120" s="305"/>
      <c r="M120" s="305"/>
      <c r="N120" s="305"/>
      <c r="O120" s="305"/>
      <c r="P120" s="305"/>
      <c r="Q120" s="305"/>
      <c r="R120" s="305"/>
      <c r="S120" s="305"/>
      <c r="T120" s="305"/>
      <c r="U120" s="305"/>
      <c r="V120" s="305"/>
      <c r="W120" s="305"/>
      <c r="X120" s="305"/>
      <c r="Y120" s="305"/>
      <c r="Z120" s="305"/>
    </row>
    <row r="121" spans="1:26" ht="21.75" customHeight="1" x14ac:dyDescent="0.6">
      <c r="A121" s="34"/>
      <c r="B121" s="35"/>
      <c r="C121" s="35"/>
      <c r="D121" s="249"/>
      <c r="E121" s="37"/>
      <c r="F121" s="34"/>
      <c r="G121" s="305"/>
      <c r="H121" s="305"/>
      <c r="I121" s="305"/>
      <c r="J121" s="305"/>
      <c r="K121" s="305"/>
      <c r="L121" s="305"/>
      <c r="M121" s="305"/>
      <c r="N121" s="305"/>
      <c r="O121" s="305"/>
      <c r="P121" s="305"/>
      <c r="Q121" s="305"/>
      <c r="R121" s="305"/>
      <c r="S121" s="305"/>
      <c r="T121" s="305"/>
      <c r="U121" s="305"/>
      <c r="V121" s="305"/>
      <c r="W121" s="305"/>
      <c r="X121" s="305"/>
      <c r="Y121" s="305"/>
      <c r="Z121" s="305"/>
    </row>
    <row r="122" spans="1:26" ht="21.75" customHeight="1" x14ac:dyDescent="0.6">
      <c r="A122" s="34"/>
      <c r="B122" s="35"/>
      <c r="C122" s="35"/>
      <c r="D122" s="249"/>
      <c r="E122" s="37"/>
      <c r="F122" s="34"/>
      <c r="G122" s="305"/>
      <c r="H122" s="305"/>
      <c r="I122" s="305"/>
      <c r="J122" s="305"/>
      <c r="K122" s="305"/>
      <c r="L122" s="305"/>
      <c r="M122" s="305"/>
      <c r="N122" s="305"/>
      <c r="O122" s="305"/>
      <c r="P122" s="305"/>
      <c r="Q122" s="305"/>
      <c r="R122" s="305"/>
      <c r="S122" s="305"/>
      <c r="T122" s="305"/>
      <c r="U122" s="305"/>
      <c r="V122" s="305"/>
      <c r="W122" s="305"/>
      <c r="X122" s="305"/>
      <c r="Y122" s="305"/>
      <c r="Z122" s="305"/>
    </row>
    <row r="123" spans="1:26" ht="21.75" customHeight="1" x14ac:dyDescent="0.6">
      <c r="A123" s="34"/>
      <c r="B123" s="35"/>
      <c r="C123" s="35"/>
      <c r="D123" s="249"/>
      <c r="E123" s="37"/>
      <c r="F123" s="34"/>
      <c r="G123" s="305"/>
      <c r="H123" s="305"/>
      <c r="I123" s="305"/>
      <c r="J123" s="305"/>
      <c r="K123" s="305"/>
      <c r="L123" s="305"/>
      <c r="M123" s="305"/>
      <c r="N123" s="305"/>
      <c r="O123" s="305"/>
      <c r="P123" s="305"/>
      <c r="Q123" s="305"/>
      <c r="R123" s="305"/>
      <c r="S123" s="305"/>
      <c r="T123" s="305"/>
      <c r="U123" s="305"/>
      <c r="V123" s="305"/>
      <c r="W123" s="305"/>
      <c r="X123" s="305"/>
      <c r="Y123" s="305"/>
      <c r="Z123" s="305"/>
    </row>
    <row r="124" spans="1:26" ht="21.75" customHeight="1" x14ac:dyDescent="0.6">
      <c r="A124" s="34"/>
      <c r="B124" s="35"/>
      <c r="C124" s="35"/>
      <c r="D124" s="249"/>
      <c r="E124" s="37"/>
      <c r="F124" s="34"/>
      <c r="G124" s="305"/>
      <c r="H124" s="305"/>
      <c r="I124" s="305"/>
      <c r="J124" s="305"/>
      <c r="K124" s="305"/>
      <c r="L124" s="305"/>
      <c r="M124" s="305"/>
      <c r="N124" s="305"/>
      <c r="O124" s="305"/>
      <c r="P124" s="305"/>
      <c r="Q124" s="305"/>
      <c r="R124" s="305"/>
      <c r="S124" s="305"/>
      <c r="T124" s="305"/>
      <c r="U124" s="305"/>
      <c r="V124" s="305"/>
      <c r="W124" s="305"/>
      <c r="X124" s="305"/>
      <c r="Y124" s="305"/>
      <c r="Z124" s="305"/>
    </row>
    <row r="125" spans="1:26" ht="21.75" customHeight="1" x14ac:dyDescent="0.6">
      <c r="A125" s="34"/>
      <c r="B125" s="35"/>
      <c r="C125" s="35"/>
      <c r="D125" s="249"/>
      <c r="E125" s="37"/>
      <c r="F125" s="34"/>
      <c r="G125" s="305"/>
      <c r="H125" s="305"/>
      <c r="I125" s="305"/>
      <c r="J125" s="305"/>
      <c r="K125" s="305"/>
      <c r="L125" s="305"/>
      <c r="M125" s="305"/>
      <c r="N125" s="305"/>
      <c r="O125" s="305"/>
      <c r="P125" s="305"/>
      <c r="Q125" s="305"/>
      <c r="R125" s="305"/>
      <c r="S125" s="305"/>
      <c r="T125" s="305"/>
      <c r="U125" s="305"/>
      <c r="V125" s="305"/>
      <c r="W125" s="305"/>
      <c r="X125" s="305"/>
      <c r="Y125" s="305"/>
      <c r="Z125" s="305"/>
    </row>
    <row r="126" spans="1:26" ht="21.75" customHeight="1" x14ac:dyDescent="0.6">
      <c r="A126" s="34"/>
      <c r="B126" s="35"/>
      <c r="C126" s="35"/>
      <c r="D126" s="249"/>
      <c r="E126" s="37"/>
      <c r="F126" s="34"/>
      <c r="G126" s="305"/>
      <c r="H126" s="305"/>
      <c r="I126" s="305"/>
      <c r="J126" s="305"/>
      <c r="K126" s="305"/>
      <c r="L126" s="305"/>
      <c r="M126" s="305"/>
      <c r="N126" s="305"/>
      <c r="O126" s="305"/>
      <c r="P126" s="305"/>
      <c r="Q126" s="305"/>
      <c r="R126" s="305"/>
      <c r="S126" s="305"/>
      <c r="T126" s="305"/>
      <c r="U126" s="305"/>
      <c r="V126" s="305"/>
      <c r="W126" s="305"/>
      <c r="X126" s="305"/>
      <c r="Y126" s="305"/>
      <c r="Z126" s="305"/>
    </row>
    <row r="127" spans="1:26" ht="21.75" customHeight="1" x14ac:dyDescent="0.6">
      <c r="A127" s="34"/>
      <c r="B127" s="35"/>
      <c r="C127" s="35"/>
      <c r="D127" s="249"/>
      <c r="E127" s="37"/>
      <c r="F127" s="34"/>
      <c r="G127" s="305"/>
      <c r="H127" s="305"/>
      <c r="I127" s="305"/>
      <c r="J127" s="305"/>
      <c r="K127" s="305"/>
      <c r="L127" s="305"/>
      <c r="M127" s="305"/>
      <c r="N127" s="305"/>
      <c r="O127" s="305"/>
      <c r="P127" s="305"/>
      <c r="Q127" s="305"/>
      <c r="R127" s="305"/>
      <c r="S127" s="305"/>
      <c r="T127" s="305"/>
      <c r="U127" s="305"/>
      <c r="V127" s="305"/>
      <c r="W127" s="305"/>
      <c r="X127" s="305"/>
      <c r="Y127" s="305"/>
      <c r="Z127" s="305"/>
    </row>
    <row r="128" spans="1:26" ht="21.75" customHeight="1" x14ac:dyDescent="0.6">
      <c r="A128" s="34"/>
      <c r="B128" s="35"/>
      <c r="C128" s="35"/>
      <c r="D128" s="249"/>
      <c r="E128" s="37"/>
      <c r="F128" s="34"/>
      <c r="G128" s="305"/>
      <c r="H128" s="305"/>
      <c r="I128" s="305"/>
      <c r="J128" s="305"/>
      <c r="K128" s="305"/>
      <c r="L128" s="305"/>
      <c r="M128" s="305"/>
      <c r="N128" s="305"/>
      <c r="O128" s="305"/>
      <c r="P128" s="305"/>
      <c r="Q128" s="305"/>
      <c r="R128" s="305"/>
      <c r="S128" s="305"/>
      <c r="T128" s="305"/>
      <c r="U128" s="305"/>
      <c r="V128" s="305"/>
      <c r="W128" s="305"/>
      <c r="X128" s="305"/>
      <c r="Y128" s="305"/>
      <c r="Z128" s="305"/>
    </row>
    <row r="129" spans="1:26" ht="21.75" customHeight="1" x14ac:dyDescent="0.6">
      <c r="A129" s="34"/>
      <c r="B129" s="35"/>
      <c r="C129" s="35"/>
      <c r="D129" s="249"/>
      <c r="E129" s="37"/>
      <c r="F129" s="34"/>
      <c r="G129" s="305"/>
      <c r="H129" s="305"/>
      <c r="I129" s="305"/>
      <c r="J129" s="305"/>
      <c r="K129" s="305"/>
      <c r="L129" s="305"/>
      <c r="M129" s="305"/>
      <c r="N129" s="305"/>
      <c r="O129" s="305"/>
      <c r="P129" s="305"/>
      <c r="Q129" s="305"/>
      <c r="R129" s="305"/>
      <c r="S129" s="305"/>
      <c r="T129" s="305"/>
      <c r="U129" s="305"/>
      <c r="V129" s="305"/>
      <c r="W129" s="305"/>
      <c r="X129" s="305"/>
      <c r="Y129" s="305"/>
      <c r="Z129" s="305"/>
    </row>
    <row r="130" spans="1:26" ht="21.75" customHeight="1" x14ac:dyDescent="0.6">
      <c r="A130" s="34"/>
      <c r="B130" s="35"/>
      <c r="C130" s="35"/>
      <c r="D130" s="249"/>
      <c r="E130" s="37"/>
      <c r="F130" s="34"/>
      <c r="G130" s="305"/>
      <c r="H130" s="305"/>
      <c r="I130" s="305"/>
      <c r="J130" s="305"/>
      <c r="K130" s="305"/>
      <c r="L130" s="305"/>
      <c r="M130" s="305"/>
      <c r="N130" s="305"/>
      <c r="O130" s="305"/>
      <c r="P130" s="305"/>
      <c r="Q130" s="305"/>
      <c r="R130" s="305"/>
      <c r="S130" s="305"/>
      <c r="T130" s="305"/>
      <c r="U130" s="305"/>
      <c r="V130" s="305"/>
      <c r="W130" s="305"/>
      <c r="X130" s="305"/>
      <c r="Y130" s="305"/>
      <c r="Z130" s="305"/>
    </row>
    <row r="131" spans="1:26" ht="21.75" customHeight="1" x14ac:dyDescent="0.6">
      <c r="A131" s="34"/>
      <c r="B131" s="35"/>
      <c r="C131" s="35"/>
      <c r="D131" s="249"/>
      <c r="E131" s="37"/>
      <c r="F131" s="34"/>
      <c r="G131" s="305"/>
      <c r="H131" s="305"/>
      <c r="I131" s="305"/>
      <c r="J131" s="305"/>
      <c r="K131" s="305"/>
      <c r="L131" s="305"/>
      <c r="M131" s="305"/>
      <c r="N131" s="305"/>
      <c r="O131" s="305"/>
      <c r="P131" s="305"/>
      <c r="Q131" s="305"/>
      <c r="R131" s="305"/>
      <c r="S131" s="305"/>
      <c r="T131" s="305"/>
      <c r="U131" s="305"/>
      <c r="V131" s="305"/>
      <c r="W131" s="305"/>
      <c r="X131" s="305"/>
      <c r="Y131" s="305"/>
      <c r="Z131" s="305"/>
    </row>
    <row r="132" spans="1:26" ht="21.75" customHeight="1" x14ac:dyDescent="0.6">
      <c r="A132" s="34"/>
      <c r="B132" s="35"/>
      <c r="C132" s="35"/>
      <c r="D132" s="249"/>
      <c r="E132" s="37"/>
      <c r="F132" s="34"/>
      <c r="G132" s="305"/>
      <c r="H132" s="305"/>
      <c r="I132" s="305"/>
      <c r="J132" s="305"/>
      <c r="K132" s="305"/>
      <c r="L132" s="305"/>
      <c r="M132" s="305"/>
      <c r="N132" s="305"/>
      <c r="O132" s="305"/>
      <c r="P132" s="305"/>
      <c r="Q132" s="305"/>
      <c r="R132" s="305"/>
      <c r="S132" s="305"/>
      <c r="T132" s="305"/>
      <c r="U132" s="305"/>
      <c r="V132" s="305"/>
      <c r="W132" s="305"/>
      <c r="X132" s="305"/>
      <c r="Y132" s="305"/>
      <c r="Z132" s="305"/>
    </row>
    <row r="133" spans="1:26" ht="21.75" customHeight="1" x14ac:dyDescent="0.6">
      <c r="A133" s="34"/>
      <c r="B133" s="35"/>
      <c r="C133" s="35"/>
      <c r="D133" s="249"/>
      <c r="E133" s="37"/>
      <c r="F133" s="34"/>
      <c r="G133" s="305"/>
      <c r="H133" s="305"/>
      <c r="I133" s="305"/>
      <c r="J133" s="305"/>
      <c r="K133" s="305"/>
      <c r="L133" s="305"/>
      <c r="M133" s="305"/>
      <c r="N133" s="305"/>
      <c r="O133" s="305"/>
      <c r="P133" s="305"/>
      <c r="Q133" s="305"/>
      <c r="R133" s="305"/>
      <c r="S133" s="305"/>
      <c r="T133" s="305"/>
      <c r="U133" s="305"/>
      <c r="V133" s="305"/>
      <c r="W133" s="305"/>
      <c r="X133" s="305"/>
      <c r="Y133" s="305"/>
      <c r="Z133" s="305"/>
    </row>
    <row r="134" spans="1:26" ht="21.75" customHeight="1" x14ac:dyDescent="0.6">
      <c r="A134" s="34"/>
      <c r="B134" s="35"/>
      <c r="C134" s="35"/>
      <c r="D134" s="249"/>
      <c r="E134" s="37"/>
      <c r="F134" s="34"/>
      <c r="G134" s="305"/>
      <c r="H134" s="305"/>
      <c r="I134" s="305"/>
      <c r="J134" s="305"/>
      <c r="K134" s="305"/>
      <c r="L134" s="305"/>
      <c r="M134" s="305"/>
      <c r="N134" s="305"/>
      <c r="O134" s="305"/>
      <c r="P134" s="305"/>
      <c r="Q134" s="305"/>
      <c r="R134" s="305"/>
      <c r="S134" s="305"/>
      <c r="T134" s="305"/>
      <c r="U134" s="305"/>
      <c r="V134" s="305"/>
      <c r="W134" s="305"/>
      <c r="X134" s="305"/>
      <c r="Y134" s="305"/>
      <c r="Z134" s="305"/>
    </row>
    <row r="135" spans="1:26" ht="21.75" customHeight="1" x14ac:dyDescent="0.6">
      <c r="A135" s="34"/>
      <c r="B135" s="35"/>
      <c r="C135" s="35"/>
      <c r="D135" s="249"/>
      <c r="E135" s="37"/>
      <c r="F135" s="34"/>
      <c r="G135" s="305"/>
      <c r="H135" s="305"/>
      <c r="I135" s="305"/>
      <c r="J135" s="305"/>
      <c r="K135" s="305"/>
      <c r="L135" s="305"/>
      <c r="M135" s="305"/>
      <c r="N135" s="305"/>
      <c r="O135" s="305"/>
      <c r="P135" s="305"/>
      <c r="Q135" s="305"/>
      <c r="R135" s="305"/>
      <c r="S135" s="305"/>
      <c r="T135" s="305"/>
      <c r="U135" s="305"/>
      <c r="V135" s="305"/>
      <c r="W135" s="305"/>
      <c r="X135" s="305"/>
      <c r="Y135" s="305"/>
      <c r="Z135" s="305"/>
    </row>
    <row r="136" spans="1:26" ht="21.75" customHeight="1" x14ac:dyDescent="0.6">
      <c r="A136" s="34"/>
      <c r="B136" s="35"/>
      <c r="C136" s="35"/>
      <c r="D136" s="249"/>
      <c r="E136" s="37"/>
      <c r="F136" s="34"/>
      <c r="G136" s="305"/>
      <c r="H136" s="305"/>
      <c r="I136" s="305"/>
      <c r="J136" s="305"/>
      <c r="K136" s="305"/>
      <c r="L136" s="305"/>
      <c r="M136" s="305"/>
      <c r="N136" s="305"/>
      <c r="O136" s="305"/>
      <c r="P136" s="305"/>
      <c r="Q136" s="305"/>
      <c r="R136" s="305"/>
      <c r="S136" s="305"/>
      <c r="T136" s="305"/>
      <c r="U136" s="305"/>
      <c r="V136" s="305"/>
      <c r="W136" s="305"/>
      <c r="X136" s="305"/>
      <c r="Y136" s="305"/>
      <c r="Z136" s="305"/>
    </row>
    <row r="137" spans="1:26" ht="21.75" customHeight="1" x14ac:dyDescent="0.6">
      <c r="A137" s="34"/>
      <c r="B137" s="35"/>
      <c r="C137" s="35"/>
      <c r="D137" s="249"/>
      <c r="E137" s="37"/>
      <c r="F137" s="34"/>
      <c r="G137" s="305"/>
      <c r="H137" s="305"/>
      <c r="I137" s="305"/>
      <c r="J137" s="305"/>
      <c r="K137" s="305"/>
      <c r="L137" s="305"/>
      <c r="M137" s="305"/>
      <c r="N137" s="305"/>
      <c r="O137" s="305"/>
      <c r="P137" s="305"/>
      <c r="Q137" s="305"/>
      <c r="R137" s="305"/>
      <c r="S137" s="305"/>
      <c r="T137" s="305"/>
      <c r="U137" s="305"/>
      <c r="V137" s="305"/>
      <c r="W137" s="305"/>
      <c r="X137" s="305"/>
      <c r="Y137" s="305"/>
      <c r="Z137" s="305"/>
    </row>
    <row r="138" spans="1:26" ht="21.75" customHeight="1" x14ac:dyDescent="0.6">
      <c r="A138" s="34"/>
      <c r="B138" s="35"/>
      <c r="C138" s="35"/>
      <c r="D138" s="249"/>
      <c r="E138" s="37"/>
      <c r="F138" s="34"/>
      <c r="G138" s="305"/>
      <c r="H138" s="305"/>
      <c r="I138" s="305"/>
      <c r="J138" s="305"/>
      <c r="K138" s="305"/>
      <c r="L138" s="305"/>
      <c r="M138" s="305"/>
      <c r="N138" s="305"/>
      <c r="O138" s="305"/>
      <c r="P138" s="305"/>
      <c r="Q138" s="305"/>
      <c r="R138" s="305"/>
      <c r="S138" s="305"/>
      <c r="T138" s="305"/>
      <c r="U138" s="305"/>
      <c r="V138" s="305"/>
      <c r="W138" s="305"/>
      <c r="X138" s="305"/>
      <c r="Y138" s="305"/>
      <c r="Z138" s="305"/>
    </row>
    <row r="139" spans="1:26" ht="21.75" customHeight="1" x14ac:dyDescent="0.6">
      <c r="A139" s="34"/>
      <c r="B139" s="35"/>
      <c r="C139" s="35"/>
      <c r="D139" s="249"/>
      <c r="E139" s="37"/>
      <c r="F139" s="34"/>
      <c r="G139" s="305"/>
      <c r="H139" s="305"/>
      <c r="I139" s="305"/>
      <c r="J139" s="305"/>
      <c r="K139" s="305"/>
      <c r="L139" s="305"/>
      <c r="M139" s="305"/>
      <c r="N139" s="305"/>
      <c r="O139" s="305"/>
      <c r="P139" s="305"/>
      <c r="Q139" s="305"/>
      <c r="R139" s="305"/>
      <c r="S139" s="305"/>
      <c r="T139" s="305"/>
      <c r="U139" s="305"/>
      <c r="V139" s="305"/>
      <c r="W139" s="305"/>
      <c r="X139" s="305"/>
      <c r="Y139" s="305"/>
      <c r="Z139" s="305"/>
    </row>
    <row r="140" spans="1:26" ht="21.75" customHeight="1" x14ac:dyDescent="0.6">
      <c r="A140" s="34"/>
      <c r="B140" s="35"/>
      <c r="C140" s="35"/>
      <c r="D140" s="249"/>
      <c r="E140" s="37"/>
      <c r="F140" s="34"/>
      <c r="G140" s="305"/>
      <c r="H140" s="305"/>
      <c r="I140" s="305"/>
      <c r="J140" s="305"/>
      <c r="K140" s="305"/>
      <c r="L140" s="305"/>
      <c r="M140" s="305"/>
      <c r="N140" s="305"/>
      <c r="O140" s="305"/>
      <c r="P140" s="305"/>
      <c r="Q140" s="305"/>
      <c r="R140" s="305"/>
      <c r="S140" s="305"/>
      <c r="T140" s="305"/>
      <c r="U140" s="305"/>
      <c r="V140" s="305"/>
      <c r="W140" s="305"/>
      <c r="X140" s="305"/>
      <c r="Y140" s="305"/>
      <c r="Z140" s="305"/>
    </row>
    <row r="141" spans="1:26" ht="21.75" customHeight="1" x14ac:dyDescent="0.6">
      <c r="A141" s="34"/>
      <c r="B141" s="35"/>
      <c r="C141" s="35"/>
      <c r="D141" s="249"/>
      <c r="E141" s="37"/>
      <c r="F141" s="34"/>
      <c r="G141" s="305"/>
      <c r="H141" s="305"/>
      <c r="I141" s="305"/>
      <c r="J141" s="305"/>
      <c r="K141" s="305"/>
      <c r="L141" s="305"/>
      <c r="M141" s="305"/>
      <c r="N141" s="305"/>
      <c r="O141" s="305"/>
      <c r="P141" s="305"/>
      <c r="Q141" s="305"/>
      <c r="R141" s="305"/>
      <c r="S141" s="305"/>
      <c r="T141" s="305"/>
      <c r="U141" s="305"/>
      <c r="V141" s="305"/>
      <c r="W141" s="305"/>
      <c r="X141" s="305"/>
      <c r="Y141" s="305"/>
      <c r="Z141" s="305"/>
    </row>
    <row r="142" spans="1:26" ht="21.75" customHeight="1" x14ac:dyDescent="0.6">
      <c r="A142" s="34"/>
      <c r="B142" s="35"/>
      <c r="C142" s="35"/>
      <c r="D142" s="249"/>
      <c r="E142" s="37"/>
      <c r="F142" s="34"/>
      <c r="G142" s="305"/>
      <c r="H142" s="305"/>
      <c r="I142" s="305"/>
      <c r="J142" s="305"/>
      <c r="K142" s="305"/>
      <c r="L142" s="305"/>
      <c r="M142" s="305"/>
      <c r="N142" s="305"/>
      <c r="O142" s="305"/>
      <c r="P142" s="305"/>
      <c r="Q142" s="305"/>
      <c r="R142" s="305"/>
      <c r="S142" s="305"/>
      <c r="T142" s="305"/>
      <c r="U142" s="305"/>
      <c r="V142" s="305"/>
      <c r="W142" s="305"/>
      <c r="X142" s="305"/>
      <c r="Y142" s="305"/>
      <c r="Z142" s="305"/>
    </row>
    <row r="143" spans="1:26" ht="21.75" customHeight="1" x14ac:dyDescent="0.6">
      <c r="A143" s="34"/>
      <c r="B143" s="35"/>
      <c r="C143" s="35"/>
      <c r="D143" s="249"/>
      <c r="E143" s="37"/>
      <c r="F143" s="34"/>
      <c r="G143" s="305"/>
      <c r="H143" s="305"/>
      <c r="I143" s="305"/>
      <c r="J143" s="305"/>
      <c r="K143" s="305"/>
      <c r="L143" s="305"/>
      <c r="M143" s="305"/>
      <c r="N143" s="305"/>
      <c r="O143" s="305"/>
      <c r="P143" s="305"/>
      <c r="Q143" s="305"/>
      <c r="R143" s="305"/>
      <c r="S143" s="305"/>
      <c r="T143" s="305"/>
      <c r="U143" s="305"/>
      <c r="V143" s="305"/>
      <c r="W143" s="305"/>
      <c r="X143" s="305"/>
      <c r="Y143" s="305"/>
      <c r="Z143" s="305"/>
    </row>
    <row r="144" spans="1:26" ht="21.75" customHeight="1" x14ac:dyDescent="0.6">
      <c r="A144" s="34"/>
      <c r="B144" s="35"/>
      <c r="C144" s="35"/>
      <c r="D144" s="249"/>
      <c r="E144" s="37"/>
      <c r="F144" s="34"/>
      <c r="G144" s="305"/>
      <c r="H144" s="305"/>
      <c r="I144" s="305"/>
      <c r="J144" s="305"/>
      <c r="K144" s="305"/>
      <c r="L144" s="305"/>
      <c r="M144" s="305"/>
      <c r="N144" s="305"/>
      <c r="O144" s="305"/>
      <c r="P144" s="305"/>
      <c r="Q144" s="305"/>
      <c r="R144" s="305"/>
      <c r="S144" s="305"/>
      <c r="T144" s="305"/>
      <c r="U144" s="305"/>
      <c r="V144" s="305"/>
      <c r="W144" s="305"/>
      <c r="X144" s="305"/>
      <c r="Y144" s="305"/>
      <c r="Z144" s="305"/>
    </row>
    <row r="145" spans="1:26" ht="21.75" customHeight="1" x14ac:dyDescent="0.6">
      <c r="A145" s="34"/>
      <c r="B145" s="35"/>
      <c r="C145" s="35"/>
      <c r="D145" s="249"/>
      <c r="E145" s="37"/>
      <c r="F145" s="34"/>
      <c r="G145" s="305"/>
      <c r="H145" s="305"/>
      <c r="I145" s="305"/>
      <c r="J145" s="305"/>
      <c r="K145" s="305"/>
      <c r="L145" s="305"/>
      <c r="M145" s="305"/>
      <c r="N145" s="305"/>
      <c r="O145" s="305"/>
      <c r="P145" s="305"/>
      <c r="Q145" s="305"/>
      <c r="R145" s="305"/>
      <c r="S145" s="305"/>
      <c r="T145" s="305"/>
      <c r="U145" s="305"/>
      <c r="V145" s="305"/>
      <c r="W145" s="305"/>
      <c r="X145" s="305"/>
      <c r="Y145" s="305"/>
      <c r="Z145" s="305"/>
    </row>
    <row r="146" spans="1:26" ht="21.75" customHeight="1" x14ac:dyDescent="0.6">
      <c r="A146" s="34"/>
      <c r="B146" s="35"/>
      <c r="C146" s="35"/>
      <c r="D146" s="249"/>
      <c r="E146" s="37"/>
      <c r="F146" s="34"/>
      <c r="G146" s="305"/>
      <c r="H146" s="305"/>
      <c r="I146" s="305"/>
      <c r="J146" s="305"/>
      <c r="K146" s="305"/>
      <c r="L146" s="305"/>
      <c r="M146" s="305"/>
      <c r="N146" s="305"/>
      <c r="O146" s="305"/>
      <c r="P146" s="305"/>
      <c r="Q146" s="305"/>
      <c r="R146" s="305"/>
      <c r="S146" s="305"/>
      <c r="T146" s="305"/>
      <c r="U146" s="305"/>
      <c r="V146" s="305"/>
      <c r="W146" s="305"/>
      <c r="X146" s="305"/>
      <c r="Y146" s="305"/>
      <c r="Z146" s="305"/>
    </row>
    <row r="147" spans="1:26" ht="21.75" customHeight="1" x14ac:dyDescent="0.6">
      <c r="A147" s="34"/>
      <c r="B147" s="35"/>
      <c r="C147" s="35"/>
      <c r="D147" s="249"/>
      <c r="E147" s="37"/>
      <c r="F147" s="34"/>
      <c r="G147" s="305"/>
      <c r="H147" s="305"/>
      <c r="I147" s="305"/>
      <c r="J147" s="305"/>
      <c r="K147" s="305"/>
      <c r="L147" s="305"/>
      <c r="M147" s="305"/>
      <c r="N147" s="305"/>
      <c r="O147" s="305"/>
      <c r="P147" s="305"/>
      <c r="Q147" s="305"/>
      <c r="R147" s="305"/>
      <c r="S147" s="305"/>
      <c r="T147" s="305"/>
      <c r="U147" s="305"/>
      <c r="V147" s="305"/>
      <c r="W147" s="305"/>
      <c r="X147" s="305"/>
      <c r="Y147" s="305"/>
      <c r="Z147" s="305"/>
    </row>
    <row r="148" spans="1:26" ht="21.75" customHeight="1" x14ac:dyDescent="0.6">
      <c r="A148" s="34"/>
      <c r="B148" s="35"/>
      <c r="C148" s="35"/>
      <c r="D148" s="249"/>
      <c r="E148" s="37"/>
      <c r="F148" s="34"/>
      <c r="G148" s="305"/>
      <c r="H148" s="305"/>
      <c r="I148" s="305"/>
      <c r="J148" s="305"/>
      <c r="K148" s="305"/>
      <c r="L148" s="305"/>
      <c r="M148" s="305"/>
      <c r="N148" s="305"/>
      <c r="O148" s="305"/>
      <c r="P148" s="305"/>
      <c r="Q148" s="305"/>
      <c r="R148" s="305"/>
      <c r="S148" s="305"/>
      <c r="T148" s="305"/>
      <c r="U148" s="305"/>
      <c r="V148" s="305"/>
      <c r="W148" s="305"/>
      <c r="X148" s="305"/>
      <c r="Y148" s="305"/>
      <c r="Z148" s="305"/>
    </row>
    <row r="149" spans="1:26" ht="21.75" customHeight="1" x14ac:dyDescent="0.6">
      <c r="A149" s="34"/>
      <c r="B149" s="35"/>
      <c r="C149" s="35"/>
      <c r="D149" s="249"/>
      <c r="E149" s="37"/>
      <c r="F149" s="34"/>
      <c r="G149" s="305"/>
      <c r="H149" s="305"/>
      <c r="I149" s="305"/>
      <c r="J149" s="305"/>
      <c r="K149" s="305"/>
      <c r="L149" s="305"/>
      <c r="M149" s="305"/>
      <c r="N149" s="305"/>
      <c r="O149" s="305"/>
      <c r="P149" s="305"/>
      <c r="Q149" s="305"/>
      <c r="R149" s="305"/>
      <c r="S149" s="305"/>
      <c r="T149" s="305"/>
      <c r="U149" s="305"/>
      <c r="V149" s="305"/>
      <c r="W149" s="305"/>
      <c r="X149" s="305"/>
      <c r="Y149" s="305"/>
      <c r="Z149" s="305"/>
    </row>
    <row r="150" spans="1:26" ht="21.75" customHeight="1" x14ac:dyDescent="0.6">
      <c r="A150" s="34"/>
      <c r="B150" s="35"/>
      <c r="C150" s="35"/>
      <c r="D150" s="249"/>
      <c r="E150" s="37"/>
      <c r="F150" s="34"/>
      <c r="G150" s="305"/>
      <c r="H150" s="305"/>
      <c r="I150" s="305"/>
      <c r="J150" s="305"/>
      <c r="K150" s="305"/>
      <c r="L150" s="305"/>
      <c r="M150" s="305"/>
      <c r="N150" s="305"/>
      <c r="O150" s="305"/>
      <c r="P150" s="305"/>
      <c r="Q150" s="305"/>
      <c r="R150" s="305"/>
      <c r="S150" s="305"/>
      <c r="T150" s="305"/>
      <c r="U150" s="305"/>
      <c r="V150" s="305"/>
      <c r="W150" s="305"/>
      <c r="X150" s="305"/>
      <c r="Y150" s="305"/>
      <c r="Z150" s="305"/>
    </row>
    <row r="151" spans="1:26" ht="21.75" customHeight="1" x14ac:dyDescent="0.6">
      <c r="A151" s="34"/>
      <c r="B151" s="35"/>
      <c r="C151" s="35"/>
      <c r="D151" s="249"/>
      <c r="E151" s="37"/>
      <c r="F151" s="34"/>
      <c r="G151" s="305"/>
      <c r="H151" s="305"/>
      <c r="I151" s="305"/>
      <c r="J151" s="305"/>
      <c r="K151" s="305"/>
      <c r="L151" s="305"/>
      <c r="M151" s="305"/>
      <c r="N151" s="305"/>
      <c r="O151" s="305"/>
      <c r="P151" s="305"/>
      <c r="Q151" s="305"/>
      <c r="R151" s="305"/>
      <c r="S151" s="305"/>
      <c r="T151" s="305"/>
      <c r="U151" s="305"/>
      <c r="V151" s="305"/>
      <c r="W151" s="305"/>
      <c r="X151" s="305"/>
      <c r="Y151" s="305"/>
      <c r="Z151" s="305"/>
    </row>
    <row r="152" spans="1:26" ht="21.75" customHeight="1" x14ac:dyDescent="0.6">
      <c r="A152" s="34"/>
      <c r="B152" s="35"/>
      <c r="C152" s="35"/>
      <c r="D152" s="249"/>
      <c r="E152" s="37"/>
      <c r="F152" s="34"/>
      <c r="G152" s="305"/>
      <c r="H152" s="305"/>
      <c r="I152" s="305"/>
      <c r="J152" s="305"/>
      <c r="K152" s="305"/>
      <c r="L152" s="305"/>
      <c r="M152" s="305"/>
      <c r="N152" s="305"/>
      <c r="O152" s="305"/>
      <c r="P152" s="305"/>
      <c r="Q152" s="305"/>
      <c r="R152" s="305"/>
      <c r="S152" s="305"/>
      <c r="T152" s="305"/>
      <c r="U152" s="305"/>
      <c r="V152" s="305"/>
      <c r="W152" s="305"/>
      <c r="X152" s="305"/>
      <c r="Y152" s="305"/>
      <c r="Z152" s="305"/>
    </row>
    <row r="153" spans="1:26" ht="21.75" customHeight="1" x14ac:dyDescent="0.6">
      <c r="A153" s="34"/>
      <c r="B153" s="35"/>
      <c r="C153" s="35"/>
      <c r="D153" s="249"/>
      <c r="E153" s="37"/>
      <c r="F153" s="34"/>
      <c r="G153" s="305"/>
      <c r="H153" s="305"/>
      <c r="I153" s="305"/>
      <c r="J153" s="305"/>
      <c r="K153" s="305"/>
      <c r="L153" s="305"/>
      <c r="M153" s="305"/>
      <c r="N153" s="305"/>
      <c r="O153" s="305"/>
      <c r="P153" s="305"/>
      <c r="Q153" s="305"/>
      <c r="R153" s="305"/>
      <c r="S153" s="305"/>
      <c r="T153" s="305"/>
      <c r="U153" s="305"/>
      <c r="V153" s="305"/>
      <c r="W153" s="305"/>
      <c r="X153" s="305"/>
      <c r="Y153" s="305"/>
      <c r="Z153" s="305"/>
    </row>
    <row r="154" spans="1:26" ht="21.75" customHeight="1" x14ac:dyDescent="0.6">
      <c r="A154" s="34"/>
      <c r="B154" s="35"/>
      <c r="C154" s="35"/>
      <c r="D154" s="249"/>
      <c r="E154" s="37"/>
      <c r="F154" s="34"/>
      <c r="G154" s="305"/>
      <c r="H154" s="305"/>
      <c r="I154" s="305"/>
      <c r="J154" s="305"/>
      <c r="K154" s="305"/>
      <c r="L154" s="305"/>
      <c r="M154" s="305"/>
      <c r="N154" s="305"/>
      <c r="O154" s="305"/>
      <c r="P154" s="305"/>
      <c r="Q154" s="305"/>
      <c r="R154" s="305"/>
      <c r="S154" s="305"/>
      <c r="T154" s="305"/>
      <c r="U154" s="305"/>
      <c r="V154" s="305"/>
      <c r="W154" s="305"/>
      <c r="X154" s="305"/>
      <c r="Y154" s="305"/>
      <c r="Z154" s="305"/>
    </row>
    <row r="155" spans="1:26" ht="21.75" customHeight="1" x14ac:dyDescent="0.6">
      <c r="A155" s="34"/>
      <c r="B155" s="35"/>
      <c r="C155" s="35"/>
      <c r="D155" s="249"/>
      <c r="E155" s="37"/>
      <c r="F155" s="34"/>
      <c r="G155" s="305"/>
      <c r="H155" s="305"/>
      <c r="I155" s="305"/>
      <c r="J155" s="305"/>
      <c r="K155" s="305"/>
      <c r="L155" s="305"/>
      <c r="M155" s="305"/>
      <c r="N155" s="305"/>
      <c r="O155" s="305"/>
      <c r="P155" s="305"/>
      <c r="Q155" s="305"/>
      <c r="R155" s="305"/>
      <c r="S155" s="305"/>
      <c r="T155" s="305"/>
      <c r="U155" s="305"/>
      <c r="V155" s="305"/>
      <c r="W155" s="305"/>
      <c r="X155" s="305"/>
      <c r="Y155" s="305"/>
      <c r="Z155" s="305"/>
    </row>
    <row r="156" spans="1:26" ht="21.75" customHeight="1" x14ac:dyDescent="0.6">
      <c r="A156" s="34"/>
      <c r="B156" s="35"/>
      <c r="C156" s="35"/>
      <c r="D156" s="249"/>
      <c r="E156" s="37"/>
      <c r="F156" s="34"/>
      <c r="G156" s="305"/>
      <c r="H156" s="305"/>
      <c r="I156" s="305"/>
      <c r="J156" s="305"/>
      <c r="K156" s="305"/>
      <c r="L156" s="305"/>
      <c r="M156" s="305"/>
      <c r="N156" s="305"/>
      <c r="O156" s="305"/>
      <c r="P156" s="305"/>
      <c r="Q156" s="305"/>
      <c r="R156" s="305"/>
      <c r="S156" s="305"/>
      <c r="T156" s="305"/>
      <c r="U156" s="305"/>
      <c r="V156" s="305"/>
      <c r="W156" s="305"/>
      <c r="X156" s="305"/>
      <c r="Y156" s="305"/>
      <c r="Z156" s="305"/>
    </row>
    <row r="157" spans="1:26" ht="21.75" customHeight="1" x14ac:dyDescent="0.6">
      <c r="A157" s="34"/>
      <c r="B157" s="35"/>
      <c r="C157" s="35"/>
      <c r="D157" s="249"/>
      <c r="E157" s="37"/>
      <c r="F157" s="34"/>
      <c r="G157" s="305"/>
      <c r="H157" s="305"/>
      <c r="I157" s="305"/>
      <c r="J157" s="305"/>
      <c r="K157" s="305"/>
      <c r="L157" s="305"/>
      <c r="M157" s="305"/>
      <c r="N157" s="305"/>
      <c r="O157" s="305"/>
      <c r="P157" s="305"/>
      <c r="Q157" s="305"/>
      <c r="R157" s="305"/>
      <c r="S157" s="305"/>
      <c r="T157" s="305"/>
      <c r="U157" s="305"/>
      <c r="V157" s="305"/>
      <c r="W157" s="305"/>
      <c r="X157" s="305"/>
      <c r="Y157" s="305"/>
      <c r="Z157" s="305"/>
    </row>
    <row r="158" spans="1:26" ht="21.75" customHeight="1" x14ac:dyDescent="0.6">
      <c r="A158" s="34"/>
      <c r="B158" s="35"/>
      <c r="C158" s="35"/>
      <c r="D158" s="249"/>
      <c r="E158" s="37"/>
      <c r="F158" s="34"/>
      <c r="G158" s="305"/>
      <c r="H158" s="305"/>
      <c r="I158" s="305"/>
      <c r="J158" s="305"/>
      <c r="K158" s="305"/>
      <c r="L158" s="305"/>
      <c r="M158" s="305"/>
      <c r="N158" s="305"/>
      <c r="O158" s="305"/>
      <c r="P158" s="305"/>
      <c r="Q158" s="305"/>
      <c r="R158" s="305"/>
      <c r="S158" s="305"/>
      <c r="T158" s="305"/>
      <c r="U158" s="305"/>
      <c r="V158" s="305"/>
      <c r="W158" s="305"/>
      <c r="X158" s="305"/>
      <c r="Y158" s="305"/>
      <c r="Z158" s="305"/>
    </row>
    <row r="159" spans="1:26" ht="21.75" customHeight="1" x14ac:dyDescent="0.6">
      <c r="A159" s="34"/>
      <c r="B159" s="35"/>
      <c r="C159" s="35"/>
      <c r="D159" s="249"/>
      <c r="E159" s="37"/>
      <c r="F159" s="34"/>
      <c r="G159" s="305"/>
      <c r="H159" s="305"/>
      <c r="I159" s="305"/>
      <c r="J159" s="305"/>
      <c r="K159" s="305"/>
      <c r="L159" s="305"/>
      <c r="M159" s="305"/>
      <c r="N159" s="305"/>
      <c r="O159" s="305"/>
      <c r="P159" s="305"/>
      <c r="Q159" s="305"/>
      <c r="R159" s="305"/>
      <c r="S159" s="305"/>
      <c r="T159" s="305"/>
      <c r="U159" s="305"/>
      <c r="V159" s="305"/>
      <c r="W159" s="305"/>
      <c r="X159" s="305"/>
      <c r="Y159" s="305"/>
      <c r="Z159" s="305"/>
    </row>
    <row r="160" spans="1:26" ht="21.75" customHeight="1" x14ac:dyDescent="0.6">
      <c r="A160" s="34"/>
      <c r="B160" s="35"/>
      <c r="C160" s="35"/>
      <c r="D160" s="249"/>
      <c r="E160" s="37"/>
      <c r="F160" s="34"/>
      <c r="G160" s="305"/>
      <c r="H160" s="305"/>
      <c r="I160" s="305"/>
      <c r="J160" s="305"/>
      <c r="K160" s="305"/>
      <c r="L160" s="305"/>
      <c r="M160" s="305"/>
      <c r="N160" s="305"/>
      <c r="O160" s="305"/>
      <c r="P160" s="305"/>
      <c r="Q160" s="305"/>
      <c r="R160" s="305"/>
      <c r="S160" s="305"/>
      <c r="T160" s="305"/>
      <c r="U160" s="305"/>
      <c r="V160" s="305"/>
      <c r="W160" s="305"/>
      <c r="X160" s="305"/>
      <c r="Y160" s="305"/>
      <c r="Z160" s="305"/>
    </row>
    <row r="161" spans="1:26" ht="21.75" customHeight="1" x14ac:dyDescent="0.6">
      <c r="A161" s="34"/>
      <c r="B161" s="35"/>
      <c r="C161" s="35"/>
      <c r="D161" s="249"/>
      <c r="E161" s="37"/>
      <c r="F161" s="34"/>
      <c r="G161" s="305"/>
      <c r="H161" s="305"/>
      <c r="I161" s="305"/>
      <c r="J161" s="305"/>
      <c r="K161" s="305"/>
      <c r="L161" s="305"/>
      <c r="M161" s="305"/>
      <c r="N161" s="305"/>
      <c r="O161" s="305"/>
      <c r="P161" s="305"/>
      <c r="Q161" s="305"/>
      <c r="R161" s="305"/>
      <c r="S161" s="305"/>
      <c r="T161" s="305"/>
      <c r="U161" s="305"/>
      <c r="V161" s="305"/>
      <c r="W161" s="305"/>
      <c r="X161" s="305"/>
      <c r="Y161" s="305"/>
      <c r="Z161" s="305"/>
    </row>
    <row r="162" spans="1:26" ht="21.75" customHeight="1" x14ac:dyDescent="0.6">
      <c r="A162" s="34"/>
      <c r="B162" s="35"/>
      <c r="C162" s="35"/>
      <c r="D162" s="249"/>
      <c r="E162" s="37"/>
      <c r="F162" s="34"/>
      <c r="G162" s="305"/>
      <c r="H162" s="305"/>
      <c r="I162" s="305"/>
      <c r="J162" s="305"/>
      <c r="K162" s="305"/>
      <c r="L162" s="305"/>
      <c r="M162" s="305"/>
      <c r="N162" s="305"/>
      <c r="O162" s="305"/>
      <c r="P162" s="305"/>
      <c r="Q162" s="305"/>
      <c r="R162" s="305"/>
      <c r="S162" s="305"/>
      <c r="T162" s="305"/>
      <c r="U162" s="305"/>
      <c r="V162" s="305"/>
      <c r="W162" s="305"/>
      <c r="X162" s="305"/>
      <c r="Y162" s="305"/>
      <c r="Z162" s="305"/>
    </row>
    <row r="163" spans="1:26" ht="21.75" customHeight="1" x14ac:dyDescent="0.6">
      <c r="A163" s="34"/>
      <c r="B163" s="35"/>
      <c r="C163" s="35"/>
      <c r="D163" s="249"/>
      <c r="E163" s="37"/>
      <c r="F163" s="34"/>
      <c r="G163" s="305"/>
      <c r="H163" s="305"/>
      <c r="I163" s="305"/>
      <c r="J163" s="305"/>
      <c r="K163" s="305"/>
      <c r="L163" s="305"/>
      <c r="M163" s="305"/>
      <c r="N163" s="305"/>
      <c r="O163" s="305"/>
      <c r="P163" s="305"/>
      <c r="Q163" s="305"/>
      <c r="R163" s="305"/>
      <c r="S163" s="305"/>
      <c r="T163" s="305"/>
      <c r="U163" s="305"/>
      <c r="V163" s="305"/>
      <c r="W163" s="305"/>
      <c r="X163" s="305"/>
      <c r="Y163" s="305"/>
      <c r="Z163" s="305"/>
    </row>
    <row r="164" spans="1:26" ht="21.75" customHeight="1" x14ac:dyDescent="0.6">
      <c r="A164" s="34"/>
      <c r="B164" s="35"/>
      <c r="C164" s="35"/>
      <c r="D164" s="249"/>
      <c r="E164" s="37"/>
      <c r="F164" s="34"/>
      <c r="G164" s="305"/>
      <c r="H164" s="305"/>
      <c r="I164" s="305"/>
      <c r="J164" s="305"/>
      <c r="K164" s="305"/>
      <c r="L164" s="305"/>
      <c r="M164" s="305"/>
      <c r="N164" s="305"/>
      <c r="O164" s="305"/>
      <c r="P164" s="305"/>
      <c r="Q164" s="305"/>
      <c r="R164" s="305"/>
      <c r="S164" s="305"/>
      <c r="T164" s="305"/>
      <c r="U164" s="305"/>
      <c r="V164" s="305"/>
      <c r="W164" s="305"/>
      <c r="X164" s="305"/>
      <c r="Y164" s="305"/>
      <c r="Z164" s="305"/>
    </row>
    <row r="165" spans="1:26" ht="21.75" customHeight="1" x14ac:dyDescent="0.6">
      <c r="A165" s="34"/>
      <c r="B165" s="35"/>
      <c r="C165" s="35"/>
      <c r="D165" s="249"/>
      <c r="E165" s="37"/>
      <c r="F165" s="34"/>
      <c r="G165" s="305"/>
      <c r="H165" s="305"/>
      <c r="I165" s="305"/>
      <c r="J165" s="305"/>
      <c r="K165" s="305"/>
      <c r="L165" s="305"/>
      <c r="M165" s="305"/>
      <c r="N165" s="305"/>
      <c r="O165" s="305"/>
      <c r="P165" s="305"/>
      <c r="Q165" s="305"/>
      <c r="R165" s="305"/>
      <c r="S165" s="305"/>
      <c r="T165" s="305"/>
      <c r="U165" s="305"/>
      <c r="V165" s="305"/>
      <c r="W165" s="305"/>
      <c r="X165" s="305"/>
      <c r="Y165" s="305"/>
      <c r="Z165" s="305"/>
    </row>
    <row r="166" spans="1:26" ht="21.75" customHeight="1" x14ac:dyDescent="0.6">
      <c r="A166" s="34"/>
      <c r="B166" s="35"/>
      <c r="C166" s="35"/>
      <c r="D166" s="249"/>
      <c r="E166" s="37"/>
      <c r="F166" s="34"/>
      <c r="G166" s="305"/>
      <c r="H166" s="305"/>
      <c r="I166" s="305"/>
      <c r="J166" s="305"/>
      <c r="K166" s="305"/>
      <c r="L166" s="305"/>
      <c r="M166" s="305"/>
      <c r="N166" s="305"/>
      <c r="O166" s="305"/>
      <c r="P166" s="305"/>
      <c r="Q166" s="305"/>
      <c r="R166" s="305"/>
      <c r="S166" s="305"/>
      <c r="T166" s="305"/>
      <c r="U166" s="305"/>
      <c r="V166" s="305"/>
      <c r="W166" s="305"/>
      <c r="X166" s="305"/>
      <c r="Y166" s="305"/>
      <c r="Z166" s="305"/>
    </row>
    <row r="167" spans="1:26" ht="21.75" customHeight="1" x14ac:dyDescent="0.6">
      <c r="A167" s="34"/>
      <c r="B167" s="35"/>
      <c r="C167" s="35"/>
      <c r="D167" s="249"/>
      <c r="E167" s="37"/>
      <c r="F167" s="34"/>
      <c r="G167" s="305"/>
      <c r="H167" s="305"/>
      <c r="I167" s="305"/>
      <c r="J167" s="305"/>
      <c r="K167" s="305"/>
      <c r="L167" s="305"/>
      <c r="M167" s="305"/>
      <c r="N167" s="305"/>
      <c r="O167" s="305"/>
      <c r="P167" s="305"/>
      <c r="Q167" s="305"/>
      <c r="R167" s="305"/>
      <c r="S167" s="305"/>
      <c r="T167" s="305"/>
      <c r="U167" s="305"/>
      <c r="V167" s="305"/>
      <c r="W167" s="305"/>
      <c r="X167" s="305"/>
      <c r="Y167" s="305"/>
      <c r="Z167" s="305"/>
    </row>
    <row r="168" spans="1:26" ht="21.75" customHeight="1" x14ac:dyDescent="0.6">
      <c r="A168" s="34"/>
      <c r="B168" s="35"/>
      <c r="C168" s="35"/>
      <c r="D168" s="249"/>
      <c r="E168" s="37"/>
      <c r="F168" s="34"/>
      <c r="G168" s="305"/>
      <c r="H168" s="305"/>
      <c r="I168" s="305"/>
      <c r="J168" s="305"/>
      <c r="K168" s="305"/>
      <c r="L168" s="305"/>
      <c r="M168" s="305"/>
      <c r="N168" s="305"/>
      <c r="O168" s="305"/>
      <c r="P168" s="305"/>
      <c r="Q168" s="305"/>
      <c r="R168" s="305"/>
      <c r="S168" s="305"/>
      <c r="T168" s="305"/>
      <c r="U168" s="305"/>
      <c r="V168" s="305"/>
      <c r="W168" s="305"/>
      <c r="X168" s="305"/>
      <c r="Y168" s="305"/>
      <c r="Z168" s="305"/>
    </row>
    <row r="169" spans="1:26" ht="21.75" customHeight="1" x14ac:dyDescent="0.6">
      <c r="A169" s="34"/>
      <c r="B169" s="35"/>
      <c r="C169" s="35"/>
      <c r="D169" s="249"/>
      <c r="E169" s="37"/>
      <c r="F169" s="34"/>
      <c r="G169" s="305"/>
      <c r="H169" s="305"/>
      <c r="I169" s="305"/>
      <c r="J169" s="305"/>
      <c r="K169" s="305"/>
      <c r="L169" s="305"/>
      <c r="M169" s="305"/>
      <c r="N169" s="305"/>
      <c r="O169" s="305"/>
      <c r="P169" s="305"/>
      <c r="Q169" s="305"/>
      <c r="R169" s="305"/>
      <c r="S169" s="305"/>
      <c r="T169" s="305"/>
      <c r="U169" s="305"/>
      <c r="V169" s="305"/>
      <c r="W169" s="305"/>
      <c r="X169" s="305"/>
      <c r="Y169" s="305"/>
      <c r="Z169" s="305"/>
    </row>
    <row r="170" spans="1:26" ht="21.75" customHeight="1" x14ac:dyDescent="0.6">
      <c r="A170" s="34"/>
      <c r="B170" s="35"/>
      <c r="C170" s="35"/>
      <c r="D170" s="249"/>
      <c r="E170" s="37"/>
      <c r="F170" s="34"/>
      <c r="G170" s="305"/>
      <c r="H170" s="305"/>
      <c r="I170" s="305"/>
      <c r="J170" s="305"/>
      <c r="K170" s="305"/>
      <c r="L170" s="305"/>
      <c r="M170" s="305"/>
      <c r="N170" s="305"/>
      <c r="O170" s="305"/>
      <c r="P170" s="305"/>
      <c r="Q170" s="305"/>
      <c r="R170" s="305"/>
      <c r="S170" s="305"/>
      <c r="T170" s="305"/>
      <c r="U170" s="305"/>
      <c r="V170" s="305"/>
      <c r="W170" s="305"/>
      <c r="X170" s="305"/>
      <c r="Y170" s="305"/>
      <c r="Z170" s="305"/>
    </row>
    <row r="171" spans="1:26" ht="21.75" customHeight="1" x14ac:dyDescent="0.6">
      <c r="A171" s="34"/>
      <c r="B171" s="35"/>
      <c r="C171" s="35"/>
      <c r="D171" s="249"/>
      <c r="E171" s="37"/>
      <c r="F171" s="34"/>
      <c r="G171" s="305"/>
      <c r="H171" s="305"/>
      <c r="I171" s="305"/>
      <c r="J171" s="305"/>
      <c r="K171" s="305"/>
      <c r="L171" s="305"/>
      <c r="M171" s="305"/>
      <c r="N171" s="305"/>
      <c r="O171" s="305"/>
      <c r="P171" s="305"/>
      <c r="Q171" s="305"/>
      <c r="R171" s="305"/>
      <c r="S171" s="305"/>
      <c r="T171" s="305"/>
      <c r="U171" s="305"/>
      <c r="V171" s="305"/>
      <c r="W171" s="305"/>
      <c r="X171" s="305"/>
      <c r="Y171" s="305"/>
      <c r="Z171" s="305"/>
    </row>
    <row r="172" spans="1:26" ht="21.75" customHeight="1" x14ac:dyDescent="0.6">
      <c r="A172" s="34"/>
      <c r="B172" s="35"/>
      <c r="C172" s="35"/>
      <c r="D172" s="249"/>
      <c r="E172" s="37"/>
      <c r="F172" s="34"/>
      <c r="G172" s="305"/>
      <c r="H172" s="305"/>
      <c r="I172" s="305"/>
      <c r="J172" s="305"/>
      <c r="K172" s="305"/>
      <c r="L172" s="305"/>
      <c r="M172" s="305"/>
      <c r="N172" s="305"/>
      <c r="O172" s="305"/>
      <c r="P172" s="305"/>
      <c r="Q172" s="305"/>
      <c r="R172" s="305"/>
      <c r="S172" s="305"/>
      <c r="T172" s="305"/>
      <c r="U172" s="305"/>
      <c r="V172" s="305"/>
      <c r="W172" s="305"/>
      <c r="X172" s="305"/>
      <c r="Y172" s="305"/>
      <c r="Z172" s="305"/>
    </row>
    <row r="173" spans="1:26" ht="21.75" customHeight="1" x14ac:dyDescent="0.6">
      <c r="A173" s="34"/>
      <c r="B173" s="35"/>
      <c r="C173" s="35"/>
      <c r="D173" s="249"/>
      <c r="E173" s="37"/>
      <c r="F173" s="34"/>
      <c r="G173" s="305"/>
      <c r="H173" s="305"/>
      <c r="I173" s="305"/>
      <c r="J173" s="305"/>
      <c r="K173" s="305"/>
      <c r="L173" s="305"/>
      <c r="M173" s="305"/>
      <c r="N173" s="305"/>
      <c r="O173" s="305"/>
      <c r="P173" s="305"/>
      <c r="Q173" s="305"/>
      <c r="R173" s="305"/>
      <c r="S173" s="305"/>
      <c r="T173" s="305"/>
      <c r="U173" s="305"/>
      <c r="V173" s="305"/>
      <c r="W173" s="305"/>
      <c r="X173" s="305"/>
      <c r="Y173" s="305"/>
      <c r="Z173" s="305"/>
    </row>
    <row r="174" spans="1:26" ht="21.75" customHeight="1" x14ac:dyDescent="0.6">
      <c r="A174" s="34"/>
      <c r="B174" s="35"/>
      <c r="C174" s="35"/>
      <c r="D174" s="249"/>
      <c r="E174" s="37"/>
      <c r="F174" s="34"/>
      <c r="G174" s="305"/>
      <c r="H174" s="305"/>
      <c r="I174" s="305"/>
      <c r="J174" s="305"/>
      <c r="K174" s="305"/>
      <c r="L174" s="305"/>
      <c r="M174" s="305"/>
      <c r="N174" s="305"/>
      <c r="O174" s="305"/>
      <c r="P174" s="305"/>
      <c r="Q174" s="305"/>
      <c r="R174" s="305"/>
      <c r="S174" s="305"/>
      <c r="T174" s="305"/>
      <c r="U174" s="305"/>
      <c r="V174" s="305"/>
      <c r="W174" s="305"/>
      <c r="X174" s="305"/>
      <c r="Y174" s="305"/>
      <c r="Z174" s="305"/>
    </row>
    <row r="175" spans="1:26" ht="21.75" customHeight="1" x14ac:dyDescent="0.6">
      <c r="A175" s="34"/>
      <c r="B175" s="35"/>
      <c r="C175" s="35"/>
      <c r="D175" s="249"/>
      <c r="E175" s="37"/>
      <c r="F175" s="34"/>
      <c r="G175" s="305"/>
      <c r="H175" s="305"/>
      <c r="I175" s="305"/>
      <c r="J175" s="305"/>
      <c r="K175" s="305"/>
      <c r="L175" s="305"/>
      <c r="M175" s="305"/>
      <c r="N175" s="305"/>
      <c r="O175" s="305"/>
      <c r="P175" s="305"/>
      <c r="Q175" s="305"/>
      <c r="R175" s="305"/>
      <c r="S175" s="305"/>
      <c r="T175" s="305"/>
      <c r="U175" s="305"/>
      <c r="V175" s="305"/>
      <c r="W175" s="305"/>
      <c r="X175" s="305"/>
      <c r="Y175" s="305"/>
      <c r="Z175" s="305"/>
    </row>
    <row r="176" spans="1:26" ht="21.75" customHeight="1" x14ac:dyDescent="0.6">
      <c r="A176" s="34"/>
      <c r="B176" s="35"/>
      <c r="C176" s="35"/>
      <c r="D176" s="249"/>
      <c r="E176" s="37"/>
      <c r="F176" s="34"/>
      <c r="G176" s="305"/>
      <c r="H176" s="305"/>
      <c r="I176" s="305"/>
      <c r="J176" s="305"/>
      <c r="K176" s="305"/>
      <c r="L176" s="305"/>
      <c r="M176" s="305"/>
      <c r="N176" s="305"/>
      <c r="O176" s="305"/>
      <c r="P176" s="305"/>
      <c r="Q176" s="305"/>
      <c r="R176" s="305"/>
      <c r="S176" s="305"/>
      <c r="T176" s="305"/>
      <c r="U176" s="305"/>
      <c r="V176" s="305"/>
      <c r="W176" s="305"/>
      <c r="X176" s="305"/>
      <c r="Y176" s="305"/>
      <c r="Z176" s="305"/>
    </row>
    <row r="177" spans="1:26" ht="21.75" customHeight="1" x14ac:dyDescent="0.6">
      <c r="A177" s="34"/>
      <c r="B177" s="35"/>
      <c r="C177" s="35"/>
      <c r="D177" s="249"/>
      <c r="E177" s="37"/>
      <c r="F177" s="34"/>
      <c r="G177" s="305"/>
      <c r="H177" s="305"/>
      <c r="I177" s="305"/>
      <c r="J177" s="305"/>
      <c r="K177" s="305"/>
      <c r="L177" s="305"/>
      <c r="M177" s="305"/>
      <c r="N177" s="305"/>
      <c r="O177" s="305"/>
      <c r="P177" s="305"/>
      <c r="Q177" s="305"/>
      <c r="R177" s="305"/>
      <c r="S177" s="305"/>
      <c r="T177" s="305"/>
      <c r="U177" s="305"/>
      <c r="V177" s="305"/>
      <c r="W177" s="305"/>
      <c r="X177" s="305"/>
      <c r="Y177" s="305"/>
      <c r="Z177" s="305"/>
    </row>
    <row r="178" spans="1:26" ht="21.75" customHeight="1" x14ac:dyDescent="0.6">
      <c r="A178" s="34"/>
      <c r="B178" s="35"/>
      <c r="C178" s="35"/>
      <c r="D178" s="249"/>
      <c r="E178" s="37"/>
      <c r="F178" s="34"/>
      <c r="G178" s="305"/>
      <c r="H178" s="305"/>
      <c r="I178" s="305"/>
      <c r="J178" s="305"/>
      <c r="K178" s="305"/>
      <c r="L178" s="305"/>
      <c r="M178" s="305"/>
      <c r="N178" s="305"/>
      <c r="O178" s="305"/>
      <c r="P178" s="305"/>
      <c r="Q178" s="305"/>
      <c r="R178" s="305"/>
      <c r="S178" s="305"/>
      <c r="T178" s="305"/>
      <c r="U178" s="305"/>
      <c r="V178" s="305"/>
      <c r="W178" s="305"/>
      <c r="X178" s="305"/>
      <c r="Y178" s="305"/>
      <c r="Z178" s="305"/>
    </row>
    <row r="179" spans="1:26" ht="21.75" customHeight="1" x14ac:dyDescent="0.6">
      <c r="A179" s="34"/>
      <c r="B179" s="35"/>
      <c r="C179" s="35"/>
      <c r="D179" s="249"/>
      <c r="E179" s="37"/>
      <c r="F179" s="34"/>
      <c r="G179" s="305"/>
      <c r="H179" s="305"/>
      <c r="I179" s="305"/>
      <c r="J179" s="305"/>
      <c r="K179" s="305"/>
      <c r="L179" s="305"/>
      <c r="M179" s="305"/>
      <c r="N179" s="305"/>
      <c r="O179" s="305"/>
      <c r="P179" s="305"/>
      <c r="Q179" s="305"/>
      <c r="R179" s="305"/>
      <c r="S179" s="305"/>
      <c r="T179" s="305"/>
      <c r="U179" s="305"/>
      <c r="V179" s="305"/>
      <c r="W179" s="305"/>
      <c r="X179" s="305"/>
      <c r="Y179" s="305"/>
      <c r="Z179" s="305"/>
    </row>
    <row r="180" spans="1:26" ht="21.75" customHeight="1" x14ac:dyDescent="0.6">
      <c r="A180" s="34"/>
      <c r="B180" s="35"/>
      <c r="C180" s="35"/>
      <c r="D180" s="249"/>
      <c r="E180" s="37"/>
      <c r="F180" s="34"/>
      <c r="G180" s="305"/>
      <c r="H180" s="305"/>
      <c r="I180" s="305"/>
      <c r="J180" s="305"/>
      <c r="K180" s="305"/>
      <c r="L180" s="305"/>
      <c r="M180" s="305"/>
      <c r="N180" s="305"/>
      <c r="O180" s="305"/>
      <c r="P180" s="305"/>
      <c r="Q180" s="305"/>
      <c r="R180" s="305"/>
      <c r="S180" s="305"/>
      <c r="T180" s="305"/>
      <c r="U180" s="305"/>
      <c r="V180" s="305"/>
      <c r="W180" s="305"/>
      <c r="X180" s="305"/>
      <c r="Y180" s="305"/>
      <c r="Z180" s="305"/>
    </row>
    <row r="181" spans="1:26" ht="21.75" customHeight="1" x14ac:dyDescent="0.6">
      <c r="A181" s="34"/>
      <c r="B181" s="35"/>
      <c r="C181" s="35"/>
      <c r="D181" s="249"/>
      <c r="E181" s="37"/>
      <c r="F181" s="34"/>
      <c r="G181" s="305"/>
      <c r="H181" s="305"/>
      <c r="I181" s="305"/>
      <c r="J181" s="305"/>
      <c r="K181" s="305"/>
      <c r="L181" s="305"/>
      <c r="M181" s="305"/>
      <c r="N181" s="305"/>
      <c r="O181" s="305"/>
      <c r="P181" s="305"/>
      <c r="Q181" s="305"/>
      <c r="R181" s="305"/>
      <c r="S181" s="305"/>
      <c r="T181" s="305"/>
      <c r="U181" s="305"/>
      <c r="V181" s="305"/>
      <c r="W181" s="305"/>
      <c r="X181" s="305"/>
      <c r="Y181" s="305"/>
      <c r="Z181" s="305"/>
    </row>
    <row r="182" spans="1:26" ht="21.75" customHeight="1" x14ac:dyDescent="0.6">
      <c r="A182" s="34"/>
      <c r="B182" s="35"/>
      <c r="C182" s="35"/>
      <c r="D182" s="249"/>
      <c r="E182" s="37"/>
      <c r="F182" s="34"/>
      <c r="G182" s="305"/>
      <c r="H182" s="305"/>
      <c r="I182" s="305"/>
      <c r="J182" s="305"/>
      <c r="K182" s="305"/>
      <c r="L182" s="305"/>
      <c r="M182" s="305"/>
      <c r="N182" s="305"/>
      <c r="O182" s="305"/>
      <c r="P182" s="305"/>
      <c r="Q182" s="305"/>
      <c r="R182" s="305"/>
      <c r="S182" s="305"/>
      <c r="T182" s="305"/>
      <c r="U182" s="305"/>
      <c r="V182" s="305"/>
      <c r="W182" s="305"/>
      <c r="X182" s="305"/>
      <c r="Y182" s="305"/>
      <c r="Z182" s="305"/>
    </row>
    <row r="183" spans="1:26" ht="21.75" customHeight="1" x14ac:dyDescent="0.6">
      <c r="A183" s="34"/>
      <c r="B183" s="35"/>
      <c r="C183" s="35"/>
      <c r="D183" s="249"/>
      <c r="E183" s="37"/>
      <c r="F183" s="34"/>
      <c r="G183" s="305"/>
      <c r="H183" s="305"/>
      <c r="I183" s="305"/>
      <c r="J183" s="305"/>
      <c r="K183" s="305"/>
      <c r="L183" s="305"/>
      <c r="M183" s="305"/>
      <c r="N183" s="305"/>
      <c r="O183" s="305"/>
      <c r="P183" s="305"/>
      <c r="Q183" s="305"/>
      <c r="R183" s="305"/>
      <c r="S183" s="305"/>
      <c r="T183" s="305"/>
      <c r="U183" s="305"/>
      <c r="V183" s="305"/>
      <c r="W183" s="305"/>
      <c r="X183" s="305"/>
      <c r="Y183" s="305"/>
      <c r="Z183" s="305"/>
    </row>
    <row r="184" spans="1:26" ht="21.75" customHeight="1" x14ac:dyDescent="0.6">
      <c r="A184" s="34"/>
      <c r="B184" s="35"/>
      <c r="C184" s="35"/>
      <c r="D184" s="249"/>
      <c r="E184" s="37"/>
      <c r="F184" s="34"/>
      <c r="G184" s="305"/>
      <c r="H184" s="305"/>
      <c r="I184" s="305"/>
      <c r="J184" s="305"/>
      <c r="K184" s="305"/>
      <c r="L184" s="305"/>
      <c r="M184" s="305"/>
      <c r="N184" s="305"/>
      <c r="O184" s="305"/>
      <c r="P184" s="305"/>
      <c r="Q184" s="305"/>
      <c r="R184" s="305"/>
      <c r="S184" s="305"/>
      <c r="T184" s="305"/>
      <c r="U184" s="305"/>
      <c r="V184" s="305"/>
      <c r="W184" s="305"/>
      <c r="X184" s="305"/>
      <c r="Y184" s="305"/>
      <c r="Z184" s="305"/>
    </row>
    <row r="185" spans="1:26" ht="21.75" customHeight="1" x14ac:dyDescent="0.6">
      <c r="A185" s="34"/>
      <c r="B185" s="35"/>
      <c r="C185" s="35"/>
      <c r="D185" s="249"/>
      <c r="E185" s="37"/>
      <c r="F185" s="34"/>
      <c r="G185" s="305"/>
      <c r="H185" s="305"/>
      <c r="I185" s="305"/>
      <c r="J185" s="305"/>
      <c r="K185" s="305"/>
      <c r="L185" s="305"/>
      <c r="M185" s="305"/>
      <c r="N185" s="305"/>
      <c r="O185" s="305"/>
      <c r="P185" s="305"/>
      <c r="Q185" s="305"/>
      <c r="R185" s="305"/>
      <c r="S185" s="305"/>
      <c r="T185" s="305"/>
      <c r="U185" s="305"/>
      <c r="V185" s="305"/>
      <c r="W185" s="305"/>
      <c r="X185" s="305"/>
      <c r="Y185" s="305"/>
      <c r="Z185" s="305"/>
    </row>
    <row r="186" spans="1:26" ht="21.75" customHeight="1" x14ac:dyDescent="0.6">
      <c r="A186" s="34"/>
      <c r="B186" s="35"/>
      <c r="C186" s="35"/>
      <c r="D186" s="249"/>
      <c r="E186" s="37"/>
      <c r="F186" s="34"/>
      <c r="G186" s="305"/>
      <c r="H186" s="305"/>
      <c r="I186" s="305"/>
      <c r="J186" s="305"/>
      <c r="K186" s="305"/>
      <c r="L186" s="305"/>
      <c r="M186" s="305"/>
      <c r="N186" s="305"/>
      <c r="O186" s="305"/>
      <c r="P186" s="305"/>
      <c r="Q186" s="305"/>
      <c r="R186" s="305"/>
      <c r="S186" s="305"/>
      <c r="T186" s="305"/>
      <c r="U186" s="305"/>
      <c r="V186" s="305"/>
      <c r="W186" s="305"/>
      <c r="X186" s="305"/>
      <c r="Y186" s="305"/>
      <c r="Z186" s="305"/>
    </row>
    <row r="187" spans="1:26" ht="21.75" customHeight="1" x14ac:dyDescent="0.6">
      <c r="A187" s="34"/>
      <c r="B187" s="35"/>
      <c r="C187" s="35"/>
      <c r="D187" s="249"/>
      <c r="E187" s="37"/>
      <c r="F187" s="34"/>
      <c r="G187" s="305"/>
      <c r="H187" s="305"/>
      <c r="I187" s="305"/>
      <c r="J187" s="305"/>
      <c r="K187" s="305"/>
      <c r="L187" s="305"/>
      <c r="M187" s="305"/>
      <c r="N187" s="305"/>
      <c r="O187" s="305"/>
      <c r="P187" s="305"/>
      <c r="Q187" s="305"/>
      <c r="R187" s="305"/>
      <c r="S187" s="305"/>
      <c r="T187" s="305"/>
      <c r="U187" s="305"/>
      <c r="V187" s="305"/>
      <c r="W187" s="305"/>
      <c r="X187" s="305"/>
      <c r="Y187" s="305"/>
      <c r="Z187" s="305"/>
    </row>
    <row r="188" spans="1:26" ht="21.75" customHeight="1" x14ac:dyDescent="0.6">
      <c r="A188" s="34"/>
      <c r="B188" s="35"/>
      <c r="C188" s="35"/>
      <c r="D188" s="249"/>
      <c r="E188" s="37"/>
      <c r="F188" s="34"/>
      <c r="G188" s="305"/>
      <c r="H188" s="305"/>
      <c r="I188" s="305"/>
      <c r="J188" s="305"/>
      <c r="K188" s="305"/>
      <c r="L188" s="305"/>
      <c r="M188" s="305"/>
      <c r="N188" s="305"/>
      <c r="O188" s="305"/>
      <c r="P188" s="305"/>
      <c r="Q188" s="305"/>
      <c r="R188" s="305"/>
      <c r="S188" s="305"/>
      <c r="T188" s="305"/>
      <c r="U188" s="305"/>
      <c r="V188" s="305"/>
      <c r="W188" s="305"/>
      <c r="X188" s="305"/>
      <c r="Y188" s="305"/>
      <c r="Z188" s="305"/>
    </row>
    <row r="189" spans="1:26" ht="21.75" customHeight="1" x14ac:dyDescent="0.6">
      <c r="A189" s="34"/>
      <c r="B189" s="35"/>
      <c r="C189" s="35"/>
      <c r="D189" s="249"/>
      <c r="E189" s="37"/>
      <c r="F189" s="34"/>
      <c r="G189" s="305"/>
      <c r="H189" s="305"/>
      <c r="I189" s="305"/>
      <c r="J189" s="305"/>
      <c r="K189" s="305"/>
      <c r="L189" s="305"/>
      <c r="M189" s="305"/>
      <c r="N189" s="305"/>
      <c r="O189" s="305"/>
      <c r="P189" s="305"/>
      <c r="Q189" s="305"/>
      <c r="R189" s="305"/>
      <c r="S189" s="305"/>
      <c r="T189" s="305"/>
      <c r="U189" s="305"/>
      <c r="V189" s="305"/>
      <c r="W189" s="305"/>
      <c r="X189" s="305"/>
      <c r="Y189" s="305"/>
      <c r="Z189" s="305"/>
    </row>
    <row r="190" spans="1:26" ht="21.75" customHeight="1" x14ac:dyDescent="0.6">
      <c r="A190" s="34"/>
      <c r="B190" s="35"/>
      <c r="C190" s="35"/>
      <c r="D190" s="249"/>
      <c r="E190" s="37"/>
      <c r="F190" s="34"/>
      <c r="G190" s="305"/>
      <c r="H190" s="305"/>
      <c r="I190" s="305"/>
      <c r="J190" s="305"/>
      <c r="K190" s="305"/>
      <c r="L190" s="305"/>
      <c r="M190" s="305"/>
      <c r="N190" s="305"/>
      <c r="O190" s="305"/>
      <c r="P190" s="305"/>
      <c r="Q190" s="305"/>
      <c r="R190" s="305"/>
      <c r="S190" s="305"/>
      <c r="T190" s="305"/>
      <c r="U190" s="305"/>
      <c r="V190" s="305"/>
      <c r="W190" s="305"/>
      <c r="X190" s="305"/>
      <c r="Y190" s="305"/>
      <c r="Z190" s="305"/>
    </row>
    <row r="191" spans="1:26" ht="21.75" customHeight="1" x14ac:dyDescent="0.6">
      <c r="A191" s="34"/>
      <c r="B191" s="35"/>
      <c r="C191" s="35"/>
      <c r="D191" s="249"/>
      <c r="E191" s="37"/>
      <c r="F191" s="34"/>
      <c r="G191" s="305"/>
      <c r="H191" s="305"/>
      <c r="I191" s="305"/>
      <c r="J191" s="305"/>
      <c r="K191" s="305"/>
      <c r="L191" s="305"/>
      <c r="M191" s="305"/>
      <c r="N191" s="305"/>
      <c r="O191" s="305"/>
      <c r="P191" s="305"/>
      <c r="Q191" s="305"/>
      <c r="R191" s="305"/>
      <c r="S191" s="305"/>
      <c r="T191" s="305"/>
      <c r="U191" s="305"/>
      <c r="V191" s="305"/>
      <c r="W191" s="305"/>
      <c r="X191" s="305"/>
      <c r="Y191" s="305"/>
      <c r="Z191" s="305"/>
    </row>
    <row r="192" spans="1:26" ht="21.75" customHeight="1" x14ac:dyDescent="0.6">
      <c r="A192" s="34"/>
      <c r="B192" s="35"/>
      <c r="C192" s="35"/>
      <c r="D192" s="249"/>
      <c r="E192" s="37"/>
      <c r="F192" s="34"/>
      <c r="G192" s="305"/>
      <c r="H192" s="305"/>
      <c r="I192" s="305"/>
      <c r="J192" s="305"/>
      <c r="K192" s="305"/>
      <c r="L192" s="305"/>
      <c r="M192" s="305"/>
      <c r="N192" s="305"/>
      <c r="O192" s="305"/>
      <c r="P192" s="305"/>
      <c r="Q192" s="305"/>
      <c r="R192" s="305"/>
      <c r="S192" s="305"/>
      <c r="T192" s="305"/>
      <c r="U192" s="305"/>
      <c r="V192" s="305"/>
      <c r="W192" s="305"/>
      <c r="X192" s="305"/>
      <c r="Y192" s="305"/>
      <c r="Z192" s="305"/>
    </row>
    <row r="193" spans="1:26" ht="21.75" customHeight="1" x14ac:dyDescent="0.6">
      <c r="A193" s="34"/>
      <c r="B193" s="35"/>
      <c r="C193" s="35"/>
      <c r="D193" s="249"/>
      <c r="E193" s="37"/>
      <c r="F193" s="34"/>
      <c r="G193" s="305"/>
      <c r="H193" s="305"/>
      <c r="I193" s="305"/>
      <c r="J193" s="305"/>
      <c r="K193" s="305"/>
      <c r="L193" s="305"/>
      <c r="M193" s="305"/>
      <c r="N193" s="305"/>
      <c r="O193" s="305"/>
      <c r="P193" s="305"/>
      <c r="Q193" s="305"/>
      <c r="R193" s="305"/>
      <c r="S193" s="305"/>
      <c r="T193" s="305"/>
      <c r="U193" s="305"/>
      <c r="V193" s="305"/>
      <c r="W193" s="305"/>
      <c r="X193" s="305"/>
      <c r="Y193" s="305"/>
      <c r="Z193" s="305"/>
    </row>
    <row r="194" spans="1:26" ht="21.75" customHeight="1" x14ac:dyDescent="0.6">
      <c r="A194" s="34"/>
      <c r="B194" s="35"/>
      <c r="C194" s="35"/>
      <c r="D194" s="249"/>
      <c r="E194" s="37"/>
      <c r="F194" s="34"/>
      <c r="G194" s="305"/>
      <c r="H194" s="305"/>
      <c r="I194" s="305"/>
      <c r="J194" s="305"/>
      <c r="K194" s="305"/>
      <c r="L194" s="305"/>
      <c r="M194" s="305"/>
      <c r="N194" s="305"/>
      <c r="O194" s="305"/>
      <c r="P194" s="305"/>
      <c r="Q194" s="305"/>
      <c r="R194" s="305"/>
      <c r="S194" s="305"/>
      <c r="T194" s="305"/>
      <c r="U194" s="305"/>
      <c r="V194" s="305"/>
      <c r="W194" s="305"/>
      <c r="X194" s="305"/>
      <c r="Y194" s="305"/>
      <c r="Z194" s="305"/>
    </row>
    <row r="195" spans="1:26" ht="21.75" customHeight="1" x14ac:dyDescent="0.6">
      <c r="A195" s="34"/>
      <c r="B195" s="35"/>
      <c r="C195" s="35"/>
      <c r="D195" s="249"/>
      <c r="E195" s="37"/>
      <c r="F195" s="34"/>
      <c r="G195" s="305"/>
      <c r="H195" s="305"/>
      <c r="I195" s="305"/>
      <c r="J195" s="305"/>
      <c r="K195" s="305"/>
      <c r="L195" s="305"/>
      <c r="M195" s="305"/>
      <c r="N195" s="305"/>
      <c r="O195" s="305"/>
      <c r="P195" s="305"/>
      <c r="Q195" s="305"/>
      <c r="R195" s="305"/>
      <c r="S195" s="305"/>
      <c r="T195" s="305"/>
      <c r="U195" s="305"/>
      <c r="V195" s="305"/>
      <c r="W195" s="305"/>
      <c r="X195" s="305"/>
      <c r="Y195" s="305"/>
      <c r="Z195" s="305"/>
    </row>
    <row r="196" spans="1:26" ht="21.75" customHeight="1" x14ac:dyDescent="0.6">
      <c r="A196" s="34"/>
      <c r="B196" s="35"/>
      <c r="C196" s="35"/>
      <c r="D196" s="249"/>
      <c r="E196" s="37"/>
      <c r="F196" s="34"/>
      <c r="G196" s="305"/>
      <c r="H196" s="305"/>
      <c r="I196" s="305"/>
      <c r="J196" s="305"/>
      <c r="K196" s="305"/>
      <c r="L196" s="305"/>
      <c r="M196" s="305"/>
      <c r="N196" s="305"/>
      <c r="O196" s="305"/>
      <c r="P196" s="305"/>
      <c r="Q196" s="305"/>
      <c r="R196" s="305"/>
      <c r="S196" s="305"/>
      <c r="T196" s="305"/>
      <c r="U196" s="305"/>
      <c r="V196" s="305"/>
      <c r="W196" s="305"/>
      <c r="X196" s="305"/>
      <c r="Y196" s="305"/>
      <c r="Z196" s="305"/>
    </row>
    <row r="197" spans="1:26" ht="21.75" customHeight="1" x14ac:dyDescent="0.6">
      <c r="A197" s="34"/>
      <c r="B197" s="35"/>
      <c r="C197" s="35"/>
      <c r="D197" s="249"/>
      <c r="E197" s="37"/>
      <c r="F197" s="34"/>
      <c r="G197" s="305"/>
      <c r="H197" s="305"/>
      <c r="I197" s="305"/>
      <c r="J197" s="305"/>
      <c r="K197" s="305"/>
      <c r="L197" s="305"/>
      <c r="M197" s="305"/>
      <c r="N197" s="305"/>
      <c r="O197" s="305"/>
      <c r="P197" s="305"/>
      <c r="Q197" s="305"/>
      <c r="R197" s="305"/>
      <c r="S197" s="305"/>
      <c r="T197" s="305"/>
      <c r="U197" s="305"/>
      <c r="V197" s="305"/>
      <c r="W197" s="305"/>
      <c r="X197" s="305"/>
      <c r="Y197" s="305"/>
      <c r="Z197" s="305"/>
    </row>
    <row r="198" spans="1:26" ht="21.75" customHeight="1" x14ac:dyDescent="0.6">
      <c r="A198" s="34"/>
      <c r="B198" s="35"/>
      <c r="C198" s="35"/>
      <c r="D198" s="249"/>
      <c r="E198" s="37"/>
      <c r="F198" s="34"/>
      <c r="G198" s="305"/>
      <c r="H198" s="305"/>
      <c r="I198" s="305"/>
      <c r="J198" s="305"/>
      <c r="K198" s="305"/>
      <c r="L198" s="305"/>
      <c r="M198" s="305"/>
      <c r="N198" s="305"/>
      <c r="O198" s="305"/>
      <c r="P198" s="305"/>
      <c r="Q198" s="305"/>
      <c r="R198" s="305"/>
      <c r="S198" s="305"/>
      <c r="T198" s="305"/>
      <c r="U198" s="305"/>
      <c r="V198" s="305"/>
      <c r="W198" s="305"/>
      <c r="X198" s="305"/>
      <c r="Y198" s="305"/>
      <c r="Z198" s="305"/>
    </row>
    <row r="199" spans="1:26" ht="21.75" customHeight="1" x14ac:dyDescent="0.6">
      <c r="A199" s="34"/>
      <c r="B199" s="35"/>
      <c r="C199" s="35"/>
      <c r="D199" s="249"/>
      <c r="E199" s="37"/>
      <c r="F199" s="34"/>
      <c r="G199" s="305"/>
      <c r="H199" s="305"/>
      <c r="I199" s="305"/>
      <c r="J199" s="305"/>
      <c r="K199" s="305"/>
      <c r="L199" s="305"/>
      <c r="M199" s="305"/>
      <c r="N199" s="305"/>
      <c r="O199" s="305"/>
      <c r="P199" s="305"/>
      <c r="Q199" s="305"/>
      <c r="R199" s="305"/>
      <c r="S199" s="305"/>
      <c r="T199" s="305"/>
      <c r="U199" s="305"/>
      <c r="V199" s="305"/>
      <c r="W199" s="305"/>
      <c r="X199" s="305"/>
      <c r="Y199" s="305"/>
      <c r="Z199" s="305"/>
    </row>
    <row r="200" spans="1:26" ht="21.75" customHeight="1" x14ac:dyDescent="0.6">
      <c r="A200" s="34"/>
      <c r="B200" s="35"/>
      <c r="C200" s="35"/>
      <c r="D200" s="249"/>
      <c r="E200" s="37"/>
      <c r="F200" s="34"/>
      <c r="G200" s="305"/>
      <c r="H200" s="305"/>
      <c r="I200" s="305"/>
      <c r="J200" s="305"/>
      <c r="K200" s="305"/>
      <c r="L200" s="305"/>
      <c r="M200" s="305"/>
      <c r="N200" s="305"/>
      <c r="O200" s="305"/>
      <c r="P200" s="305"/>
      <c r="Q200" s="305"/>
      <c r="R200" s="305"/>
      <c r="S200" s="305"/>
      <c r="T200" s="305"/>
      <c r="U200" s="305"/>
      <c r="V200" s="305"/>
      <c r="W200" s="305"/>
      <c r="X200" s="305"/>
      <c r="Y200" s="305"/>
      <c r="Z200" s="305"/>
    </row>
    <row r="201" spans="1:26" ht="21.75" customHeight="1" x14ac:dyDescent="0.6">
      <c r="A201" s="34"/>
      <c r="B201" s="35"/>
      <c r="C201" s="35"/>
      <c r="D201" s="249"/>
      <c r="E201" s="37"/>
      <c r="F201" s="34"/>
      <c r="G201" s="305"/>
      <c r="H201" s="305"/>
      <c r="I201" s="305"/>
      <c r="J201" s="305"/>
      <c r="K201" s="305"/>
      <c r="L201" s="305"/>
      <c r="M201" s="305"/>
      <c r="N201" s="305"/>
      <c r="O201" s="305"/>
      <c r="P201" s="305"/>
      <c r="Q201" s="305"/>
      <c r="R201" s="305"/>
      <c r="S201" s="305"/>
      <c r="T201" s="305"/>
      <c r="U201" s="305"/>
      <c r="V201" s="305"/>
      <c r="W201" s="305"/>
      <c r="X201" s="305"/>
      <c r="Y201" s="305"/>
      <c r="Z201" s="305"/>
    </row>
    <row r="202" spans="1:26" ht="21.75" customHeight="1" x14ac:dyDescent="0.6">
      <c r="A202" s="34"/>
      <c r="B202" s="35"/>
      <c r="C202" s="35"/>
      <c r="D202" s="249"/>
      <c r="E202" s="37"/>
      <c r="F202" s="34"/>
      <c r="G202" s="305"/>
      <c r="H202" s="305"/>
      <c r="I202" s="305"/>
      <c r="J202" s="305"/>
      <c r="K202" s="305"/>
      <c r="L202" s="305"/>
      <c r="M202" s="305"/>
      <c r="N202" s="305"/>
      <c r="O202" s="305"/>
      <c r="P202" s="305"/>
      <c r="Q202" s="305"/>
      <c r="R202" s="305"/>
      <c r="S202" s="305"/>
      <c r="T202" s="305"/>
      <c r="U202" s="305"/>
      <c r="V202" s="305"/>
      <c r="W202" s="305"/>
      <c r="X202" s="305"/>
      <c r="Y202" s="305"/>
      <c r="Z202" s="305"/>
    </row>
    <row r="203" spans="1:26" ht="21.75" customHeight="1" x14ac:dyDescent="0.6">
      <c r="A203" s="34"/>
      <c r="B203" s="35"/>
      <c r="C203" s="35"/>
      <c r="D203" s="249"/>
      <c r="E203" s="37"/>
      <c r="F203" s="34"/>
      <c r="G203" s="305"/>
      <c r="H203" s="305"/>
      <c r="I203" s="305"/>
      <c r="J203" s="305"/>
      <c r="K203" s="305"/>
      <c r="L203" s="305"/>
      <c r="M203" s="305"/>
      <c r="N203" s="305"/>
      <c r="O203" s="305"/>
      <c r="P203" s="305"/>
      <c r="Q203" s="305"/>
      <c r="R203" s="305"/>
      <c r="S203" s="305"/>
      <c r="T203" s="305"/>
      <c r="U203" s="305"/>
      <c r="V203" s="305"/>
      <c r="W203" s="305"/>
      <c r="X203" s="305"/>
      <c r="Y203" s="305"/>
      <c r="Z203" s="305"/>
    </row>
    <row r="204" spans="1:26" ht="21.75" customHeight="1" x14ac:dyDescent="0.6">
      <c r="A204" s="34"/>
      <c r="B204" s="35"/>
      <c r="C204" s="35"/>
      <c r="D204" s="249"/>
      <c r="E204" s="37"/>
      <c r="F204" s="34"/>
      <c r="G204" s="305"/>
      <c r="H204" s="305"/>
      <c r="I204" s="305"/>
      <c r="J204" s="305"/>
      <c r="K204" s="305"/>
      <c r="L204" s="305"/>
      <c r="M204" s="305"/>
      <c r="N204" s="305"/>
      <c r="O204" s="305"/>
      <c r="P204" s="305"/>
      <c r="Q204" s="305"/>
      <c r="R204" s="305"/>
      <c r="S204" s="305"/>
      <c r="T204" s="305"/>
      <c r="U204" s="305"/>
      <c r="V204" s="305"/>
      <c r="W204" s="305"/>
      <c r="X204" s="305"/>
      <c r="Y204" s="305"/>
      <c r="Z204" s="305"/>
    </row>
    <row r="205" spans="1:26" ht="21.75" customHeight="1" x14ac:dyDescent="0.6">
      <c r="A205" s="34"/>
      <c r="B205" s="35"/>
      <c r="C205" s="35"/>
      <c r="D205" s="249"/>
      <c r="E205" s="37"/>
      <c r="F205" s="34"/>
      <c r="G205" s="305"/>
      <c r="H205" s="305"/>
      <c r="I205" s="305"/>
      <c r="J205" s="305"/>
      <c r="K205" s="305"/>
      <c r="L205" s="305"/>
      <c r="M205" s="305"/>
      <c r="N205" s="305"/>
      <c r="O205" s="305"/>
      <c r="P205" s="305"/>
      <c r="Q205" s="305"/>
      <c r="R205" s="305"/>
      <c r="S205" s="305"/>
      <c r="T205" s="305"/>
      <c r="U205" s="305"/>
      <c r="V205" s="305"/>
      <c r="W205" s="305"/>
      <c r="X205" s="305"/>
      <c r="Y205" s="305"/>
      <c r="Z205" s="305"/>
    </row>
    <row r="206" spans="1:26" ht="21.75" customHeight="1" x14ac:dyDescent="0.6">
      <c r="A206" s="34"/>
      <c r="B206" s="35"/>
      <c r="C206" s="35"/>
      <c r="D206" s="249"/>
      <c r="E206" s="37"/>
      <c r="F206" s="34"/>
      <c r="G206" s="305"/>
      <c r="H206" s="305"/>
      <c r="I206" s="305"/>
      <c r="J206" s="305"/>
      <c r="K206" s="305"/>
      <c r="L206" s="305"/>
      <c r="M206" s="305"/>
      <c r="N206" s="305"/>
      <c r="O206" s="305"/>
      <c r="P206" s="305"/>
      <c r="Q206" s="305"/>
      <c r="R206" s="305"/>
      <c r="S206" s="305"/>
      <c r="T206" s="305"/>
      <c r="U206" s="305"/>
      <c r="V206" s="305"/>
      <c r="W206" s="305"/>
      <c r="X206" s="305"/>
      <c r="Y206" s="305"/>
      <c r="Z206" s="305"/>
    </row>
    <row r="207" spans="1:26" ht="21.75" customHeight="1" x14ac:dyDescent="0.6">
      <c r="A207" s="34"/>
      <c r="B207" s="35"/>
      <c r="C207" s="35"/>
      <c r="D207" s="249"/>
      <c r="E207" s="37"/>
      <c r="F207" s="34"/>
      <c r="G207" s="305"/>
      <c r="H207" s="305"/>
      <c r="I207" s="305"/>
      <c r="J207" s="305"/>
      <c r="K207" s="305"/>
      <c r="L207" s="305"/>
      <c r="M207" s="305"/>
      <c r="N207" s="305"/>
      <c r="O207" s="305"/>
      <c r="P207" s="305"/>
      <c r="Q207" s="305"/>
      <c r="R207" s="305"/>
      <c r="S207" s="305"/>
      <c r="T207" s="305"/>
      <c r="U207" s="305"/>
      <c r="V207" s="305"/>
      <c r="W207" s="305"/>
      <c r="X207" s="305"/>
      <c r="Y207" s="305"/>
      <c r="Z207" s="305"/>
    </row>
    <row r="208" spans="1:26" ht="21.75" customHeight="1" x14ac:dyDescent="0.6">
      <c r="A208" s="34"/>
      <c r="B208" s="35"/>
      <c r="C208" s="35"/>
      <c r="D208" s="249"/>
      <c r="E208" s="37"/>
      <c r="F208" s="34"/>
      <c r="G208" s="305"/>
      <c r="H208" s="305"/>
      <c r="I208" s="305"/>
      <c r="J208" s="305"/>
      <c r="K208" s="305"/>
      <c r="L208" s="305"/>
      <c r="M208" s="305"/>
      <c r="N208" s="305"/>
      <c r="O208" s="305"/>
      <c r="P208" s="305"/>
      <c r="Q208" s="305"/>
      <c r="R208" s="305"/>
      <c r="S208" s="305"/>
      <c r="T208" s="305"/>
      <c r="U208" s="305"/>
      <c r="V208" s="305"/>
      <c r="W208" s="305"/>
      <c r="X208" s="305"/>
      <c r="Y208" s="305"/>
      <c r="Z208" s="305"/>
    </row>
    <row r="209" spans="1:26" ht="21.75" customHeight="1" x14ac:dyDescent="0.6">
      <c r="A209" s="34"/>
      <c r="B209" s="35"/>
      <c r="C209" s="35"/>
      <c r="D209" s="249"/>
      <c r="E209" s="37"/>
      <c r="F209" s="34"/>
      <c r="G209" s="305"/>
      <c r="H209" s="305"/>
      <c r="I209" s="305"/>
      <c r="J209" s="305"/>
      <c r="K209" s="305"/>
      <c r="L209" s="305"/>
      <c r="M209" s="305"/>
      <c r="N209" s="305"/>
      <c r="O209" s="305"/>
      <c r="P209" s="305"/>
      <c r="Q209" s="305"/>
      <c r="R209" s="305"/>
      <c r="S209" s="305"/>
      <c r="T209" s="305"/>
      <c r="U209" s="305"/>
      <c r="V209" s="305"/>
      <c r="W209" s="305"/>
      <c r="X209" s="305"/>
      <c r="Y209" s="305"/>
      <c r="Z209" s="305"/>
    </row>
    <row r="210" spans="1:26" ht="21.75" customHeight="1" x14ac:dyDescent="0.6">
      <c r="A210" s="34"/>
      <c r="B210" s="35"/>
      <c r="C210" s="35"/>
      <c r="D210" s="249"/>
      <c r="E210" s="37"/>
      <c r="F210" s="34"/>
      <c r="G210" s="305"/>
      <c r="H210" s="305"/>
      <c r="I210" s="305"/>
      <c r="J210" s="305"/>
      <c r="K210" s="305"/>
      <c r="L210" s="305"/>
      <c r="M210" s="305"/>
      <c r="N210" s="305"/>
      <c r="O210" s="305"/>
      <c r="P210" s="305"/>
      <c r="Q210" s="305"/>
      <c r="R210" s="305"/>
      <c r="S210" s="305"/>
      <c r="T210" s="305"/>
      <c r="U210" s="305"/>
      <c r="V210" s="305"/>
      <c r="W210" s="305"/>
      <c r="X210" s="305"/>
      <c r="Y210" s="305"/>
      <c r="Z210" s="305"/>
    </row>
    <row r="211" spans="1:26" ht="21.75" customHeight="1" x14ac:dyDescent="0.6">
      <c r="A211" s="34"/>
      <c r="B211" s="35"/>
      <c r="C211" s="35"/>
      <c r="D211" s="249"/>
      <c r="E211" s="37"/>
      <c r="F211" s="34"/>
      <c r="G211" s="305"/>
      <c r="H211" s="305"/>
      <c r="I211" s="305"/>
      <c r="J211" s="305"/>
      <c r="K211" s="305"/>
      <c r="L211" s="305"/>
      <c r="M211" s="305"/>
      <c r="N211" s="305"/>
      <c r="O211" s="305"/>
      <c r="P211" s="305"/>
      <c r="Q211" s="305"/>
      <c r="R211" s="305"/>
      <c r="S211" s="305"/>
      <c r="T211" s="305"/>
      <c r="U211" s="305"/>
      <c r="V211" s="305"/>
      <c r="W211" s="305"/>
      <c r="X211" s="305"/>
      <c r="Y211" s="305"/>
      <c r="Z211" s="305"/>
    </row>
    <row r="212" spans="1:26" ht="21.75" customHeight="1" x14ac:dyDescent="0.6">
      <c r="A212" s="34"/>
      <c r="B212" s="35"/>
      <c r="C212" s="35"/>
      <c r="D212" s="249"/>
      <c r="E212" s="37"/>
      <c r="F212" s="34"/>
      <c r="G212" s="305"/>
      <c r="H212" s="305"/>
      <c r="I212" s="305"/>
      <c r="J212" s="305"/>
      <c r="K212" s="305"/>
      <c r="L212" s="305"/>
      <c r="M212" s="305"/>
      <c r="N212" s="305"/>
      <c r="O212" s="305"/>
      <c r="P212" s="305"/>
      <c r="Q212" s="305"/>
      <c r="R212" s="305"/>
      <c r="S212" s="305"/>
      <c r="T212" s="305"/>
      <c r="U212" s="305"/>
      <c r="V212" s="305"/>
      <c r="W212" s="305"/>
      <c r="X212" s="305"/>
      <c r="Y212" s="305"/>
      <c r="Z212" s="305"/>
    </row>
    <row r="213" spans="1:26" ht="21.75" customHeight="1" x14ac:dyDescent="0.6">
      <c r="A213" s="34"/>
      <c r="B213" s="35"/>
      <c r="C213" s="35"/>
      <c r="D213" s="249"/>
      <c r="E213" s="37"/>
      <c r="F213" s="34"/>
      <c r="G213" s="305"/>
      <c r="H213" s="305"/>
      <c r="I213" s="305"/>
      <c r="J213" s="305"/>
      <c r="K213" s="305"/>
      <c r="L213" s="305"/>
      <c r="M213" s="305"/>
      <c r="N213" s="305"/>
      <c r="O213" s="305"/>
      <c r="P213" s="305"/>
      <c r="Q213" s="305"/>
      <c r="R213" s="305"/>
      <c r="S213" s="305"/>
      <c r="T213" s="305"/>
      <c r="U213" s="305"/>
      <c r="V213" s="305"/>
      <c r="W213" s="305"/>
      <c r="X213" s="305"/>
      <c r="Y213" s="305"/>
      <c r="Z213" s="305"/>
    </row>
    <row r="214" spans="1:26" ht="21.75" customHeight="1" x14ac:dyDescent="0.6">
      <c r="A214" s="34"/>
      <c r="B214" s="35"/>
      <c r="C214" s="35"/>
      <c r="D214" s="249"/>
      <c r="E214" s="37"/>
      <c r="F214" s="34"/>
      <c r="G214" s="305"/>
      <c r="H214" s="305"/>
      <c r="I214" s="305"/>
      <c r="J214" s="305"/>
      <c r="K214" s="305"/>
      <c r="L214" s="305"/>
      <c r="M214" s="305"/>
      <c r="N214" s="305"/>
      <c r="O214" s="305"/>
      <c r="P214" s="305"/>
      <c r="Q214" s="305"/>
      <c r="R214" s="305"/>
      <c r="S214" s="305"/>
      <c r="T214" s="305"/>
      <c r="U214" s="305"/>
      <c r="V214" s="305"/>
      <c r="W214" s="305"/>
      <c r="X214" s="305"/>
      <c r="Y214" s="305"/>
      <c r="Z214" s="305"/>
    </row>
    <row r="215" spans="1:26" ht="21.75" customHeight="1" x14ac:dyDescent="0.6">
      <c r="A215" s="34"/>
      <c r="B215" s="35"/>
      <c r="C215" s="35"/>
      <c r="D215" s="249"/>
      <c r="E215" s="37"/>
      <c r="F215" s="34"/>
      <c r="G215" s="305"/>
      <c r="H215" s="305"/>
      <c r="I215" s="305"/>
      <c r="J215" s="305"/>
      <c r="K215" s="305"/>
      <c r="L215" s="305"/>
      <c r="M215" s="305"/>
      <c r="N215" s="305"/>
      <c r="O215" s="305"/>
      <c r="P215" s="305"/>
      <c r="Q215" s="305"/>
      <c r="R215" s="305"/>
      <c r="S215" s="305"/>
      <c r="T215" s="305"/>
      <c r="U215" s="305"/>
      <c r="V215" s="305"/>
      <c r="W215" s="305"/>
      <c r="X215" s="305"/>
      <c r="Y215" s="305"/>
      <c r="Z215" s="305"/>
    </row>
    <row r="216" spans="1:26" ht="21.75" customHeight="1" x14ac:dyDescent="0.6">
      <c r="A216" s="34"/>
      <c r="B216" s="35"/>
      <c r="C216" s="35"/>
      <c r="D216" s="249"/>
      <c r="E216" s="37"/>
      <c r="F216" s="34"/>
      <c r="G216" s="305"/>
      <c r="H216" s="305"/>
      <c r="I216" s="305"/>
      <c r="J216" s="305"/>
      <c r="K216" s="305"/>
      <c r="L216" s="305"/>
      <c r="M216" s="305"/>
      <c r="N216" s="305"/>
      <c r="O216" s="305"/>
      <c r="P216" s="305"/>
      <c r="Q216" s="305"/>
      <c r="R216" s="305"/>
      <c r="S216" s="305"/>
      <c r="T216" s="305"/>
      <c r="U216" s="305"/>
      <c r="V216" s="305"/>
      <c r="W216" s="305"/>
      <c r="X216" s="305"/>
      <c r="Y216" s="305"/>
      <c r="Z216" s="305"/>
    </row>
    <row r="217" spans="1:26" ht="21.75" customHeight="1" x14ac:dyDescent="0.6">
      <c r="A217" s="34"/>
      <c r="B217" s="35"/>
      <c r="C217" s="35"/>
      <c r="D217" s="249"/>
      <c r="E217" s="37"/>
      <c r="F217" s="34"/>
      <c r="G217" s="305"/>
      <c r="H217" s="305"/>
      <c r="I217" s="305"/>
      <c r="J217" s="305"/>
      <c r="K217" s="305"/>
      <c r="L217" s="305"/>
      <c r="M217" s="305"/>
      <c r="N217" s="305"/>
      <c r="O217" s="305"/>
      <c r="P217" s="305"/>
      <c r="Q217" s="305"/>
      <c r="R217" s="305"/>
      <c r="S217" s="305"/>
      <c r="T217" s="305"/>
      <c r="U217" s="305"/>
      <c r="V217" s="305"/>
      <c r="W217" s="305"/>
      <c r="X217" s="305"/>
      <c r="Y217" s="305"/>
      <c r="Z217" s="305"/>
    </row>
    <row r="218" spans="1:26" ht="21.75" customHeight="1" x14ac:dyDescent="0.6">
      <c r="A218" s="34"/>
      <c r="B218" s="35"/>
      <c r="C218" s="35"/>
      <c r="D218" s="249"/>
      <c r="E218" s="37"/>
      <c r="F218" s="34"/>
      <c r="G218" s="305"/>
      <c r="H218" s="305"/>
      <c r="I218" s="305"/>
      <c r="J218" s="305"/>
      <c r="K218" s="305"/>
      <c r="L218" s="305"/>
      <c r="M218" s="305"/>
      <c r="N218" s="305"/>
      <c r="O218" s="305"/>
      <c r="P218" s="305"/>
      <c r="Q218" s="305"/>
      <c r="R218" s="305"/>
      <c r="S218" s="305"/>
      <c r="T218" s="305"/>
      <c r="U218" s="305"/>
      <c r="V218" s="305"/>
      <c r="W218" s="305"/>
      <c r="X218" s="305"/>
      <c r="Y218" s="305"/>
      <c r="Z218" s="305"/>
    </row>
    <row r="219" spans="1:26" ht="21.75" customHeight="1" x14ac:dyDescent="0.6">
      <c r="A219" s="34"/>
      <c r="B219" s="35"/>
      <c r="C219" s="35"/>
      <c r="D219" s="249"/>
      <c r="E219" s="37"/>
      <c r="F219" s="34"/>
      <c r="G219" s="305"/>
      <c r="H219" s="305"/>
      <c r="I219" s="305"/>
      <c r="J219" s="305"/>
      <c r="K219" s="305"/>
      <c r="L219" s="305"/>
      <c r="M219" s="305"/>
      <c r="N219" s="305"/>
      <c r="O219" s="305"/>
      <c r="P219" s="305"/>
      <c r="Q219" s="305"/>
      <c r="R219" s="305"/>
      <c r="S219" s="305"/>
      <c r="T219" s="305"/>
      <c r="U219" s="305"/>
      <c r="V219" s="305"/>
      <c r="W219" s="305"/>
      <c r="X219" s="305"/>
      <c r="Y219" s="305"/>
      <c r="Z219" s="305"/>
    </row>
    <row r="220" spans="1:26" ht="21.75" customHeight="1" x14ac:dyDescent="0.6">
      <c r="A220" s="34"/>
      <c r="B220" s="35"/>
      <c r="C220" s="35"/>
      <c r="D220" s="249"/>
      <c r="E220" s="37"/>
      <c r="F220" s="34"/>
      <c r="G220" s="305"/>
      <c r="H220" s="305"/>
      <c r="I220" s="305"/>
      <c r="J220" s="305"/>
      <c r="K220" s="305"/>
      <c r="L220" s="305"/>
      <c r="M220" s="305"/>
      <c r="N220" s="305"/>
      <c r="O220" s="305"/>
      <c r="P220" s="305"/>
      <c r="Q220" s="305"/>
      <c r="R220" s="305"/>
      <c r="S220" s="305"/>
      <c r="T220" s="305"/>
      <c r="U220" s="305"/>
      <c r="V220" s="305"/>
      <c r="W220" s="305"/>
      <c r="X220" s="305"/>
      <c r="Y220" s="305"/>
      <c r="Z220" s="305"/>
    </row>
    <row r="221" spans="1:26" ht="21.75" customHeight="1" x14ac:dyDescent="0.6">
      <c r="A221" s="34"/>
      <c r="B221" s="35"/>
      <c r="C221" s="35"/>
      <c r="D221" s="249"/>
      <c r="E221" s="37"/>
      <c r="F221" s="34"/>
      <c r="G221" s="305"/>
      <c r="H221" s="305"/>
      <c r="I221" s="305"/>
      <c r="J221" s="305"/>
      <c r="K221" s="305"/>
      <c r="L221" s="305"/>
      <c r="M221" s="305"/>
      <c r="N221" s="305"/>
      <c r="O221" s="305"/>
      <c r="P221" s="305"/>
      <c r="Q221" s="305"/>
      <c r="R221" s="305"/>
      <c r="S221" s="305"/>
      <c r="T221" s="305"/>
      <c r="U221" s="305"/>
      <c r="V221" s="305"/>
      <c r="W221" s="305"/>
      <c r="X221" s="305"/>
      <c r="Y221" s="305"/>
      <c r="Z221" s="305"/>
    </row>
    <row r="222" spans="1:26" ht="21.75" customHeight="1" x14ac:dyDescent="0.6">
      <c r="A222" s="34"/>
      <c r="B222" s="35"/>
      <c r="C222" s="35"/>
      <c r="D222" s="249"/>
      <c r="E222" s="37"/>
      <c r="F222" s="34"/>
      <c r="G222" s="305"/>
      <c r="H222" s="305"/>
      <c r="I222" s="305"/>
      <c r="J222" s="305"/>
      <c r="K222" s="305"/>
      <c r="L222" s="305"/>
      <c r="M222" s="305"/>
      <c r="N222" s="305"/>
      <c r="O222" s="305"/>
      <c r="P222" s="305"/>
      <c r="Q222" s="305"/>
      <c r="R222" s="305"/>
      <c r="S222" s="305"/>
      <c r="T222" s="305"/>
      <c r="U222" s="305"/>
      <c r="V222" s="305"/>
      <c r="W222" s="305"/>
      <c r="X222" s="305"/>
      <c r="Y222" s="305"/>
      <c r="Z222" s="305"/>
    </row>
    <row r="223" spans="1:26" ht="21.75" customHeight="1" x14ac:dyDescent="0.6">
      <c r="A223" s="34"/>
      <c r="B223" s="35"/>
      <c r="C223" s="35"/>
      <c r="D223" s="249"/>
      <c r="E223" s="37"/>
      <c r="F223" s="34"/>
      <c r="G223" s="305"/>
      <c r="H223" s="305"/>
      <c r="I223" s="305"/>
      <c r="J223" s="305"/>
      <c r="K223" s="305"/>
      <c r="L223" s="305"/>
      <c r="M223" s="305"/>
      <c r="N223" s="305"/>
      <c r="O223" s="305"/>
      <c r="P223" s="305"/>
      <c r="Q223" s="305"/>
      <c r="R223" s="305"/>
      <c r="S223" s="305"/>
      <c r="T223" s="305"/>
      <c r="U223" s="305"/>
      <c r="V223" s="305"/>
      <c r="W223" s="305"/>
      <c r="X223" s="305"/>
      <c r="Y223" s="305"/>
      <c r="Z223" s="305"/>
    </row>
    <row r="224" spans="1:26" ht="21.75" customHeight="1" x14ac:dyDescent="0.6">
      <c r="A224" s="34"/>
      <c r="B224" s="35"/>
      <c r="C224" s="35"/>
      <c r="D224" s="249"/>
      <c r="E224" s="37"/>
      <c r="F224" s="34"/>
      <c r="G224" s="305"/>
      <c r="H224" s="305"/>
      <c r="I224" s="305"/>
      <c r="J224" s="305"/>
      <c r="K224" s="305"/>
      <c r="L224" s="305"/>
      <c r="M224" s="305"/>
      <c r="N224" s="305"/>
      <c r="O224" s="305"/>
      <c r="P224" s="305"/>
      <c r="Q224" s="305"/>
      <c r="R224" s="305"/>
      <c r="S224" s="305"/>
      <c r="T224" s="305"/>
      <c r="U224" s="305"/>
      <c r="V224" s="305"/>
      <c r="W224" s="305"/>
      <c r="X224" s="305"/>
      <c r="Y224" s="305"/>
      <c r="Z224" s="305"/>
    </row>
    <row r="225" spans="1:26" ht="21.75" customHeight="1" x14ac:dyDescent="0.6">
      <c r="A225" s="34"/>
      <c r="B225" s="35"/>
      <c r="C225" s="35"/>
      <c r="D225" s="249"/>
      <c r="E225" s="37"/>
      <c r="F225" s="34"/>
      <c r="G225" s="305"/>
      <c r="H225" s="305"/>
      <c r="I225" s="305"/>
      <c r="J225" s="305"/>
      <c r="K225" s="305"/>
      <c r="L225" s="305"/>
      <c r="M225" s="305"/>
      <c r="N225" s="305"/>
      <c r="O225" s="305"/>
      <c r="P225" s="305"/>
      <c r="Q225" s="305"/>
      <c r="R225" s="305"/>
      <c r="S225" s="305"/>
      <c r="T225" s="305"/>
      <c r="U225" s="305"/>
      <c r="V225" s="305"/>
      <c r="W225" s="305"/>
      <c r="X225" s="305"/>
      <c r="Y225" s="305"/>
      <c r="Z225" s="305"/>
    </row>
    <row r="226" spans="1:26" ht="21.75" customHeight="1" x14ac:dyDescent="0.6">
      <c r="A226" s="34"/>
      <c r="B226" s="35"/>
      <c r="C226" s="35"/>
      <c r="D226" s="249"/>
      <c r="E226" s="37"/>
      <c r="F226" s="34"/>
      <c r="G226" s="305"/>
      <c r="H226" s="305"/>
      <c r="I226" s="305"/>
      <c r="J226" s="305"/>
      <c r="K226" s="305"/>
      <c r="L226" s="305"/>
      <c r="M226" s="305"/>
      <c r="N226" s="305"/>
      <c r="O226" s="305"/>
      <c r="P226" s="305"/>
      <c r="Q226" s="305"/>
      <c r="R226" s="305"/>
      <c r="S226" s="305"/>
      <c r="T226" s="305"/>
      <c r="U226" s="305"/>
      <c r="V226" s="305"/>
      <c r="W226" s="305"/>
      <c r="X226" s="305"/>
      <c r="Y226" s="305"/>
      <c r="Z226" s="305"/>
    </row>
    <row r="227" spans="1:26" ht="21.75" customHeight="1" x14ac:dyDescent="0.6">
      <c r="A227" s="34"/>
      <c r="B227" s="35"/>
      <c r="C227" s="35"/>
      <c r="D227" s="249"/>
      <c r="E227" s="37"/>
      <c r="F227" s="34"/>
      <c r="G227" s="305"/>
      <c r="H227" s="305"/>
      <c r="I227" s="305"/>
      <c r="J227" s="305"/>
      <c r="K227" s="305"/>
      <c r="L227" s="305"/>
      <c r="M227" s="305"/>
      <c r="N227" s="305"/>
      <c r="O227" s="305"/>
      <c r="P227" s="305"/>
      <c r="Q227" s="305"/>
      <c r="R227" s="305"/>
      <c r="S227" s="305"/>
      <c r="T227" s="305"/>
      <c r="U227" s="305"/>
      <c r="V227" s="305"/>
      <c r="W227" s="305"/>
      <c r="X227" s="305"/>
      <c r="Y227" s="305"/>
      <c r="Z227" s="305"/>
    </row>
    <row r="228" spans="1:26" ht="21.75" customHeight="1" x14ac:dyDescent="0.6">
      <c r="A228" s="34"/>
      <c r="B228" s="35"/>
      <c r="C228" s="35"/>
      <c r="D228" s="249"/>
      <c r="E228" s="37"/>
      <c r="F228" s="34"/>
      <c r="G228" s="305"/>
      <c r="H228" s="305"/>
      <c r="I228" s="305"/>
      <c r="J228" s="305"/>
      <c r="K228" s="305"/>
      <c r="L228" s="305"/>
      <c r="M228" s="305"/>
      <c r="N228" s="305"/>
      <c r="O228" s="305"/>
      <c r="P228" s="305"/>
      <c r="Q228" s="305"/>
      <c r="R228" s="305"/>
      <c r="S228" s="305"/>
      <c r="T228" s="305"/>
      <c r="U228" s="305"/>
      <c r="V228" s="305"/>
      <c r="W228" s="305"/>
      <c r="X228" s="305"/>
      <c r="Y228" s="305"/>
      <c r="Z228" s="305"/>
    </row>
    <row r="229" spans="1:26" ht="21.75" customHeight="1" x14ac:dyDescent="0.6">
      <c r="A229" s="34"/>
      <c r="B229" s="35"/>
      <c r="C229" s="35"/>
      <c r="D229" s="249"/>
      <c r="E229" s="37"/>
      <c r="F229" s="34"/>
      <c r="G229" s="305"/>
      <c r="H229" s="305"/>
      <c r="I229" s="305"/>
      <c r="J229" s="305"/>
      <c r="K229" s="305"/>
      <c r="L229" s="305"/>
      <c r="M229" s="305"/>
      <c r="N229" s="305"/>
      <c r="O229" s="305"/>
      <c r="P229" s="305"/>
      <c r="Q229" s="305"/>
      <c r="R229" s="305"/>
      <c r="S229" s="305"/>
      <c r="T229" s="305"/>
      <c r="U229" s="305"/>
      <c r="V229" s="305"/>
      <c r="W229" s="305"/>
      <c r="X229" s="305"/>
      <c r="Y229" s="305"/>
      <c r="Z229" s="305"/>
    </row>
    <row r="230" spans="1:26" ht="21.75" customHeight="1" x14ac:dyDescent="0.6">
      <c r="A230" s="34"/>
      <c r="B230" s="35"/>
      <c r="C230" s="35"/>
      <c r="D230" s="249"/>
      <c r="E230" s="37"/>
      <c r="F230" s="34"/>
      <c r="G230" s="305"/>
      <c r="H230" s="305"/>
      <c r="I230" s="305"/>
      <c r="J230" s="305"/>
      <c r="K230" s="305"/>
      <c r="L230" s="305"/>
      <c r="M230" s="305"/>
      <c r="N230" s="305"/>
      <c r="O230" s="305"/>
      <c r="P230" s="305"/>
      <c r="Q230" s="305"/>
      <c r="R230" s="305"/>
      <c r="S230" s="305"/>
      <c r="T230" s="305"/>
      <c r="U230" s="305"/>
      <c r="V230" s="305"/>
      <c r="W230" s="305"/>
      <c r="X230" s="305"/>
      <c r="Y230" s="305"/>
      <c r="Z230" s="305"/>
    </row>
    <row r="231" spans="1:26" ht="21.75" customHeight="1" x14ac:dyDescent="0.6">
      <c r="A231" s="34"/>
      <c r="B231" s="35"/>
      <c r="C231" s="35"/>
      <c r="D231" s="249"/>
      <c r="E231" s="37"/>
      <c r="F231" s="34"/>
      <c r="G231" s="305"/>
      <c r="H231" s="305"/>
      <c r="I231" s="305"/>
      <c r="J231" s="305"/>
      <c r="K231" s="305"/>
      <c r="L231" s="305"/>
      <c r="M231" s="305"/>
      <c r="N231" s="305"/>
      <c r="O231" s="305"/>
      <c r="P231" s="305"/>
      <c r="Q231" s="305"/>
      <c r="R231" s="305"/>
      <c r="S231" s="305"/>
      <c r="T231" s="305"/>
      <c r="U231" s="305"/>
      <c r="V231" s="305"/>
      <c r="W231" s="305"/>
      <c r="X231" s="305"/>
      <c r="Y231" s="305"/>
      <c r="Z231" s="305"/>
    </row>
    <row r="232" spans="1:26" ht="21.75" customHeight="1" x14ac:dyDescent="0.6">
      <c r="A232" s="34"/>
      <c r="B232" s="35"/>
      <c r="C232" s="35"/>
      <c r="D232" s="249"/>
      <c r="E232" s="37"/>
      <c r="F232" s="34"/>
      <c r="G232" s="305"/>
      <c r="H232" s="305"/>
      <c r="I232" s="305"/>
      <c r="J232" s="305"/>
      <c r="K232" s="305"/>
      <c r="L232" s="305"/>
      <c r="M232" s="305"/>
      <c r="N232" s="305"/>
      <c r="O232" s="305"/>
      <c r="P232" s="305"/>
      <c r="Q232" s="305"/>
      <c r="R232" s="305"/>
      <c r="S232" s="305"/>
      <c r="T232" s="305"/>
      <c r="U232" s="305"/>
      <c r="V232" s="305"/>
      <c r="W232" s="305"/>
      <c r="X232" s="305"/>
      <c r="Y232" s="305"/>
      <c r="Z232" s="305"/>
    </row>
    <row r="233" spans="1:26" ht="21.75" customHeight="1" x14ac:dyDescent="0.6">
      <c r="A233" s="34"/>
      <c r="B233" s="35"/>
      <c r="C233" s="35"/>
      <c r="D233" s="249"/>
      <c r="E233" s="37"/>
      <c r="F233" s="34"/>
      <c r="G233" s="305"/>
      <c r="H233" s="305"/>
      <c r="I233" s="305"/>
      <c r="J233" s="305"/>
      <c r="K233" s="305"/>
      <c r="L233" s="305"/>
      <c r="M233" s="305"/>
      <c r="N233" s="305"/>
      <c r="O233" s="305"/>
      <c r="P233" s="305"/>
      <c r="Q233" s="305"/>
      <c r="R233" s="305"/>
      <c r="S233" s="305"/>
      <c r="T233" s="305"/>
      <c r="U233" s="305"/>
      <c r="V233" s="305"/>
      <c r="W233" s="305"/>
      <c r="X233" s="305"/>
      <c r="Y233" s="305"/>
      <c r="Z233" s="305"/>
    </row>
    <row r="234" spans="1:26" ht="21.75" customHeight="1" x14ac:dyDescent="0.6">
      <c r="A234" s="34"/>
      <c r="B234" s="35"/>
      <c r="C234" s="35"/>
      <c r="D234" s="249"/>
      <c r="E234" s="37"/>
      <c r="F234" s="34"/>
      <c r="G234" s="305"/>
      <c r="H234" s="305"/>
      <c r="I234" s="305"/>
      <c r="J234" s="305"/>
      <c r="K234" s="305"/>
      <c r="L234" s="305"/>
      <c r="M234" s="305"/>
      <c r="N234" s="305"/>
      <c r="O234" s="305"/>
      <c r="P234" s="305"/>
      <c r="Q234" s="305"/>
      <c r="R234" s="305"/>
      <c r="S234" s="305"/>
      <c r="T234" s="305"/>
      <c r="U234" s="305"/>
      <c r="V234" s="305"/>
      <c r="W234" s="305"/>
      <c r="X234" s="305"/>
      <c r="Y234" s="305"/>
      <c r="Z234" s="305"/>
    </row>
    <row r="235" spans="1:26" ht="21.75" customHeight="1" x14ac:dyDescent="0.6">
      <c r="A235" s="34"/>
      <c r="B235" s="35"/>
      <c r="C235" s="35"/>
      <c r="D235" s="249"/>
      <c r="E235" s="37"/>
      <c r="F235" s="34"/>
      <c r="G235" s="305"/>
      <c r="H235" s="305"/>
      <c r="I235" s="305"/>
      <c r="J235" s="305"/>
      <c r="K235" s="305"/>
      <c r="L235" s="305"/>
      <c r="M235" s="305"/>
      <c r="N235" s="305"/>
      <c r="O235" s="305"/>
      <c r="P235" s="305"/>
      <c r="Q235" s="305"/>
      <c r="R235" s="305"/>
      <c r="S235" s="305"/>
      <c r="T235" s="305"/>
      <c r="U235" s="305"/>
      <c r="V235" s="305"/>
      <c r="W235" s="305"/>
      <c r="X235" s="305"/>
      <c r="Y235" s="305"/>
      <c r="Z235" s="305"/>
    </row>
    <row r="236" spans="1:26" ht="21.75" customHeight="1" x14ac:dyDescent="0.6">
      <c r="A236" s="34"/>
      <c r="B236" s="35"/>
      <c r="C236" s="35"/>
      <c r="D236" s="249"/>
      <c r="E236" s="37"/>
      <c r="F236" s="34"/>
      <c r="G236" s="305"/>
      <c r="H236" s="305"/>
      <c r="I236" s="305"/>
      <c r="J236" s="305"/>
      <c r="K236" s="305"/>
      <c r="L236" s="305"/>
      <c r="M236" s="305"/>
      <c r="N236" s="305"/>
      <c r="O236" s="305"/>
      <c r="P236" s="305"/>
      <c r="Q236" s="305"/>
      <c r="R236" s="305"/>
      <c r="S236" s="305"/>
      <c r="T236" s="305"/>
      <c r="U236" s="305"/>
      <c r="V236" s="305"/>
      <c r="W236" s="305"/>
      <c r="X236" s="305"/>
      <c r="Y236" s="305"/>
      <c r="Z236" s="305"/>
    </row>
    <row r="237" spans="1:26" ht="21.75" customHeight="1" x14ac:dyDescent="0.6">
      <c r="A237" s="34"/>
      <c r="B237" s="35"/>
      <c r="C237" s="35"/>
      <c r="D237" s="249"/>
      <c r="E237" s="37"/>
      <c r="F237" s="34"/>
      <c r="G237" s="305"/>
      <c r="H237" s="305"/>
      <c r="I237" s="305"/>
      <c r="J237" s="305"/>
      <c r="K237" s="305"/>
      <c r="L237" s="305"/>
      <c r="M237" s="305"/>
      <c r="N237" s="305"/>
      <c r="O237" s="305"/>
      <c r="P237" s="305"/>
      <c r="Q237" s="305"/>
      <c r="R237" s="305"/>
      <c r="S237" s="305"/>
      <c r="T237" s="305"/>
      <c r="U237" s="305"/>
      <c r="V237" s="305"/>
      <c r="W237" s="305"/>
      <c r="X237" s="305"/>
      <c r="Y237" s="305"/>
      <c r="Z237" s="305"/>
    </row>
    <row r="238" spans="1:26" ht="21.75" customHeight="1" x14ac:dyDescent="0.6">
      <c r="A238" s="34"/>
      <c r="B238" s="35"/>
      <c r="C238" s="35"/>
      <c r="D238" s="249"/>
      <c r="E238" s="37"/>
      <c r="F238" s="34"/>
      <c r="G238" s="305"/>
      <c r="H238" s="305"/>
      <c r="I238" s="305"/>
      <c r="J238" s="305"/>
      <c r="K238" s="305"/>
      <c r="L238" s="305"/>
      <c r="M238" s="305"/>
      <c r="N238" s="305"/>
      <c r="O238" s="305"/>
      <c r="P238" s="305"/>
      <c r="Q238" s="305"/>
      <c r="R238" s="305"/>
      <c r="S238" s="305"/>
      <c r="T238" s="305"/>
      <c r="U238" s="305"/>
      <c r="V238" s="305"/>
      <c r="W238" s="305"/>
      <c r="X238" s="305"/>
      <c r="Y238" s="305"/>
      <c r="Z238" s="305"/>
    </row>
    <row r="239" spans="1:26" ht="21.75" customHeight="1" x14ac:dyDescent="0.6">
      <c r="A239" s="34"/>
      <c r="B239" s="35"/>
      <c r="C239" s="35"/>
      <c r="D239" s="249"/>
      <c r="E239" s="37"/>
      <c r="F239" s="34"/>
      <c r="G239" s="305"/>
      <c r="H239" s="305"/>
      <c r="I239" s="305"/>
      <c r="J239" s="305"/>
      <c r="K239" s="305"/>
      <c r="L239" s="305"/>
      <c r="M239" s="305"/>
      <c r="N239" s="305"/>
      <c r="O239" s="305"/>
      <c r="P239" s="305"/>
      <c r="Q239" s="305"/>
      <c r="R239" s="305"/>
      <c r="S239" s="305"/>
      <c r="T239" s="305"/>
      <c r="U239" s="305"/>
      <c r="V239" s="305"/>
      <c r="W239" s="305"/>
      <c r="X239" s="305"/>
      <c r="Y239" s="305"/>
      <c r="Z239" s="305"/>
    </row>
    <row r="240" spans="1:26" ht="21.75" customHeight="1" x14ac:dyDescent="0.6">
      <c r="A240" s="34"/>
      <c r="B240" s="35"/>
      <c r="C240" s="35"/>
      <c r="D240" s="249"/>
      <c r="E240" s="37"/>
      <c r="F240" s="34"/>
      <c r="G240" s="305"/>
      <c r="H240" s="305"/>
      <c r="I240" s="305"/>
      <c r="J240" s="305"/>
      <c r="K240" s="305"/>
      <c r="L240" s="305"/>
      <c r="M240" s="305"/>
      <c r="N240" s="305"/>
      <c r="O240" s="305"/>
      <c r="P240" s="305"/>
      <c r="Q240" s="305"/>
      <c r="R240" s="305"/>
      <c r="S240" s="305"/>
      <c r="T240" s="305"/>
      <c r="U240" s="305"/>
      <c r="V240" s="305"/>
      <c r="W240" s="305"/>
      <c r="X240" s="305"/>
      <c r="Y240" s="305"/>
      <c r="Z240" s="305"/>
    </row>
    <row r="241" spans="1:26" ht="21.75" customHeight="1" x14ac:dyDescent="0.6">
      <c r="A241" s="34"/>
      <c r="B241" s="35"/>
      <c r="C241" s="35"/>
      <c r="D241" s="249"/>
      <c r="E241" s="37"/>
      <c r="F241" s="34"/>
      <c r="G241" s="305"/>
      <c r="H241" s="305"/>
      <c r="I241" s="305"/>
      <c r="J241" s="305"/>
      <c r="K241" s="305"/>
      <c r="L241" s="305"/>
      <c r="M241" s="305"/>
      <c r="N241" s="305"/>
      <c r="O241" s="305"/>
      <c r="P241" s="305"/>
      <c r="Q241" s="305"/>
      <c r="R241" s="305"/>
      <c r="S241" s="305"/>
      <c r="T241" s="305"/>
      <c r="U241" s="305"/>
      <c r="V241" s="305"/>
      <c r="W241" s="305"/>
      <c r="X241" s="305"/>
      <c r="Y241" s="305"/>
      <c r="Z241" s="305"/>
    </row>
    <row r="242" spans="1:26" ht="21.75" customHeight="1" x14ac:dyDescent="0.6">
      <c r="A242" s="34"/>
      <c r="B242" s="35"/>
      <c r="C242" s="35"/>
      <c r="D242" s="249"/>
      <c r="E242" s="37"/>
      <c r="F242" s="34"/>
      <c r="G242" s="305"/>
      <c r="H242" s="305"/>
      <c r="I242" s="305"/>
      <c r="J242" s="305"/>
      <c r="K242" s="305"/>
      <c r="L242" s="305"/>
      <c r="M242" s="305"/>
      <c r="N242" s="305"/>
      <c r="O242" s="305"/>
      <c r="P242" s="305"/>
      <c r="Q242" s="305"/>
      <c r="R242" s="305"/>
      <c r="S242" s="305"/>
      <c r="T242" s="305"/>
      <c r="U242" s="305"/>
      <c r="V242" s="305"/>
      <c r="W242" s="305"/>
      <c r="X242" s="305"/>
      <c r="Y242" s="305"/>
      <c r="Z242" s="305"/>
    </row>
    <row r="243" spans="1:26" ht="21.75" customHeight="1" x14ac:dyDescent="0.6">
      <c r="A243" s="34"/>
      <c r="B243" s="35"/>
      <c r="C243" s="35"/>
      <c r="D243" s="249"/>
      <c r="E243" s="37"/>
      <c r="F243" s="34"/>
      <c r="G243" s="305"/>
      <c r="H243" s="305"/>
      <c r="I243" s="305"/>
      <c r="J243" s="305"/>
      <c r="K243" s="305"/>
      <c r="L243" s="305"/>
      <c r="M243" s="305"/>
      <c r="N243" s="305"/>
      <c r="O243" s="305"/>
      <c r="P243" s="305"/>
      <c r="Q243" s="305"/>
      <c r="R243" s="305"/>
      <c r="S243" s="305"/>
      <c r="T243" s="305"/>
      <c r="U243" s="305"/>
      <c r="V243" s="305"/>
      <c r="W243" s="305"/>
      <c r="X243" s="305"/>
      <c r="Y243" s="305"/>
      <c r="Z243" s="305"/>
    </row>
    <row r="244" spans="1:26" ht="21.75" customHeight="1" x14ac:dyDescent="0.6">
      <c r="A244" s="34"/>
      <c r="B244" s="35"/>
      <c r="C244" s="35"/>
      <c r="D244" s="249"/>
      <c r="E244" s="37"/>
      <c r="F244" s="34"/>
      <c r="G244" s="305"/>
      <c r="H244" s="305"/>
      <c r="I244" s="305"/>
      <c r="J244" s="305"/>
      <c r="K244" s="305"/>
      <c r="L244" s="305"/>
      <c r="M244" s="305"/>
      <c r="N244" s="305"/>
      <c r="O244" s="305"/>
      <c r="P244" s="305"/>
      <c r="Q244" s="305"/>
      <c r="R244" s="305"/>
      <c r="S244" s="305"/>
      <c r="T244" s="305"/>
      <c r="U244" s="305"/>
      <c r="V244" s="305"/>
      <c r="W244" s="305"/>
      <c r="X244" s="305"/>
      <c r="Y244" s="305"/>
      <c r="Z244" s="305"/>
    </row>
    <row r="245" spans="1:26" ht="15.75" customHeight="1" x14ac:dyDescent="0.25">
      <c r="A245" s="358"/>
      <c r="B245" s="358"/>
      <c r="C245" s="358"/>
      <c r="D245" s="358"/>
      <c r="E245" s="358"/>
      <c r="F245" s="358"/>
      <c r="G245" s="358"/>
      <c r="H245" s="358"/>
      <c r="I245" s="358"/>
      <c r="J245" s="358"/>
      <c r="K245" s="358"/>
      <c r="L245" s="358"/>
      <c r="M245" s="358"/>
      <c r="N245" s="358"/>
      <c r="O245" s="358"/>
      <c r="P245" s="358"/>
      <c r="Q245" s="358"/>
      <c r="R245" s="358"/>
      <c r="S245" s="358"/>
      <c r="T245" s="358"/>
      <c r="U245" s="358"/>
      <c r="V245" s="358"/>
      <c r="W245" s="358"/>
      <c r="X245" s="358"/>
      <c r="Y245" s="358"/>
      <c r="Z245" s="358"/>
    </row>
    <row r="246" spans="1:26" ht="15.75" customHeight="1" x14ac:dyDescent="0.25">
      <c r="A246" s="358"/>
      <c r="B246" s="358"/>
      <c r="C246" s="358"/>
      <c r="D246" s="358"/>
      <c r="E246" s="358"/>
      <c r="F246" s="358"/>
      <c r="G246" s="358"/>
      <c r="H246" s="358"/>
      <c r="I246" s="358"/>
      <c r="J246" s="358"/>
      <c r="K246" s="358"/>
      <c r="L246" s="358"/>
      <c r="M246" s="358"/>
      <c r="N246" s="358"/>
      <c r="O246" s="358"/>
      <c r="P246" s="358"/>
      <c r="Q246" s="358"/>
      <c r="R246" s="358"/>
      <c r="S246" s="358"/>
      <c r="T246" s="358"/>
      <c r="U246" s="358"/>
      <c r="V246" s="358"/>
      <c r="W246" s="358"/>
      <c r="X246" s="358"/>
      <c r="Y246" s="358"/>
      <c r="Z246" s="358"/>
    </row>
    <row r="247" spans="1:26" ht="15.75" customHeight="1" x14ac:dyDescent="0.25">
      <c r="A247" s="358"/>
      <c r="B247" s="358"/>
      <c r="C247" s="358"/>
      <c r="D247" s="358"/>
      <c r="E247" s="358"/>
      <c r="F247" s="358"/>
      <c r="G247" s="358"/>
      <c r="H247" s="358"/>
      <c r="I247" s="358"/>
      <c r="J247" s="358"/>
      <c r="K247" s="358"/>
      <c r="L247" s="358"/>
      <c r="M247" s="358"/>
      <c r="N247" s="358"/>
      <c r="O247" s="358"/>
      <c r="P247" s="358"/>
      <c r="Q247" s="358"/>
      <c r="R247" s="358"/>
      <c r="S247" s="358"/>
      <c r="T247" s="358"/>
      <c r="U247" s="358"/>
      <c r="V247" s="358"/>
      <c r="W247" s="358"/>
      <c r="X247" s="358"/>
      <c r="Y247" s="358"/>
      <c r="Z247" s="358"/>
    </row>
    <row r="248" spans="1:26" ht="15.75" customHeight="1" x14ac:dyDescent="0.25">
      <c r="A248" s="358"/>
      <c r="B248" s="358"/>
      <c r="C248" s="358"/>
      <c r="D248" s="358"/>
      <c r="E248" s="358"/>
      <c r="F248" s="358"/>
      <c r="G248" s="358"/>
      <c r="H248" s="358"/>
      <c r="I248" s="358"/>
      <c r="J248" s="358"/>
      <c r="K248" s="358"/>
      <c r="L248" s="358"/>
      <c r="M248" s="358"/>
      <c r="N248" s="358"/>
      <c r="O248" s="358"/>
      <c r="P248" s="358"/>
      <c r="Q248" s="358"/>
      <c r="R248" s="358"/>
      <c r="S248" s="358"/>
      <c r="T248" s="358"/>
      <c r="U248" s="358"/>
      <c r="V248" s="358"/>
      <c r="W248" s="358"/>
      <c r="X248" s="358"/>
      <c r="Y248" s="358"/>
      <c r="Z248" s="358"/>
    </row>
    <row r="249" spans="1:26" ht="15.75" customHeight="1" x14ac:dyDescent="0.25">
      <c r="A249" s="358"/>
      <c r="B249" s="358"/>
      <c r="C249" s="358"/>
      <c r="D249" s="358"/>
      <c r="E249" s="358"/>
      <c r="F249" s="358"/>
      <c r="G249" s="358"/>
      <c r="H249" s="358"/>
      <c r="I249" s="358"/>
      <c r="J249" s="358"/>
      <c r="K249" s="358"/>
      <c r="L249" s="358"/>
      <c r="M249" s="358"/>
      <c r="N249" s="358"/>
      <c r="O249" s="358"/>
      <c r="P249" s="358"/>
      <c r="Q249" s="358"/>
      <c r="R249" s="358"/>
      <c r="S249" s="358"/>
      <c r="T249" s="358"/>
      <c r="U249" s="358"/>
      <c r="V249" s="358"/>
      <c r="W249" s="358"/>
      <c r="X249" s="358"/>
      <c r="Y249" s="358"/>
      <c r="Z249" s="358"/>
    </row>
    <row r="250" spans="1:26" ht="15.75" customHeight="1" x14ac:dyDescent="0.25">
      <c r="A250" s="358"/>
      <c r="B250" s="358"/>
      <c r="C250" s="358"/>
      <c r="D250" s="358"/>
      <c r="E250" s="358"/>
      <c r="F250" s="358"/>
      <c r="G250" s="358"/>
      <c r="H250" s="358"/>
      <c r="I250" s="358"/>
      <c r="J250" s="358"/>
      <c r="K250" s="358"/>
      <c r="L250" s="358"/>
      <c r="M250" s="358"/>
      <c r="N250" s="358"/>
      <c r="O250" s="358"/>
      <c r="P250" s="358"/>
      <c r="Q250" s="358"/>
      <c r="R250" s="358"/>
      <c r="S250" s="358"/>
      <c r="T250" s="358"/>
      <c r="U250" s="358"/>
      <c r="V250" s="358"/>
      <c r="W250" s="358"/>
      <c r="X250" s="358"/>
      <c r="Y250" s="358"/>
      <c r="Z250" s="358"/>
    </row>
    <row r="251" spans="1:26" ht="15.75" customHeight="1" x14ac:dyDescent="0.25">
      <c r="A251" s="358"/>
      <c r="B251" s="358"/>
      <c r="C251" s="358"/>
      <c r="D251" s="358"/>
      <c r="E251" s="358"/>
      <c r="F251" s="358"/>
      <c r="G251" s="358"/>
      <c r="H251" s="358"/>
      <c r="I251" s="358"/>
      <c r="J251" s="358"/>
      <c r="K251" s="358"/>
      <c r="L251" s="358"/>
      <c r="M251" s="358"/>
      <c r="N251" s="358"/>
      <c r="O251" s="358"/>
      <c r="P251" s="358"/>
      <c r="Q251" s="358"/>
      <c r="R251" s="358"/>
      <c r="S251" s="358"/>
      <c r="T251" s="358"/>
      <c r="U251" s="358"/>
      <c r="V251" s="358"/>
      <c r="W251" s="358"/>
      <c r="X251" s="358"/>
      <c r="Y251" s="358"/>
      <c r="Z251" s="358"/>
    </row>
    <row r="252" spans="1:26" ht="15.75" customHeight="1" x14ac:dyDescent="0.25">
      <c r="A252" s="358"/>
      <c r="B252" s="358"/>
      <c r="C252" s="358"/>
      <c r="D252" s="358"/>
      <c r="E252" s="358"/>
      <c r="F252" s="358"/>
      <c r="G252" s="358"/>
      <c r="H252" s="358"/>
      <c r="I252" s="358"/>
      <c r="J252" s="358"/>
      <c r="K252" s="358"/>
      <c r="L252" s="358"/>
      <c r="M252" s="358"/>
      <c r="N252" s="358"/>
      <c r="O252" s="358"/>
      <c r="P252" s="358"/>
      <c r="Q252" s="358"/>
      <c r="R252" s="358"/>
      <c r="S252" s="358"/>
      <c r="T252" s="358"/>
      <c r="U252" s="358"/>
      <c r="V252" s="358"/>
      <c r="W252" s="358"/>
      <c r="X252" s="358"/>
      <c r="Y252" s="358"/>
      <c r="Z252" s="358"/>
    </row>
    <row r="253" spans="1:26" ht="15.75" customHeight="1" x14ac:dyDescent="0.25">
      <c r="A253" s="358"/>
      <c r="B253" s="358"/>
      <c r="C253" s="358"/>
      <c r="D253" s="358"/>
      <c r="E253" s="358"/>
      <c r="F253" s="358"/>
      <c r="G253" s="358"/>
      <c r="H253" s="358"/>
      <c r="I253" s="358"/>
      <c r="J253" s="358"/>
      <c r="K253" s="358"/>
      <c r="L253" s="358"/>
      <c r="M253" s="358"/>
      <c r="N253" s="358"/>
      <c r="O253" s="358"/>
      <c r="P253" s="358"/>
      <c r="Q253" s="358"/>
      <c r="R253" s="358"/>
      <c r="S253" s="358"/>
      <c r="T253" s="358"/>
      <c r="U253" s="358"/>
      <c r="V253" s="358"/>
      <c r="W253" s="358"/>
      <c r="X253" s="358"/>
      <c r="Y253" s="358"/>
      <c r="Z253" s="358"/>
    </row>
    <row r="254" spans="1:26" ht="15.75" customHeight="1" x14ac:dyDescent="0.25">
      <c r="A254" s="358"/>
      <c r="B254" s="358"/>
      <c r="C254" s="358"/>
      <c r="D254" s="358"/>
      <c r="E254" s="358"/>
      <c r="F254" s="358"/>
      <c r="G254" s="358"/>
      <c r="H254" s="358"/>
      <c r="I254" s="358"/>
      <c r="J254" s="358"/>
      <c r="K254" s="358"/>
      <c r="L254" s="358"/>
      <c r="M254" s="358"/>
      <c r="N254" s="358"/>
      <c r="O254" s="358"/>
      <c r="P254" s="358"/>
      <c r="Q254" s="358"/>
      <c r="R254" s="358"/>
      <c r="S254" s="358"/>
      <c r="T254" s="358"/>
      <c r="U254" s="358"/>
      <c r="V254" s="358"/>
      <c r="W254" s="358"/>
      <c r="X254" s="358"/>
      <c r="Y254" s="358"/>
      <c r="Z254" s="358"/>
    </row>
    <row r="255" spans="1:26" ht="15.75" customHeight="1" x14ac:dyDescent="0.25">
      <c r="A255" s="358"/>
      <c r="B255" s="358"/>
      <c r="C255" s="358"/>
      <c r="D255" s="358"/>
      <c r="E255" s="358"/>
      <c r="F255" s="358"/>
      <c r="G255" s="358"/>
      <c r="H255" s="358"/>
      <c r="I255" s="358"/>
      <c r="J255" s="358"/>
      <c r="K255" s="358"/>
      <c r="L255" s="358"/>
      <c r="M255" s="358"/>
      <c r="N255" s="358"/>
      <c r="O255" s="358"/>
      <c r="P255" s="358"/>
      <c r="Q255" s="358"/>
      <c r="R255" s="358"/>
      <c r="S255" s="358"/>
      <c r="T255" s="358"/>
      <c r="U255" s="358"/>
      <c r="V255" s="358"/>
      <c r="W255" s="358"/>
      <c r="X255" s="358"/>
      <c r="Y255" s="358"/>
      <c r="Z255" s="358"/>
    </row>
    <row r="256" spans="1:26" ht="15.75" customHeight="1" x14ac:dyDescent="0.25">
      <c r="A256" s="358"/>
      <c r="B256" s="358"/>
      <c r="C256" s="358"/>
      <c r="D256" s="358"/>
      <c r="E256" s="358"/>
      <c r="F256" s="358"/>
      <c r="G256" s="358"/>
      <c r="H256" s="358"/>
      <c r="I256" s="358"/>
      <c r="J256" s="358"/>
      <c r="K256" s="358"/>
      <c r="L256" s="358"/>
      <c r="M256" s="358"/>
      <c r="N256" s="358"/>
      <c r="O256" s="358"/>
      <c r="P256" s="358"/>
      <c r="Q256" s="358"/>
      <c r="R256" s="358"/>
      <c r="S256" s="358"/>
      <c r="T256" s="358"/>
      <c r="U256" s="358"/>
      <c r="V256" s="358"/>
      <c r="W256" s="358"/>
      <c r="X256" s="358"/>
      <c r="Y256" s="358"/>
      <c r="Z256" s="358"/>
    </row>
    <row r="257" spans="1:26" ht="15.75" customHeight="1" x14ac:dyDescent="0.25">
      <c r="A257" s="358"/>
      <c r="B257" s="358"/>
      <c r="C257" s="358"/>
      <c r="D257" s="358"/>
      <c r="E257" s="358"/>
      <c r="F257" s="358"/>
      <c r="G257" s="358"/>
      <c r="H257" s="358"/>
      <c r="I257" s="358"/>
      <c r="J257" s="358"/>
      <c r="K257" s="358"/>
      <c r="L257" s="358"/>
      <c r="M257" s="358"/>
      <c r="N257" s="358"/>
      <c r="O257" s="358"/>
      <c r="P257" s="358"/>
      <c r="Q257" s="358"/>
      <c r="R257" s="358"/>
      <c r="S257" s="358"/>
      <c r="T257" s="358"/>
      <c r="U257" s="358"/>
      <c r="V257" s="358"/>
      <c r="W257" s="358"/>
      <c r="X257" s="358"/>
      <c r="Y257" s="358"/>
      <c r="Z257" s="358"/>
    </row>
    <row r="258" spans="1:26" ht="15.75" customHeight="1" x14ac:dyDescent="0.25">
      <c r="A258" s="358"/>
      <c r="B258" s="358"/>
      <c r="C258" s="358"/>
      <c r="D258" s="358"/>
      <c r="E258" s="358"/>
      <c r="F258" s="358"/>
      <c r="G258" s="358"/>
      <c r="H258" s="358"/>
      <c r="I258" s="358"/>
      <c r="J258" s="358"/>
      <c r="K258" s="358"/>
      <c r="L258" s="358"/>
      <c r="M258" s="358"/>
      <c r="N258" s="358"/>
      <c r="O258" s="358"/>
      <c r="P258" s="358"/>
      <c r="Q258" s="358"/>
      <c r="R258" s="358"/>
      <c r="S258" s="358"/>
      <c r="T258" s="358"/>
      <c r="U258" s="358"/>
      <c r="V258" s="358"/>
      <c r="W258" s="358"/>
      <c r="X258" s="358"/>
      <c r="Y258" s="358"/>
      <c r="Z258" s="358"/>
    </row>
    <row r="259" spans="1:26" ht="15.75" customHeight="1" x14ac:dyDescent="0.25">
      <c r="A259" s="358"/>
      <c r="B259" s="358"/>
      <c r="C259" s="358"/>
      <c r="D259" s="358"/>
      <c r="E259" s="358"/>
      <c r="F259" s="358"/>
      <c r="G259" s="358"/>
      <c r="H259" s="358"/>
      <c r="I259" s="358"/>
      <c r="J259" s="358"/>
      <c r="K259" s="358"/>
      <c r="L259" s="358"/>
      <c r="M259" s="358"/>
      <c r="N259" s="358"/>
      <c r="O259" s="358"/>
      <c r="P259" s="358"/>
      <c r="Q259" s="358"/>
      <c r="R259" s="358"/>
      <c r="S259" s="358"/>
      <c r="T259" s="358"/>
      <c r="U259" s="358"/>
      <c r="V259" s="358"/>
      <c r="W259" s="358"/>
      <c r="X259" s="358"/>
      <c r="Y259" s="358"/>
      <c r="Z259" s="358"/>
    </row>
    <row r="260" spans="1:26" ht="15.75" customHeight="1" x14ac:dyDescent="0.25">
      <c r="A260" s="358"/>
      <c r="B260" s="358"/>
      <c r="C260" s="358"/>
      <c r="D260" s="358"/>
      <c r="E260" s="358"/>
      <c r="F260" s="358"/>
      <c r="G260" s="358"/>
      <c r="H260" s="358"/>
      <c r="I260" s="358"/>
      <c r="J260" s="358"/>
      <c r="K260" s="358"/>
      <c r="L260" s="358"/>
      <c r="M260" s="358"/>
      <c r="N260" s="358"/>
      <c r="O260" s="358"/>
      <c r="P260" s="358"/>
      <c r="Q260" s="358"/>
      <c r="R260" s="358"/>
      <c r="S260" s="358"/>
      <c r="T260" s="358"/>
      <c r="U260" s="358"/>
      <c r="V260" s="358"/>
      <c r="W260" s="358"/>
      <c r="X260" s="358"/>
      <c r="Y260" s="358"/>
      <c r="Z260" s="358"/>
    </row>
    <row r="261" spans="1:26" ht="15.75" customHeight="1" x14ac:dyDescent="0.25">
      <c r="A261" s="358"/>
      <c r="B261" s="358"/>
      <c r="C261" s="358"/>
      <c r="D261" s="358"/>
      <c r="E261" s="358"/>
      <c r="F261" s="358"/>
      <c r="G261" s="358"/>
      <c r="H261" s="358"/>
      <c r="I261" s="358"/>
      <c r="J261" s="358"/>
      <c r="K261" s="358"/>
      <c r="L261" s="358"/>
      <c r="M261" s="358"/>
      <c r="N261" s="358"/>
      <c r="O261" s="358"/>
      <c r="P261" s="358"/>
      <c r="Q261" s="358"/>
      <c r="R261" s="358"/>
      <c r="S261" s="358"/>
      <c r="T261" s="358"/>
      <c r="U261" s="358"/>
      <c r="V261" s="358"/>
      <c r="W261" s="358"/>
      <c r="X261" s="358"/>
      <c r="Y261" s="358"/>
      <c r="Z261" s="358"/>
    </row>
    <row r="262" spans="1:26" ht="15.75" customHeight="1" x14ac:dyDescent="0.25">
      <c r="A262" s="358"/>
      <c r="B262" s="358"/>
      <c r="C262" s="358"/>
      <c r="D262" s="358"/>
      <c r="E262" s="358"/>
      <c r="F262" s="358"/>
      <c r="G262" s="358"/>
      <c r="H262" s="358"/>
      <c r="I262" s="358"/>
      <c r="J262" s="358"/>
      <c r="K262" s="358"/>
      <c r="L262" s="358"/>
      <c r="M262" s="358"/>
      <c r="N262" s="358"/>
      <c r="O262" s="358"/>
      <c r="P262" s="358"/>
      <c r="Q262" s="358"/>
      <c r="R262" s="358"/>
      <c r="S262" s="358"/>
      <c r="T262" s="358"/>
      <c r="U262" s="358"/>
      <c r="V262" s="358"/>
      <c r="W262" s="358"/>
      <c r="X262" s="358"/>
      <c r="Y262" s="358"/>
      <c r="Z262" s="358"/>
    </row>
    <row r="263" spans="1:26" ht="15.75" customHeight="1" x14ac:dyDescent="0.25">
      <c r="A263" s="358"/>
      <c r="B263" s="358"/>
      <c r="C263" s="358"/>
      <c r="D263" s="358"/>
      <c r="E263" s="358"/>
      <c r="F263" s="358"/>
      <c r="G263" s="358"/>
      <c r="H263" s="358"/>
      <c r="I263" s="358"/>
      <c r="J263" s="358"/>
      <c r="K263" s="358"/>
      <c r="L263" s="358"/>
      <c r="M263" s="358"/>
      <c r="N263" s="358"/>
      <c r="O263" s="358"/>
      <c r="P263" s="358"/>
      <c r="Q263" s="358"/>
      <c r="R263" s="358"/>
      <c r="S263" s="358"/>
      <c r="T263" s="358"/>
      <c r="U263" s="358"/>
      <c r="V263" s="358"/>
      <c r="W263" s="358"/>
      <c r="X263" s="358"/>
      <c r="Y263" s="358"/>
      <c r="Z263" s="358"/>
    </row>
    <row r="264" spans="1:26" ht="15.75" customHeight="1" x14ac:dyDescent="0.25">
      <c r="A264" s="358"/>
      <c r="B264" s="358"/>
      <c r="C264" s="358"/>
      <c r="D264" s="358"/>
      <c r="E264" s="358"/>
      <c r="F264" s="358"/>
      <c r="G264" s="358"/>
      <c r="H264" s="358"/>
      <c r="I264" s="358"/>
      <c r="J264" s="358"/>
      <c r="K264" s="358"/>
      <c r="L264" s="358"/>
      <c r="M264" s="358"/>
      <c r="N264" s="358"/>
      <c r="O264" s="358"/>
      <c r="P264" s="358"/>
      <c r="Q264" s="358"/>
      <c r="R264" s="358"/>
      <c r="S264" s="358"/>
      <c r="T264" s="358"/>
      <c r="U264" s="358"/>
      <c r="V264" s="358"/>
      <c r="W264" s="358"/>
      <c r="X264" s="358"/>
      <c r="Y264" s="358"/>
      <c r="Z264" s="358"/>
    </row>
    <row r="265" spans="1:26" ht="15.75" customHeight="1" x14ac:dyDescent="0.25">
      <c r="A265" s="358"/>
      <c r="B265" s="358"/>
      <c r="C265" s="358"/>
      <c r="D265" s="358"/>
      <c r="E265" s="358"/>
      <c r="F265" s="358"/>
      <c r="G265" s="358"/>
      <c r="H265" s="358"/>
      <c r="I265" s="358"/>
      <c r="J265" s="358"/>
      <c r="K265" s="358"/>
      <c r="L265" s="358"/>
      <c r="M265" s="358"/>
      <c r="N265" s="358"/>
      <c r="O265" s="358"/>
      <c r="P265" s="358"/>
      <c r="Q265" s="358"/>
      <c r="R265" s="358"/>
      <c r="S265" s="358"/>
      <c r="T265" s="358"/>
      <c r="U265" s="358"/>
      <c r="V265" s="358"/>
      <c r="W265" s="358"/>
      <c r="X265" s="358"/>
      <c r="Y265" s="358"/>
      <c r="Z265" s="358"/>
    </row>
    <row r="266" spans="1:26" ht="15.75" customHeight="1" x14ac:dyDescent="0.25">
      <c r="A266" s="358"/>
      <c r="B266" s="358"/>
      <c r="C266" s="358"/>
      <c r="D266" s="358"/>
      <c r="E266" s="358"/>
      <c r="F266" s="358"/>
      <c r="G266" s="358"/>
      <c r="H266" s="358"/>
      <c r="I266" s="358"/>
      <c r="J266" s="358"/>
      <c r="K266" s="358"/>
      <c r="L266" s="358"/>
      <c r="M266" s="358"/>
      <c r="N266" s="358"/>
      <c r="O266" s="358"/>
      <c r="P266" s="358"/>
      <c r="Q266" s="358"/>
      <c r="R266" s="358"/>
      <c r="S266" s="358"/>
      <c r="T266" s="358"/>
      <c r="U266" s="358"/>
      <c r="V266" s="358"/>
      <c r="W266" s="358"/>
      <c r="X266" s="358"/>
      <c r="Y266" s="358"/>
      <c r="Z266" s="358"/>
    </row>
    <row r="267" spans="1:26" ht="15.75" customHeight="1" x14ac:dyDescent="0.25">
      <c r="A267" s="358"/>
      <c r="B267" s="358"/>
      <c r="C267" s="358"/>
      <c r="D267" s="358"/>
      <c r="E267" s="358"/>
      <c r="F267" s="358"/>
      <c r="G267" s="358"/>
      <c r="H267" s="358"/>
      <c r="I267" s="358"/>
      <c r="J267" s="358"/>
      <c r="K267" s="358"/>
      <c r="L267" s="358"/>
      <c r="M267" s="358"/>
      <c r="N267" s="358"/>
      <c r="O267" s="358"/>
      <c r="P267" s="358"/>
      <c r="Q267" s="358"/>
      <c r="R267" s="358"/>
      <c r="S267" s="358"/>
      <c r="T267" s="358"/>
      <c r="U267" s="358"/>
      <c r="V267" s="358"/>
      <c r="W267" s="358"/>
      <c r="X267" s="358"/>
      <c r="Y267" s="358"/>
      <c r="Z267" s="358"/>
    </row>
    <row r="268" spans="1:26" ht="15.75" customHeight="1" x14ac:dyDescent="0.25">
      <c r="A268" s="358"/>
      <c r="B268" s="358"/>
      <c r="C268" s="358"/>
      <c r="D268" s="358"/>
      <c r="E268" s="358"/>
      <c r="F268" s="358"/>
      <c r="G268" s="358"/>
      <c r="H268" s="358"/>
      <c r="I268" s="358"/>
      <c r="J268" s="358"/>
      <c r="K268" s="358"/>
      <c r="L268" s="358"/>
      <c r="M268" s="358"/>
      <c r="N268" s="358"/>
      <c r="O268" s="358"/>
      <c r="P268" s="358"/>
      <c r="Q268" s="358"/>
      <c r="R268" s="358"/>
      <c r="S268" s="358"/>
      <c r="T268" s="358"/>
      <c r="U268" s="358"/>
      <c r="V268" s="358"/>
      <c r="W268" s="358"/>
      <c r="X268" s="358"/>
      <c r="Y268" s="358"/>
      <c r="Z268" s="358"/>
    </row>
    <row r="269" spans="1:26" ht="15.75" customHeight="1" x14ac:dyDescent="0.25">
      <c r="A269" s="358"/>
      <c r="B269" s="358"/>
      <c r="C269" s="358"/>
      <c r="D269" s="358"/>
      <c r="E269" s="358"/>
      <c r="F269" s="358"/>
      <c r="G269" s="358"/>
      <c r="H269" s="358"/>
      <c r="I269" s="358"/>
      <c r="J269" s="358"/>
      <c r="K269" s="358"/>
      <c r="L269" s="358"/>
      <c r="M269" s="358"/>
      <c r="N269" s="358"/>
      <c r="O269" s="358"/>
      <c r="P269" s="358"/>
      <c r="Q269" s="358"/>
      <c r="R269" s="358"/>
      <c r="S269" s="358"/>
      <c r="T269" s="358"/>
      <c r="U269" s="358"/>
      <c r="V269" s="358"/>
      <c r="W269" s="358"/>
      <c r="X269" s="358"/>
      <c r="Y269" s="358"/>
      <c r="Z269" s="358"/>
    </row>
    <row r="270" spans="1:26" ht="15.75" customHeight="1" x14ac:dyDescent="0.25">
      <c r="A270" s="358"/>
      <c r="B270" s="358"/>
      <c r="C270" s="358"/>
      <c r="D270" s="358"/>
      <c r="E270" s="358"/>
      <c r="F270" s="358"/>
      <c r="G270" s="358"/>
      <c r="H270" s="358"/>
      <c r="I270" s="358"/>
      <c r="J270" s="358"/>
      <c r="K270" s="358"/>
      <c r="L270" s="358"/>
      <c r="M270" s="358"/>
      <c r="N270" s="358"/>
      <c r="O270" s="358"/>
      <c r="P270" s="358"/>
      <c r="Q270" s="358"/>
      <c r="R270" s="358"/>
      <c r="S270" s="358"/>
      <c r="T270" s="358"/>
      <c r="U270" s="358"/>
      <c r="V270" s="358"/>
      <c r="W270" s="358"/>
      <c r="X270" s="358"/>
      <c r="Y270" s="358"/>
      <c r="Z270" s="358"/>
    </row>
    <row r="271" spans="1:26" ht="15.75" customHeight="1" x14ac:dyDescent="0.25">
      <c r="A271" s="358"/>
      <c r="B271" s="358"/>
      <c r="C271" s="358"/>
      <c r="D271" s="358"/>
      <c r="E271" s="358"/>
      <c r="F271" s="358"/>
      <c r="G271" s="358"/>
      <c r="H271" s="358"/>
      <c r="I271" s="358"/>
      <c r="J271" s="358"/>
      <c r="K271" s="358"/>
      <c r="L271" s="358"/>
      <c r="M271" s="358"/>
      <c r="N271" s="358"/>
      <c r="O271" s="358"/>
      <c r="P271" s="358"/>
      <c r="Q271" s="358"/>
      <c r="R271" s="358"/>
      <c r="S271" s="358"/>
      <c r="T271" s="358"/>
      <c r="U271" s="358"/>
      <c r="V271" s="358"/>
      <c r="W271" s="358"/>
      <c r="X271" s="358"/>
      <c r="Y271" s="358"/>
      <c r="Z271" s="358"/>
    </row>
    <row r="272" spans="1:26" ht="15.75" customHeight="1" x14ac:dyDescent="0.25">
      <c r="A272" s="358"/>
      <c r="B272" s="358"/>
      <c r="C272" s="358"/>
      <c r="D272" s="358"/>
      <c r="E272" s="358"/>
      <c r="F272" s="358"/>
      <c r="G272" s="358"/>
      <c r="H272" s="358"/>
      <c r="I272" s="358"/>
      <c r="J272" s="358"/>
      <c r="K272" s="358"/>
      <c r="L272" s="358"/>
      <c r="M272" s="358"/>
      <c r="N272" s="358"/>
      <c r="O272" s="358"/>
      <c r="P272" s="358"/>
      <c r="Q272" s="358"/>
      <c r="R272" s="358"/>
      <c r="S272" s="358"/>
      <c r="T272" s="358"/>
      <c r="U272" s="358"/>
      <c r="V272" s="358"/>
      <c r="W272" s="358"/>
      <c r="X272" s="358"/>
      <c r="Y272" s="358"/>
      <c r="Z272" s="358"/>
    </row>
    <row r="273" spans="1:26" ht="15.75" customHeight="1" x14ac:dyDescent="0.25">
      <c r="A273" s="358"/>
      <c r="B273" s="358"/>
      <c r="C273" s="358"/>
      <c r="D273" s="358"/>
      <c r="E273" s="358"/>
      <c r="F273" s="358"/>
      <c r="G273" s="358"/>
      <c r="H273" s="358"/>
      <c r="I273" s="358"/>
      <c r="J273" s="358"/>
      <c r="K273" s="358"/>
      <c r="L273" s="358"/>
      <c r="M273" s="358"/>
      <c r="N273" s="358"/>
      <c r="O273" s="358"/>
      <c r="P273" s="358"/>
      <c r="Q273" s="358"/>
      <c r="R273" s="358"/>
      <c r="S273" s="358"/>
      <c r="T273" s="358"/>
      <c r="U273" s="358"/>
      <c r="V273" s="358"/>
      <c r="W273" s="358"/>
      <c r="X273" s="358"/>
      <c r="Y273" s="358"/>
      <c r="Z273" s="358"/>
    </row>
    <row r="274" spans="1:26" ht="15.75" customHeight="1" x14ac:dyDescent="0.25">
      <c r="A274" s="358"/>
      <c r="B274" s="358"/>
      <c r="C274" s="358"/>
      <c r="D274" s="358"/>
      <c r="E274" s="358"/>
      <c r="F274" s="358"/>
      <c r="G274" s="358"/>
      <c r="H274" s="358"/>
      <c r="I274" s="358"/>
      <c r="J274" s="358"/>
      <c r="K274" s="358"/>
      <c r="L274" s="358"/>
      <c r="M274" s="358"/>
      <c r="N274" s="358"/>
      <c r="O274" s="358"/>
      <c r="P274" s="358"/>
      <c r="Q274" s="358"/>
      <c r="R274" s="358"/>
      <c r="S274" s="358"/>
      <c r="T274" s="358"/>
      <c r="U274" s="358"/>
      <c r="V274" s="358"/>
      <c r="W274" s="358"/>
      <c r="X274" s="358"/>
      <c r="Y274" s="358"/>
      <c r="Z274" s="358"/>
    </row>
    <row r="275" spans="1:26" ht="15.75" customHeight="1" x14ac:dyDescent="0.25">
      <c r="A275" s="358"/>
      <c r="B275" s="358"/>
      <c r="C275" s="358"/>
      <c r="D275" s="358"/>
      <c r="E275" s="358"/>
      <c r="F275" s="358"/>
      <c r="G275" s="358"/>
      <c r="H275" s="358"/>
      <c r="I275" s="358"/>
      <c r="J275" s="358"/>
      <c r="K275" s="358"/>
      <c r="L275" s="358"/>
      <c r="M275" s="358"/>
      <c r="N275" s="358"/>
      <c r="O275" s="358"/>
      <c r="P275" s="358"/>
      <c r="Q275" s="358"/>
      <c r="R275" s="358"/>
      <c r="S275" s="358"/>
      <c r="T275" s="358"/>
      <c r="U275" s="358"/>
      <c r="V275" s="358"/>
      <c r="W275" s="358"/>
      <c r="X275" s="358"/>
      <c r="Y275" s="358"/>
      <c r="Z275" s="358"/>
    </row>
    <row r="276" spans="1:26" ht="15.75" customHeight="1" x14ac:dyDescent="0.25">
      <c r="A276" s="358"/>
      <c r="B276" s="358"/>
      <c r="C276" s="358"/>
      <c r="D276" s="358"/>
      <c r="E276" s="358"/>
      <c r="F276" s="358"/>
      <c r="G276" s="358"/>
      <c r="H276" s="358"/>
      <c r="I276" s="358"/>
      <c r="J276" s="358"/>
      <c r="K276" s="358"/>
      <c r="L276" s="358"/>
      <c r="M276" s="358"/>
      <c r="N276" s="358"/>
      <c r="O276" s="358"/>
      <c r="P276" s="358"/>
      <c r="Q276" s="358"/>
      <c r="R276" s="358"/>
      <c r="S276" s="358"/>
      <c r="T276" s="358"/>
      <c r="U276" s="358"/>
      <c r="V276" s="358"/>
      <c r="W276" s="358"/>
      <c r="X276" s="358"/>
      <c r="Y276" s="358"/>
      <c r="Z276" s="358"/>
    </row>
    <row r="277" spans="1:26" ht="15.75" customHeight="1" x14ac:dyDescent="0.25">
      <c r="A277" s="358"/>
      <c r="B277" s="358"/>
      <c r="C277" s="358"/>
      <c r="D277" s="358"/>
      <c r="E277" s="358"/>
      <c r="F277" s="358"/>
      <c r="G277" s="358"/>
      <c r="H277" s="358"/>
      <c r="I277" s="358"/>
      <c r="J277" s="358"/>
      <c r="K277" s="358"/>
      <c r="L277" s="358"/>
      <c r="M277" s="358"/>
      <c r="N277" s="358"/>
      <c r="O277" s="358"/>
      <c r="P277" s="358"/>
      <c r="Q277" s="358"/>
      <c r="R277" s="358"/>
      <c r="S277" s="358"/>
      <c r="T277" s="358"/>
      <c r="U277" s="358"/>
      <c r="V277" s="358"/>
      <c r="W277" s="358"/>
      <c r="X277" s="358"/>
      <c r="Y277" s="358"/>
      <c r="Z277" s="358"/>
    </row>
    <row r="278" spans="1:26" ht="15.75" customHeight="1" x14ac:dyDescent="0.25">
      <c r="A278" s="358"/>
      <c r="B278" s="358"/>
      <c r="C278" s="358"/>
      <c r="D278" s="358"/>
      <c r="E278" s="358"/>
      <c r="F278" s="358"/>
      <c r="G278" s="358"/>
      <c r="H278" s="358"/>
      <c r="I278" s="358"/>
      <c r="J278" s="358"/>
      <c r="K278" s="358"/>
      <c r="L278" s="358"/>
      <c r="M278" s="358"/>
      <c r="N278" s="358"/>
      <c r="O278" s="358"/>
      <c r="P278" s="358"/>
      <c r="Q278" s="358"/>
      <c r="R278" s="358"/>
      <c r="S278" s="358"/>
      <c r="T278" s="358"/>
      <c r="U278" s="358"/>
      <c r="V278" s="358"/>
      <c r="W278" s="358"/>
      <c r="X278" s="358"/>
      <c r="Y278" s="358"/>
      <c r="Z278" s="358"/>
    </row>
    <row r="279" spans="1:26" ht="15.75" customHeight="1" x14ac:dyDescent="0.25">
      <c r="A279" s="358"/>
      <c r="B279" s="358"/>
      <c r="C279" s="358"/>
      <c r="D279" s="358"/>
      <c r="E279" s="358"/>
      <c r="F279" s="358"/>
      <c r="G279" s="358"/>
      <c r="H279" s="358"/>
      <c r="I279" s="358"/>
      <c r="J279" s="358"/>
      <c r="K279" s="358"/>
      <c r="L279" s="358"/>
      <c r="M279" s="358"/>
      <c r="N279" s="358"/>
      <c r="O279" s="358"/>
      <c r="P279" s="358"/>
      <c r="Q279" s="358"/>
      <c r="R279" s="358"/>
      <c r="S279" s="358"/>
      <c r="T279" s="358"/>
      <c r="U279" s="358"/>
      <c r="V279" s="358"/>
      <c r="W279" s="358"/>
      <c r="X279" s="358"/>
      <c r="Y279" s="358"/>
      <c r="Z279" s="358"/>
    </row>
    <row r="280" spans="1:26" ht="15.75" customHeight="1" x14ac:dyDescent="0.25">
      <c r="A280" s="358"/>
      <c r="B280" s="358"/>
      <c r="C280" s="358"/>
      <c r="D280" s="358"/>
      <c r="E280" s="358"/>
      <c r="F280" s="358"/>
      <c r="G280" s="358"/>
      <c r="H280" s="358"/>
      <c r="I280" s="358"/>
      <c r="J280" s="358"/>
      <c r="K280" s="358"/>
      <c r="L280" s="358"/>
      <c r="M280" s="358"/>
      <c r="N280" s="358"/>
      <c r="O280" s="358"/>
      <c r="P280" s="358"/>
      <c r="Q280" s="358"/>
      <c r="R280" s="358"/>
      <c r="S280" s="358"/>
      <c r="T280" s="358"/>
      <c r="U280" s="358"/>
      <c r="V280" s="358"/>
      <c r="W280" s="358"/>
      <c r="X280" s="358"/>
      <c r="Y280" s="358"/>
      <c r="Z280" s="358"/>
    </row>
    <row r="281" spans="1:26" ht="15.75" customHeight="1" x14ac:dyDescent="0.25">
      <c r="A281" s="358"/>
      <c r="B281" s="358"/>
      <c r="C281" s="358"/>
      <c r="D281" s="358"/>
      <c r="E281" s="358"/>
      <c r="F281" s="358"/>
      <c r="G281" s="358"/>
      <c r="H281" s="358"/>
      <c r="I281" s="358"/>
      <c r="J281" s="358"/>
      <c r="K281" s="358"/>
      <c r="L281" s="358"/>
      <c r="M281" s="358"/>
      <c r="N281" s="358"/>
      <c r="O281" s="358"/>
      <c r="P281" s="358"/>
      <c r="Q281" s="358"/>
      <c r="R281" s="358"/>
      <c r="S281" s="358"/>
      <c r="T281" s="358"/>
      <c r="U281" s="358"/>
      <c r="V281" s="358"/>
      <c r="W281" s="358"/>
      <c r="X281" s="358"/>
      <c r="Y281" s="358"/>
      <c r="Z281" s="358"/>
    </row>
    <row r="282" spans="1:26" ht="15.75" customHeight="1" x14ac:dyDescent="0.25">
      <c r="A282" s="358"/>
      <c r="B282" s="358"/>
      <c r="C282" s="358"/>
      <c r="D282" s="358"/>
      <c r="E282" s="358"/>
      <c r="F282" s="358"/>
      <c r="G282" s="358"/>
      <c r="H282" s="358"/>
      <c r="I282" s="358"/>
      <c r="J282" s="358"/>
      <c r="K282" s="358"/>
      <c r="L282" s="358"/>
      <c r="M282" s="358"/>
      <c r="N282" s="358"/>
      <c r="O282" s="358"/>
      <c r="P282" s="358"/>
      <c r="Q282" s="358"/>
      <c r="R282" s="358"/>
      <c r="S282" s="358"/>
      <c r="T282" s="358"/>
      <c r="U282" s="358"/>
      <c r="V282" s="358"/>
      <c r="W282" s="358"/>
      <c r="X282" s="358"/>
      <c r="Y282" s="358"/>
      <c r="Z282" s="358"/>
    </row>
    <row r="283" spans="1:26" ht="15.75" customHeight="1" x14ac:dyDescent="0.25">
      <c r="A283" s="358"/>
      <c r="B283" s="358"/>
      <c r="C283" s="358"/>
      <c r="D283" s="358"/>
      <c r="E283" s="358"/>
      <c r="F283" s="358"/>
      <c r="G283" s="358"/>
      <c r="H283" s="358"/>
      <c r="I283" s="358"/>
      <c r="J283" s="358"/>
      <c r="K283" s="358"/>
      <c r="L283" s="358"/>
      <c r="M283" s="358"/>
      <c r="N283" s="358"/>
      <c r="O283" s="358"/>
      <c r="P283" s="358"/>
      <c r="Q283" s="358"/>
      <c r="R283" s="358"/>
      <c r="S283" s="358"/>
      <c r="T283" s="358"/>
      <c r="U283" s="358"/>
      <c r="V283" s="358"/>
      <c r="W283" s="358"/>
      <c r="X283" s="358"/>
      <c r="Y283" s="358"/>
      <c r="Z283" s="358"/>
    </row>
    <row r="284" spans="1:26" ht="15.75" customHeight="1" x14ac:dyDescent="0.25">
      <c r="A284" s="358"/>
      <c r="B284" s="358"/>
      <c r="C284" s="358"/>
      <c r="D284" s="358"/>
      <c r="E284" s="358"/>
      <c r="F284" s="358"/>
      <c r="G284" s="358"/>
      <c r="H284" s="358"/>
      <c r="I284" s="358"/>
      <c r="J284" s="358"/>
      <c r="K284" s="358"/>
      <c r="L284" s="358"/>
      <c r="M284" s="358"/>
      <c r="N284" s="358"/>
      <c r="O284" s="358"/>
      <c r="P284" s="358"/>
      <c r="Q284" s="358"/>
      <c r="R284" s="358"/>
      <c r="S284" s="358"/>
      <c r="T284" s="358"/>
      <c r="U284" s="358"/>
      <c r="V284" s="358"/>
      <c r="W284" s="358"/>
      <c r="X284" s="358"/>
      <c r="Y284" s="358"/>
      <c r="Z284" s="358"/>
    </row>
    <row r="285" spans="1:26" ht="15.75" customHeight="1" x14ac:dyDescent="0.25">
      <c r="A285" s="358"/>
      <c r="B285" s="358"/>
      <c r="C285" s="358"/>
      <c r="D285" s="358"/>
      <c r="E285" s="358"/>
      <c r="F285" s="358"/>
      <c r="G285" s="358"/>
      <c r="H285" s="358"/>
      <c r="I285" s="358"/>
      <c r="J285" s="358"/>
      <c r="K285" s="358"/>
      <c r="L285" s="358"/>
      <c r="M285" s="358"/>
      <c r="N285" s="358"/>
      <c r="O285" s="358"/>
      <c r="P285" s="358"/>
      <c r="Q285" s="358"/>
      <c r="R285" s="358"/>
      <c r="S285" s="358"/>
      <c r="T285" s="358"/>
      <c r="U285" s="358"/>
      <c r="V285" s="358"/>
      <c r="W285" s="358"/>
      <c r="X285" s="358"/>
      <c r="Y285" s="358"/>
      <c r="Z285" s="358"/>
    </row>
    <row r="286" spans="1:26" ht="15.75" customHeight="1" x14ac:dyDescent="0.25">
      <c r="A286" s="358"/>
      <c r="B286" s="358"/>
      <c r="C286" s="358"/>
      <c r="D286" s="358"/>
      <c r="E286" s="358"/>
      <c r="F286" s="358"/>
      <c r="G286" s="358"/>
      <c r="H286" s="358"/>
      <c r="I286" s="358"/>
      <c r="J286" s="358"/>
      <c r="K286" s="358"/>
      <c r="L286" s="358"/>
      <c r="M286" s="358"/>
      <c r="N286" s="358"/>
      <c r="O286" s="358"/>
      <c r="P286" s="358"/>
      <c r="Q286" s="358"/>
      <c r="R286" s="358"/>
      <c r="S286" s="358"/>
      <c r="T286" s="358"/>
      <c r="U286" s="358"/>
      <c r="V286" s="358"/>
      <c r="W286" s="358"/>
      <c r="X286" s="358"/>
      <c r="Y286" s="358"/>
      <c r="Z286" s="358"/>
    </row>
    <row r="287" spans="1:26" ht="15.75" customHeight="1" x14ac:dyDescent="0.25">
      <c r="A287" s="358"/>
      <c r="B287" s="358"/>
      <c r="C287" s="358"/>
      <c r="D287" s="358"/>
      <c r="E287" s="358"/>
      <c r="F287" s="358"/>
      <c r="G287" s="358"/>
      <c r="H287" s="358"/>
      <c r="I287" s="358"/>
      <c r="J287" s="358"/>
      <c r="K287" s="358"/>
      <c r="L287" s="358"/>
      <c r="M287" s="358"/>
      <c r="N287" s="358"/>
      <c r="O287" s="358"/>
      <c r="P287" s="358"/>
      <c r="Q287" s="358"/>
      <c r="R287" s="358"/>
      <c r="S287" s="358"/>
      <c r="T287" s="358"/>
      <c r="U287" s="358"/>
      <c r="V287" s="358"/>
      <c r="W287" s="358"/>
      <c r="X287" s="358"/>
      <c r="Y287" s="358"/>
      <c r="Z287" s="358"/>
    </row>
    <row r="288" spans="1:26" ht="15.75" customHeight="1" x14ac:dyDescent="0.25">
      <c r="A288" s="358"/>
      <c r="B288" s="358"/>
      <c r="C288" s="358"/>
      <c r="D288" s="358"/>
      <c r="E288" s="358"/>
      <c r="F288" s="358"/>
      <c r="G288" s="358"/>
      <c r="H288" s="358"/>
      <c r="I288" s="358"/>
      <c r="J288" s="358"/>
      <c r="K288" s="358"/>
      <c r="L288" s="358"/>
      <c r="M288" s="358"/>
      <c r="N288" s="358"/>
      <c r="O288" s="358"/>
      <c r="P288" s="358"/>
      <c r="Q288" s="358"/>
      <c r="R288" s="358"/>
      <c r="S288" s="358"/>
      <c r="T288" s="358"/>
      <c r="U288" s="358"/>
      <c r="V288" s="358"/>
      <c r="W288" s="358"/>
      <c r="X288" s="358"/>
      <c r="Y288" s="358"/>
      <c r="Z288" s="358"/>
    </row>
    <row r="289" spans="1:26" ht="15.75" customHeight="1" x14ac:dyDescent="0.25">
      <c r="A289" s="358"/>
      <c r="B289" s="358"/>
      <c r="C289" s="358"/>
      <c r="D289" s="358"/>
      <c r="E289" s="358"/>
      <c r="F289" s="358"/>
      <c r="G289" s="358"/>
      <c r="H289" s="358"/>
      <c r="I289" s="358"/>
      <c r="J289" s="358"/>
      <c r="K289" s="358"/>
      <c r="L289" s="358"/>
      <c r="M289" s="358"/>
      <c r="N289" s="358"/>
      <c r="O289" s="358"/>
      <c r="P289" s="358"/>
      <c r="Q289" s="358"/>
      <c r="R289" s="358"/>
      <c r="S289" s="358"/>
      <c r="T289" s="358"/>
      <c r="U289" s="358"/>
      <c r="V289" s="358"/>
      <c r="W289" s="358"/>
      <c r="X289" s="358"/>
      <c r="Y289" s="358"/>
      <c r="Z289" s="358"/>
    </row>
    <row r="290" spans="1:26" ht="15.75" customHeight="1" x14ac:dyDescent="0.25">
      <c r="A290" s="358"/>
      <c r="B290" s="358"/>
      <c r="C290" s="358"/>
      <c r="D290" s="358"/>
      <c r="E290" s="358"/>
      <c r="F290" s="358"/>
      <c r="G290" s="358"/>
      <c r="H290" s="358"/>
      <c r="I290" s="358"/>
      <c r="J290" s="358"/>
      <c r="K290" s="358"/>
      <c r="L290" s="358"/>
      <c r="M290" s="358"/>
      <c r="N290" s="358"/>
      <c r="O290" s="358"/>
      <c r="P290" s="358"/>
      <c r="Q290" s="358"/>
      <c r="R290" s="358"/>
      <c r="S290" s="358"/>
      <c r="T290" s="358"/>
      <c r="U290" s="358"/>
      <c r="V290" s="358"/>
      <c r="W290" s="358"/>
      <c r="X290" s="358"/>
      <c r="Y290" s="358"/>
      <c r="Z290" s="358"/>
    </row>
    <row r="291" spans="1:26" ht="15.75" customHeight="1" x14ac:dyDescent="0.25">
      <c r="A291" s="358"/>
      <c r="B291" s="358"/>
      <c r="C291" s="358"/>
      <c r="D291" s="358"/>
      <c r="E291" s="358"/>
      <c r="F291" s="358"/>
      <c r="G291" s="358"/>
      <c r="H291" s="358"/>
      <c r="I291" s="358"/>
      <c r="J291" s="358"/>
      <c r="K291" s="358"/>
      <c r="L291" s="358"/>
      <c r="M291" s="358"/>
      <c r="N291" s="358"/>
      <c r="O291" s="358"/>
      <c r="P291" s="358"/>
      <c r="Q291" s="358"/>
      <c r="R291" s="358"/>
      <c r="S291" s="358"/>
      <c r="T291" s="358"/>
      <c r="U291" s="358"/>
      <c r="V291" s="358"/>
      <c r="W291" s="358"/>
      <c r="X291" s="358"/>
      <c r="Y291" s="358"/>
      <c r="Z291" s="358"/>
    </row>
    <row r="292" spans="1:26" ht="15.75" customHeight="1" x14ac:dyDescent="0.25">
      <c r="A292" s="358"/>
      <c r="B292" s="358"/>
      <c r="C292" s="358"/>
      <c r="D292" s="358"/>
      <c r="E292" s="358"/>
      <c r="F292" s="358"/>
      <c r="G292" s="358"/>
      <c r="H292" s="358"/>
      <c r="I292" s="358"/>
      <c r="J292" s="358"/>
      <c r="K292" s="358"/>
      <c r="L292" s="358"/>
      <c r="M292" s="358"/>
      <c r="N292" s="358"/>
      <c r="O292" s="358"/>
      <c r="P292" s="358"/>
      <c r="Q292" s="358"/>
      <c r="R292" s="358"/>
      <c r="S292" s="358"/>
      <c r="T292" s="358"/>
      <c r="U292" s="358"/>
      <c r="V292" s="358"/>
      <c r="W292" s="358"/>
      <c r="X292" s="358"/>
      <c r="Y292" s="358"/>
      <c r="Z292" s="358"/>
    </row>
    <row r="293" spans="1:26" ht="15.75" customHeight="1" x14ac:dyDescent="0.25">
      <c r="A293" s="358"/>
      <c r="B293" s="358"/>
      <c r="C293" s="358"/>
      <c r="D293" s="358"/>
      <c r="E293" s="358"/>
      <c r="F293" s="358"/>
      <c r="G293" s="358"/>
      <c r="H293" s="358"/>
      <c r="I293" s="358"/>
      <c r="J293" s="358"/>
      <c r="K293" s="358"/>
      <c r="L293" s="358"/>
      <c r="M293" s="358"/>
      <c r="N293" s="358"/>
      <c r="O293" s="358"/>
      <c r="P293" s="358"/>
      <c r="Q293" s="358"/>
      <c r="R293" s="358"/>
      <c r="S293" s="358"/>
      <c r="T293" s="358"/>
      <c r="U293" s="358"/>
      <c r="V293" s="358"/>
      <c r="W293" s="358"/>
      <c r="X293" s="358"/>
      <c r="Y293" s="358"/>
      <c r="Z293" s="358"/>
    </row>
    <row r="294" spans="1:26" ht="15.75" customHeight="1" x14ac:dyDescent="0.25">
      <c r="A294" s="358"/>
      <c r="B294" s="358"/>
      <c r="C294" s="358"/>
      <c r="D294" s="358"/>
      <c r="E294" s="358"/>
      <c r="F294" s="358"/>
      <c r="G294" s="358"/>
      <c r="H294" s="358"/>
      <c r="I294" s="358"/>
      <c r="J294" s="358"/>
      <c r="K294" s="358"/>
      <c r="L294" s="358"/>
      <c r="M294" s="358"/>
      <c r="N294" s="358"/>
      <c r="O294" s="358"/>
      <c r="P294" s="358"/>
      <c r="Q294" s="358"/>
      <c r="R294" s="358"/>
      <c r="S294" s="358"/>
      <c r="T294" s="358"/>
      <c r="U294" s="358"/>
      <c r="V294" s="358"/>
      <c r="W294" s="358"/>
      <c r="X294" s="358"/>
      <c r="Y294" s="358"/>
      <c r="Z294" s="358"/>
    </row>
    <row r="295" spans="1:26" ht="15.75" customHeight="1" x14ac:dyDescent="0.25">
      <c r="A295" s="358"/>
      <c r="B295" s="358"/>
      <c r="C295" s="358"/>
      <c r="D295" s="358"/>
      <c r="E295" s="358"/>
      <c r="F295" s="358"/>
      <c r="G295" s="358"/>
      <c r="H295" s="358"/>
      <c r="I295" s="358"/>
      <c r="J295" s="358"/>
      <c r="K295" s="358"/>
      <c r="L295" s="358"/>
      <c r="M295" s="358"/>
      <c r="N295" s="358"/>
      <c r="O295" s="358"/>
      <c r="P295" s="358"/>
      <c r="Q295" s="358"/>
      <c r="R295" s="358"/>
      <c r="S295" s="358"/>
      <c r="T295" s="358"/>
      <c r="U295" s="358"/>
      <c r="V295" s="358"/>
      <c r="W295" s="358"/>
      <c r="X295" s="358"/>
      <c r="Y295" s="358"/>
      <c r="Z295" s="358"/>
    </row>
    <row r="296" spans="1:26" ht="15.75" customHeight="1" x14ac:dyDescent="0.25">
      <c r="A296" s="358"/>
      <c r="B296" s="358"/>
      <c r="C296" s="358"/>
      <c r="D296" s="358"/>
      <c r="E296" s="358"/>
      <c r="F296" s="358"/>
      <c r="G296" s="358"/>
      <c r="H296" s="358"/>
      <c r="I296" s="358"/>
      <c r="J296" s="358"/>
      <c r="K296" s="358"/>
      <c r="L296" s="358"/>
      <c r="M296" s="358"/>
      <c r="N296" s="358"/>
      <c r="O296" s="358"/>
      <c r="P296" s="358"/>
      <c r="Q296" s="358"/>
      <c r="R296" s="358"/>
      <c r="S296" s="358"/>
      <c r="T296" s="358"/>
      <c r="U296" s="358"/>
      <c r="V296" s="358"/>
      <c r="W296" s="358"/>
      <c r="X296" s="358"/>
      <c r="Y296" s="358"/>
      <c r="Z296" s="358"/>
    </row>
    <row r="297" spans="1:26" ht="15.75" customHeight="1" x14ac:dyDescent="0.25">
      <c r="A297" s="358"/>
      <c r="B297" s="358"/>
      <c r="C297" s="358"/>
      <c r="D297" s="358"/>
      <c r="E297" s="358"/>
      <c r="F297" s="358"/>
      <c r="G297" s="358"/>
      <c r="H297" s="358"/>
      <c r="I297" s="358"/>
      <c r="J297" s="358"/>
      <c r="K297" s="358"/>
      <c r="L297" s="358"/>
      <c r="M297" s="358"/>
      <c r="N297" s="358"/>
      <c r="O297" s="358"/>
      <c r="P297" s="358"/>
      <c r="Q297" s="358"/>
      <c r="R297" s="358"/>
      <c r="S297" s="358"/>
      <c r="T297" s="358"/>
      <c r="U297" s="358"/>
      <c r="V297" s="358"/>
      <c r="W297" s="358"/>
      <c r="X297" s="358"/>
      <c r="Y297" s="358"/>
      <c r="Z297" s="358"/>
    </row>
    <row r="298" spans="1:26" ht="15.75" customHeight="1" x14ac:dyDescent="0.25">
      <c r="A298" s="358"/>
      <c r="B298" s="358"/>
      <c r="C298" s="358"/>
      <c r="D298" s="358"/>
      <c r="E298" s="358"/>
      <c r="F298" s="358"/>
      <c r="G298" s="358"/>
      <c r="H298" s="358"/>
      <c r="I298" s="358"/>
      <c r="J298" s="358"/>
      <c r="K298" s="358"/>
      <c r="L298" s="358"/>
      <c r="M298" s="358"/>
      <c r="N298" s="358"/>
      <c r="O298" s="358"/>
      <c r="P298" s="358"/>
      <c r="Q298" s="358"/>
      <c r="R298" s="358"/>
      <c r="S298" s="358"/>
      <c r="T298" s="358"/>
      <c r="U298" s="358"/>
      <c r="V298" s="358"/>
      <c r="W298" s="358"/>
      <c r="X298" s="358"/>
      <c r="Y298" s="358"/>
      <c r="Z298" s="358"/>
    </row>
    <row r="299" spans="1:26" ht="15.75" customHeight="1" x14ac:dyDescent="0.25">
      <c r="A299" s="358"/>
      <c r="B299" s="358"/>
      <c r="C299" s="358"/>
      <c r="D299" s="358"/>
      <c r="E299" s="358"/>
      <c r="F299" s="358"/>
      <c r="G299" s="358"/>
      <c r="H299" s="358"/>
      <c r="I299" s="358"/>
      <c r="J299" s="358"/>
      <c r="K299" s="358"/>
      <c r="L299" s="358"/>
      <c r="M299" s="358"/>
      <c r="N299" s="358"/>
      <c r="O299" s="358"/>
      <c r="P299" s="358"/>
      <c r="Q299" s="358"/>
      <c r="R299" s="358"/>
      <c r="S299" s="358"/>
      <c r="T299" s="358"/>
      <c r="U299" s="358"/>
      <c r="V299" s="358"/>
      <c r="W299" s="358"/>
      <c r="X299" s="358"/>
      <c r="Y299" s="358"/>
      <c r="Z299" s="358"/>
    </row>
    <row r="300" spans="1:26" ht="15.75" customHeight="1" x14ac:dyDescent="0.25">
      <c r="A300" s="358"/>
      <c r="B300" s="358"/>
      <c r="C300" s="358"/>
      <c r="D300" s="358"/>
      <c r="E300" s="358"/>
      <c r="F300" s="358"/>
      <c r="G300" s="358"/>
      <c r="H300" s="358"/>
      <c r="I300" s="358"/>
      <c r="J300" s="358"/>
      <c r="K300" s="358"/>
      <c r="L300" s="358"/>
      <c r="M300" s="358"/>
      <c r="N300" s="358"/>
      <c r="O300" s="358"/>
      <c r="P300" s="358"/>
      <c r="Q300" s="358"/>
      <c r="R300" s="358"/>
      <c r="S300" s="358"/>
      <c r="T300" s="358"/>
      <c r="U300" s="358"/>
      <c r="V300" s="358"/>
      <c r="W300" s="358"/>
      <c r="X300" s="358"/>
      <c r="Y300" s="358"/>
      <c r="Z300" s="358"/>
    </row>
    <row r="301" spans="1:26" ht="15.75" customHeight="1" x14ac:dyDescent="0.25">
      <c r="A301" s="358"/>
      <c r="B301" s="358"/>
      <c r="C301" s="358"/>
      <c r="D301" s="358"/>
      <c r="E301" s="358"/>
      <c r="F301" s="358"/>
      <c r="G301" s="358"/>
      <c r="H301" s="358"/>
      <c r="I301" s="358"/>
      <c r="J301" s="358"/>
      <c r="K301" s="358"/>
      <c r="L301" s="358"/>
      <c r="M301" s="358"/>
      <c r="N301" s="358"/>
      <c r="O301" s="358"/>
      <c r="P301" s="358"/>
      <c r="Q301" s="358"/>
      <c r="R301" s="358"/>
      <c r="S301" s="358"/>
      <c r="T301" s="358"/>
      <c r="U301" s="358"/>
      <c r="V301" s="358"/>
      <c r="W301" s="358"/>
      <c r="X301" s="358"/>
      <c r="Y301" s="358"/>
      <c r="Z301" s="358"/>
    </row>
    <row r="302" spans="1:26" ht="15.75" customHeight="1" x14ac:dyDescent="0.25">
      <c r="A302" s="358"/>
      <c r="B302" s="358"/>
      <c r="C302" s="358"/>
      <c r="D302" s="358"/>
      <c r="E302" s="358"/>
      <c r="F302" s="358"/>
      <c r="G302" s="358"/>
      <c r="H302" s="358"/>
      <c r="I302" s="358"/>
      <c r="J302" s="358"/>
      <c r="K302" s="358"/>
      <c r="L302" s="358"/>
      <c r="M302" s="358"/>
      <c r="N302" s="358"/>
      <c r="O302" s="358"/>
      <c r="P302" s="358"/>
      <c r="Q302" s="358"/>
      <c r="R302" s="358"/>
      <c r="S302" s="358"/>
      <c r="T302" s="358"/>
      <c r="U302" s="358"/>
      <c r="V302" s="358"/>
      <c r="W302" s="358"/>
      <c r="X302" s="358"/>
      <c r="Y302" s="358"/>
      <c r="Z302" s="358"/>
    </row>
    <row r="303" spans="1:26" ht="15.75" customHeight="1" x14ac:dyDescent="0.25">
      <c r="A303" s="358"/>
      <c r="B303" s="358"/>
      <c r="C303" s="358"/>
      <c r="D303" s="358"/>
      <c r="E303" s="358"/>
      <c r="F303" s="358"/>
      <c r="G303" s="358"/>
      <c r="H303" s="358"/>
      <c r="I303" s="358"/>
      <c r="J303" s="358"/>
      <c r="K303" s="358"/>
      <c r="L303" s="358"/>
      <c r="M303" s="358"/>
      <c r="N303" s="358"/>
      <c r="O303" s="358"/>
      <c r="P303" s="358"/>
      <c r="Q303" s="358"/>
      <c r="R303" s="358"/>
      <c r="S303" s="358"/>
      <c r="T303" s="358"/>
      <c r="U303" s="358"/>
      <c r="V303" s="358"/>
      <c r="W303" s="358"/>
      <c r="X303" s="358"/>
      <c r="Y303" s="358"/>
      <c r="Z303" s="358"/>
    </row>
    <row r="304" spans="1:26" ht="15.75" customHeight="1" x14ac:dyDescent="0.25">
      <c r="A304" s="358"/>
      <c r="B304" s="358"/>
      <c r="C304" s="358"/>
      <c r="D304" s="358"/>
      <c r="E304" s="358"/>
      <c r="F304" s="358"/>
      <c r="G304" s="358"/>
      <c r="H304" s="358"/>
      <c r="I304" s="358"/>
      <c r="J304" s="358"/>
      <c r="K304" s="358"/>
      <c r="L304" s="358"/>
      <c r="M304" s="358"/>
      <c r="N304" s="358"/>
      <c r="O304" s="358"/>
      <c r="P304" s="358"/>
      <c r="Q304" s="358"/>
      <c r="R304" s="358"/>
      <c r="S304" s="358"/>
      <c r="T304" s="358"/>
      <c r="U304" s="358"/>
      <c r="V304" s="358"/>
      <c r="W304" s="358"/>
      <c r="X304" s="358"/>
      <c r="Y304" s="358"/>
      <c r="Z304" s="358"/>
    </row>
    <row r="305" spans="1:26" ht="15.75" customHeight="1" x14ac:dyDescent="0.25">
      <c r="A305" s="358"/>
      <c r="B305" s="358"/>
      <c r="C305" s="358"/>
      <c r="D305" s="358"/>
      <c r="E305" s="358"/>
      <c r="F305" s="358"/>
      <c r="G305" s="358"/>
      <c r="H305" s="358"/>
      <c r="I305" s="358"/>
      <c r="J305" s="358"/>
      <c r="K305" s="358"/>
      <c r="L305" s="358"/>
      <c r="M305" s="358"/>
      <c r="N305" s="358"/>
      <c r="O305" s="358"/>
      <c r="P305" s="358"/>
      <c r="Q305" s="358"/>
      <c r="R305" s="358"/>
      <c r="S305" s="358"/>
      <c r="T305" s="358"/>
      <c r="U305" s="358"/>
      <c r="V305" s="358"/>
      <c r="W305" s="358"/>
      <c r="X305" s="358"/>
      <c r="Y305" s="358"/>
      <c r="Z305" s="358"/>
    </row>
    <row r="306" spans="1:26" ht="15.75" customHeight="1" x14ac:dyDescent="0.25">
      <c r="A306" s="358"/>
      <c r="B306" s="358"/>
      <c r="C306" s="358"/>
      <c r="D306" s="358"/>
      <c r="E306" s="358"/>
      <c r="F306" s="358"/>
      <c r="G306" s="358"/>
      <c r="H306" s="358"/>
      <c r="I306" s="358"/>
      <c r="J306" s="358"/>
      <c r="K306" s="358"/>
      <c r="L306" s="358"/>
      <c r="M306" s="358"/>
      <c r="N306" s="358"/>
      <c r="O306" s="358"/>
      <c r="P306" s="358"/>
      <c r="Q306" s="358"/>
      <c r="R306" s="358"/>
      <c r="S306" s="358"/>
      <c r="T306" s="358"/>
      <c r="U306" s="358"/>
      <c r="V306" s="358"/>
      <c r="W306" s="358"/>
      <c r="X306" s="358"/>
      <c r="Y306" s="358"/>
      <c r="Z306" s="358"/>
    </row>
    <row r="307" spans="1:26" ht="15.75" customHeight="1" x14ac:dyDescent="0.25">
      <c r="A307" s="358"/>
      <c r="B307" s="358"/>
      <c r="C307" s="358"/>
      <c r="D307" s="358"/>
      <c r="E307" s="358"/>
      <c r="F307" s="358"/>
      <c r="G307" s="358"/>
      <c r="H307" s="358"/>
      <c r="I307" s="358"/>
      <c r="J307" s="358"/>
      <c r="K307" s="358"/>
      <c r="L307" s="358"/>
      <c r="M307" s="358"/>
      <c r="N307" s="358"/>
      <c r="O307" s="358"/>
      <c r="P307" s="358"/>
      <c r="Q307" s="358"/>
      <c r="R307" s="358"/>
      <c r="S307" s="358"/>
      <c r="T307" s="358"/>
      <c r="U307" s="358"/>
      <c r="V307" s="358"/>
      <c r="W307" s="358"/>
      <c r="X307" s="358"/>
      <c r="Y307" s="358"/>
      <c r="Z307" s="358"/>
    </row>
    <row r="308" spans="1:26" ht="15.75" customHeight="1" x14ac:dyDescent="0.25">
      <c r="A308" s="358"/>
      <c r="B308" s="358"/>
      <c r="C308" s="358"/>
      <c r="D308" s="358"/>
      <c r="E308" s="358"/>
      <c r="F308" s="358"/>
      <c r="G308" s="358"/>
      <c r="H308" s="358"/>
      <c r="I308" s="358"/>
      <c r="J308" s="358"/>
      <c r="K308" s="358"/>
      <c r="L308" s="358"/>
      <c r="M308" s="358"/>
      <c r="N308" s="358"/>
      <c r="O308" s="358"/>
      <c r="P308" s="358"/>
      <c r="Q308" s="358"/>
      <c r="R308" s="358"/>
      <c r="S308" s="358"/>
      <c r="T308" s="358"/>
      <c r="U308" s="358"/>
      <c r="V308" s="358"/>
      <c r="W308" s="358"/>
      <c r="X308" s="358"/>
      <c r="Y308" s="358"/>
      <c r="Z308" s="358"/>
    </row>
    <row r="309" spans="1:26" ht="15.75" customHeight="1" x14ac:dyDescent="0.25">
      <c r="A309" s="358"/>
      <c r="B309" s="358"/>
      <c r="C309" s="358"/>
      <c r="D309" s="358"/>
      <c r="E309" s="358"/>
      <c r="F309" s="358"/>
      <c r="G309" s="358"/>
      <c r="H309" s="358"/>
      <c r="I309" s="358"/>
      <c r="J309" s="358"/>
      <c r="K309" s="358"/>
      <c r="L309" s="358"/>
      <c r="M309" s="358"/>
      <c r="N309" s="358"/>
      <c r="O309" s="358"/>
      <c r="P309" s="358"/>
      <c r="Q309" s="358"/>
      <c r="R309" s="358"/>
      <c r="S309" s="358"/>
      <c r="T309" s="358"/>
      <c r="U309" s="358"/>
      <c r="V309" s="358"/>
      <c r="W309" s="358"/>
      <c r="X309" s="358"/>
      <c r="Y309" s="358"/>
      <c r="Z309" s="358"/>
    </row>
    <row r="310" spans="1:26" ht="15.75" customHeight="1" x14ac:dyDescent="0.25">
      <c r="A310" s="358"/>
      <c r="B310" s="358"/>
      <c r="C310" s="358"/>
      <c r="D310" s="358"/>
      <c r="E310" s="358"/>
      <c r="F310" s="358"/>
      <c r="G310" s="358"/>
      <c r="H310" s="358"/>
      <c r="I310" s="358"/>
      <c r="J310" s="358"/>
      <c r="K310" s="358"/>
      <c r="L310" s="358"/>
      <c r="M310" s="358"/>
      <c r="N310" s="358"/>
      <c r="O310" s="358"/>
      <c r="P310" s="358"/>
      <c r="Q310" s="358"/>
      <c r="R310" s="358"/>
      <c r="S310" s="358"/>
      <c r="T310" s="358"/>
      <c r="U310" s="358"/>
      <c r="V310" s="358"/>
      <c r="W310" s="358"/>
      <c r="X310" s="358"/>
      <c r="Y310" s="358"/>
      <c r="Z310" s="358"/>
    </row>
    <row r="311" spans="1:26" ht="15.75" customHeight="1" x14ac:dyDescent="0.25">
      <c r="A311" s="358"/>
      <c r="B311" s="358"/>
      <c r="C311" s="358"/>
      <c r="D311" s="358"/>
      <c r="E311" s="358"/>
      <c r="F311" s="358"/>
      <c r="G311" s="358"/>
      <c r="H311" s="358"/>
      <c r="I311" s="358"/>
      <c r="J311" s="358"/>
      <c r="K311" s="358"/>
      <c r="L311" s="358"/>
      <c r="M311" s="358"/>
      <c r="N311" s="358"/>
      <c r="O311" s="358"/>
      <c r="P311" s="358"/>
      <c r="Q311" s="358"/>
      <c r="R311" s="358"/>
      <c r="S311" s="358"/>
      <c r="T311" s="358"/>
      <c r="U311" s="358"/>
      <c r="V311" s="358"/>
      <c r="W311" s="358"/>
      <c r="X311" s="358"/>
      <c r="Y311" s="358"/>
      <c r="Z311" s="358"/>
    </row>
    <row r="312" spans="1:26" ht="15.75" customHeight="1" x14ac:dyDescent="0.25">
      <c r="A312" s="358"/>
      <c r="B312" s="358"/>
      <c r="C312" s="358"/>
      <c r="D312" s="358"/>
      <c r="E312" s="358"/>
      <c r="F312" s="358"/>
      <c r="G312" s="358"/>
      <c r="H312" s="358"/>
      <c r="I312" s="358"/>
      <c r="J312" s="358"/>
      <c r="K312" s="358"/>
      <c r="L312" s="358"/>
      <c r="M312" s="358"/>
      <c r="N312" s="358"/>
      <c r="O312" s="358"/>
      <c r="P312" s="358"/>
      <c r="Q312" s="358"/>
      <c r="R312" s="358"/>
      <c r="S312" s="358"/>
      <c r="T312" s="358"/>
      <c r="U312" s="358"/>
      <c r="V312" s="358"/>
      <c r="W312" s="358"/>
      <c r="X312" s="358"/>
      <c r="Y312" s="358"/>
      <c r="Z312" s="358"/>
    </row>
    <row r="313" spans="1:26" ht="15.75" customHeight="1" x14ac:dyDescent="0.25">
      <c r="A313" s="358"/>
      <c r="B313" s="358"/>
      <c r="C313" s="358"/>
      <c r="D313" s="358"/>
      <c r="E313" s="358"/>
      <c r="F313" s="358"/>
      <c r="G313" s="358"/>
      <c r="H313" s="358"/>
      <c r="I313" s="358"/>
      <c r="J313" s="358"/>
      <c r="K313" s="358"/>
      <c r="L313" s="358"/>
      <c r="M313" s="358"/>
      <c r="N313" s="358"/>
      <c r="O313" s="358"/>
      <c r="P313" s="358"/>
      <c r="Q313" s="358"/>
      <c r="R313" s="358"/>
      <c r="S313" s="358"/>
      <c r="T313" s="358"/>
      <c r="U313" s="358"/>
      <c r="V313" s="358"/>
      <c r="W313" s="358"/>
      <c r="X313" s="358"/>
      <c r="Y313" s="358"/>
      <c r="Z313" s="358"/>
    </row>
    <row r="314" spans="1:26" ht="15.75" customHeight="1" x14ac:dyDescent="0.25">
      <c r="A314" s="358"/>
      <c r="B314" s="358"/>
      <c r="C314" s="358"/>
      <c r="D314" s="358"/>
      <c r="E314" s="358"/>
      <c r="F314" s="358"/>
      <c r="G314" s="358"/>
      <c r="H314" s="358"/>
      <c r="I314" s="358"/>
      <c r="J314" s="358"/>
      <c r="K314" s="358"/>
      <c r="L314" s="358"/>
      <c r="M314" s="358"/>
      <c r="N314" s="358"/>
      <c r="O314" s="358"/>
      <c r="P314" s="358"/>
      <c r="Q314" s="358"/>
      <c r="R314" s="358"/>
      <c r="S314" s="358"/>
      <c r="T314" s="358"/>
      <c r="U314" s="358"/>
      <c r="V314" s="358"/>
      <c r="W314" s="358"/>
      <c r="X314" s="358"/>
      <c r="Y314" s="358"/>
      <c r="Z314" s="358"/>
    </row>
    <row r="315" spans="1:26" ht="15.75" customHeight="1" x14ac:dyDescent="0.25">
      <c r="A315" s="358"/>
      <c r="B315" s="358"/>
      <c r="C315" s="358"/>
      <c r="D315" s="358"/>
      <c r="E315" s="358"/>
      <c r="F315" s="358"/>
      <c r="G315" s="358"/>
      <c r="H315" s="358"/>
      <c r="I315" s="358"/>
      <c r="J315" s="358"/>
      <c r="K315" s="358"/>
      <c r="L315" s="358"/>
      <c r="M315" s="358"/>
      <c r="N315" s="358"/>
      <c r="O315" s="358"/>
      <c r="P315" s="358"/>
      <c r="Q315" s="358"/>
      <c r="R315" s="358"/>
      <c r="S315" s="358"/>
      <c r="T315" s="358"/>
      <c r="U315" s="358"/>
      <c r="V315" s="358"/>
      <c r="W315" s="358"/>
      <c r="X315" s="358"/>
      <c r="Y315" s="358"/>
      <c r="Z315" s="358"/>
    </row>
    <row r="316" spans="1:26" ht="15.75" customHeight="1" x14ac:dyDescent="0.25">
      <c r="A316" s="358"/>
      <c r="B316" s="358"/>
      <c r="C316" s="358"/>
      <c r="D316" s="358"/>
      <c r="E316" s="358"/>
      <c r="F316" s="358"/>
      <c r="G316" s="358"/>
      <c r="H316" s="358"/>
      <c r="I316" s="358"/>
      <c r="J316" s="358"/>
      <c r="K316" s="358"/>
      <c r="L316" s="358"/>
      <c r="M316" s="358"/>
      <c r="N316" s="358"/>
      <c r="O316" s="358"/>
      <c r="P316" s="358"/>
      <c r="Q316" s="358"/>
      <c r="R316" s="358"/>
      <c r="S316" s="358"/>
      <c r="T316" s="358"/>
      <c r="U316" s="358"/>
      <c r="V316" s="358"/>
      <c r="W316" s="358"/>
      <c r="X316" s="358"/>
      <c r="Y316" s="358"/>
      <c r="Z316" s="358"/>
    </row>
    <row r="317" spans="1:26" ht="15.75" customHeight="1" x14ac:dyDescent="0.25">
      <c r="A317" s="358"/>
      <c r="B317" s="358"/>
      <c r="C317" s="358"/>
      <c r="D317" s="358"/>
      <c r="E317" s="358"/>
      <c r="F317" s="358"/>
      <c r="G317" s="358"/>
      <c r="H317" s="358"/>
      <c r="I317" s="358"/>
      <c r="J317" s="358"/>
      <c r="K317" s="358"/>
      <c r="L317" s="358"/>
      <c r="M317" s="358"/>
      <c r="N317" s="358"/>
      <c r="O317" s="358"/>
      <c r="P317" s="358"/>
      <c r="Q317" s="358"/>
      <c r="R317" s="358"/>
      <c r="S317" s="358"/>
      <c r="T317" s="358"/>
      <c r="U317" s="358"/>
      <c r="V317" s="358"/>
      <c r="W317" s="358"/>
      <c r="X317" s="358"/>
      <c r="Y317" s="358"/>
      <c r="Z317" s="358"/>
    </row>
    <row r="318" spans="1:26" ht="15.75" customHeight="1" x14ac:dyDescent="0.25">
      <c r="A318" s="358"/>
      <c r="B318" s="358"/>
      <c r="C318" s="358"/>
      <c r="D318" s="358"/>
      <c r="E318" s="358"/>
      <c r="F318" s="358"/>
      <c r="G318" s="358"/>
      <c r="H318" s="358"/>
      <c r="I318" s="358"/>
      <c r="J318" s="358"/>
      <c r="K318" s="358"/>
      <c r="L318" s="358"/>
      <c r="M318" s="358"/>
      <c r="N318" s="358"/>
      <c r="O318" s="358"/>
      <c r="P318" s="358"/>
      <c r="Q318" s="358"/>
      <c r="R318" s="358"/>
      <c r="S318" s="358"/>
      <c r="T318" s="358"/>
      <c r="U318" s="358"/>
      <c r="V318" s="358"/>
      <c r="W318" s="358"/>
      <c r="X318" s="358"/>
      <c r="Y318" s="358"/>
      <c r="Z318" s="358"/>
    </row>
    <row r="319" spans="1:26" ht="15.75" customHeight="1" x14ac:dyDescent="0.25">
      <c r="A319" s="358"/>
      <c r="B319" s="358"/>
      <c r="C319" s="358"/>
      <c r="D319" s="358"/>
      <c r="E319" s="358"/>
      <c r="F319" s="358"/>
      <c r="G319" s="358"/>
      <c r="H319" s="358"/>
      <c r="I319" s="358"/>
      <c r="J319" s="358"/>
      <c r="K319" s="358"/>
      <c r="L319" s="358"/>
      <c r="M319" s="358"/>
      <c r="N319" s="358"/>
      <c r="O319" s="358"/>
      <c r="P319" s="358"/>
      <c r="Q319" s="358"/>
      <c r="R319" s="358"/>
      <c r="S319" s="358"/>
      <c r="T319" s="358"/>
      <c r="U319" s="358"/>
      <c r="V319" s="358"/>
      <c r="W319" s="358"/>
      <c r="X319" s="358"/>
      <c r="Y319" s="358"/>
      <c r="Z319" s="358"/>
    </row>
    <row r="320" spans="1:26" ht="15.75" customHeight="1" x14ac:dyDescent="0.25">
      <c r="A320" s="358"/>
      <c r="B320" s="358"/>
      <c r="C320" s="358"/>
      <c r="D320" s="358"/>
      <c r="E320" s="358"/>
      <c r="F320" s="358"/>
      <c r="G320" s="358"/>
      <c r="H320" s="358"/>
      <c r="I320" s="358"/>
      <c r="J320" s="358"/>
      <c r="K320" s="358"/>
      <c r="L320" s="358"/>
      <c r="M320" s="358"/>
      <c r="N320" s="358"/>
      <c r="O320" s="358"/>
      <c r="P320" s="358"/>
      <c r="Q320" s="358"/>
      <c r="R320" s="358"/>
      <c r="S320" s="358"/>
      <c r="T320" s="358"/>
      <c r="U320" s="358"/>
      <c r="V320" s="358"/>
      <c r="W320" s="358"/>
      <c r="X320" s="358"/>
      <c r="Y320" s="358"/>
      <c r="Z320" s="358"/>
    </row>
    <row r="321" spans="1:26" ht="15.75" customHeight="1" x14ac:dyDescent="0.25">
      <c r="A321" s="358"/>
      <c r="B321" s="358"/>
      <c r="C321" s="358"/>
      <c r="D321" s="358"/>
      <c r="E321" s="358"/>
      <c r="F321" s="358"/>
      <c r="G321" s="358"/>
      <c r="H321" s="358"/>
      <c r="I321" s="358"/>
      <c r="J321" s="358"/>
      <c r="K321" s="358"/>
      <c r="L321" s="358"/>
      <c r="M321" s="358"/>
      <c r="N321" s="358"/>
      <c r="O321" s="358"/>
      <c r="P321" s="358"/>
      <c r="Q321" s="358"/>
      <c r="R321" s="358"/>
      <c r="S321" s="358"/>
      <c r="T321" s="358"/>
      <c r="U321" s="358"/>
      <c r="V321" s="358"/>
      <c r="W321" s="358"/>
      <c r="X321" s="358"/>
      <c r="Y321" s="358"/>
      <c r="Z321" s="358"/>
    </row>
    <row r="322" spans="1:26" ht="15.75" customHeight="1" x14ac:dyDescent="0.25">
      <c r="A322" s="358"/>
      <c r="B322" s="358"/>
      <c r="C322" s="358"/>
      <c r="D322" s="358"/>
      <c r="E322" s="358"/>
      <c r="F322" s="358"/>
      <c r="G322" s="358"/>
      <c r="H322" s="358"/>
      <c r="I322" s="358"/>
      <c r="J322" s="358"/>
      <c r="K322" s="358"/>
      <c r="L322" s="358"/>
      <c r="M322" s="358"/>
      <c r="N322" s="358"/>
      <c r="O322" s="358"/>
      <c r="P322" s="358"/>
      <c r="Q322" s="358"/>
      <c r="R322" s="358"/>
      <c r="S322" s="358"/>
      <c r="T322" s="358"/>
      <c r="U322" s="358"/>
      <c r="V322" s="358"/>
      <c r="W322" s="358"/>
      <c r="X322" s="358"/>
      <c r="Y322" s="358"/>
      <c r="Z322" s="358"/>
    </row>
    <row r="323" spans="1:26" ht="15.75" customHeight="1" x14ac:dyDescent="0.25">
      <c r="A323" s="358"/>
      <c r="B323" s="358"/>
      <c r="C323" s="358"/>
      <c r="D323" s="358"/>
      <c r="E323" s="358"/>
      <c r="F323" s="358"/>
      <c r="G323" s="358"/>
      <c r="H323" s="358"/>
      <c r="I323" s="358"/>
      <c r="J323" s="358"/>
      <c r="K323" s="358"/>
      <c r="L323" s="358"/>
      <c r="M323" s="358"/>
      <c r="N323" s="358"/>
      <c r="O323" s="358"/>
      <c r="P323" s="358"/>
      <c r="Q323" s="358"/>
      <c r="R323" s="358"/>
      <c r="S323" s="358"/>
      <c r="T323" s="358"/>
      <c r="U323" s="358"/>
      <c r="V323" s="358"/>
      <c r="W323" s="358"/>
      <c r="X323" s="358"/>
      <c r="Y323" s="358"/>
      <c r="Z323" s="358"/>
    </row>
    <row r="324" spans="1:26" ht="15.75" customHeight="1" x14ac:dyDescent="0.25">
      <c r="A324" s="358"/>
      <c r="B324" s="358"/>
      <c r="C324" s="358"/>
      <c r="D324" s="358"/>
      <c r="E324" s="358"/>
      <c r="F324" s="358"/>
      <c r="G324" s="358"/>
      <c r="H324" s="358"/>
      <c r="I324" s="358"/>
      <c r="J324" s="358"/>
      <c r="K324" s="358"/>
      <c r="L324" s="358"/>
      <c r="M324" s="358"/>
      <c r="N324" s="358"/>
      <c r="O324" s="358"/>
      <c r="P324" s="358"/>
      <c r="Q324" s="358"/>
      <c r="R324" s="358"/>
      <c r="S324" s="358"/>
      <c r="T324" s="358"/>
      <c r="U324" s="358"/>
      <c r="V324" s="358"/>
      <c r="W324" s="358"/>
      <c r="X324" s="358"/>
      <c r="Y324" s="358"/>
      <c r="Z324" s="358"/>
    </row>
    <row r="325" spans="1:26" ht="15.75" customHeight="1" x14ac:dyDescent="0.25">
      <c r="A325" s="358"/>
      <c r="B325" s="358"/>
      <c r="C325" s="358"/>
      <c r="D325" s="358"/>
      <c r="E325" s="358"/>
      <c r="F325" s="358"/>
      <c r="G325" s="358"/>
      <c r="H325" s="358"/>
      <c r="I325" s="358"/>
      <c r="J325" s="358"/>
      <c r="K325" s="358"/>
      <c r="L325" s="358"/>
      <c r="M325" s="358"/>
      <c r="N325" s="358"/>
      <c r="O325" s="358"/>
      <c r="P325" s="358"/>
      <c r="Q325" s="358"/>
      <c r="R325" s="358"/>
      <c r="S325" s="358"/>
      <c r="T325" s="358"/>
      <c r="U325" s="358"/>
      <c r="V325" s="358"/>
      <c r="W325" s="358"/>
      <c r="X325" s="358"/>
      <c r="Y325" s="358"/>
      <c r="Z325" s="358"/>
    </row>
    <row r="326" spans="1:26" ht="15.75" customHeight="1" x14ac:dyDescent="0.25">
      <c r="A326" s="358"/>
      <c r="B326" s="358"/>
      <c r="C326" s="358"/>
      <c r="D326" s="358"/>
      <c r="E326" s="358"/>
      <c r="F326" s="358"/>
      <c r="G326" s="358"/>
      <c r="H326" s="358"/>
      <c r="I326" s="358"/>
      <c r="J326" s="358"/>
      <c r="K326" s="358"/>
      <c r="L326" s="358"/>
      <c r="M326" s="358"/>
      <c r="N326" s="358"/>
      <c r="O326" s="358"/>
      <c r="P326" s="358"/>
      <c r="Q326" s="358"/>
      <c r="R326" s="358"/>
      <c r="S326" s="358"/>
      <c r="T326" s="358"/>
      <c r="U326" s="358"/>
      <c r="V326" s="358"/>
      <c r="W326" s="358"/>
      <c r="X326" s="358"/>
      <c r="Y326" s="358"/>
      <c r="Z326" s="358"/>
    </row>
    <row r="327" spans="1:26" ht="15.75" customHeight="1" x14ac:dyDescent="0.25">
      <c r="A327" s="358"/>
      <c r="B327" s="358"/>
      <c r="C327" s="358"/>
      <c r="D327" s="358"/>
      <c r="E327" s="358"/>
      <c r="F327" s="358"/>
      <c r="G327" s="358"/>
      <c r="H327" s="358"/>
      <c r="I327" s="358"/>
      <c r="J327" s="358"/>
      <c r="K327" s="358"/>
      <c r="L327" s="358"/>
      <c r="M327" s="358"/>
      <c r="N327" s="358"/>
      <c r="O327" s="358"/>
      <c r="P327" s="358"/>
      <c r="Q327" s="358"/>
      <c r="R327" s="358"/>
      <c r="S327" s="358"/>
      <c r="T327" s="358"/>
      <c r="U327" s="358"/>
      <c r="V327" s="358"/>
      <c r="W327" s="358"/>
      <c r="X327" s="358"/>
      <c r="Y327" s="358"/>
      <c r="Z327" s="358"/>
    </row>
    <row r="328" spans="1:26" ht="15.75" customHeight="1" x14ac:dyDescent="0.25">
      <c r="A328" s="358"/>
      <c r="B328" s="358"/>
      <c r="C328" s="358"/>
      <c r="D328" s="358"/>
      <c r="E328" s="358"/>
      <c r="F328" s="358"/>
      <c r="G328" s="358"/>
      <c r="H328" s="358"/>
      <c r="I328" s="358"/>
      <c r="J328" s="358"/>
      <c r="K328" s="358"/>
      <c r="L328" s="358"/>
      <c r="M328" s="358"/>
      <c r="N328" s="358"/>
      <c r="O328" s="358"/>
      <c r="P328" s="358"/>
      <c r="Q328" s="358"/>
      <c r="R328" s="358"/>
      <c r="S328" s="358"/>
      <c r="T328" s="358"/>
      <c r="U328" s="358"/>
      <c r="V328" s="358"/>
      <c r="W328" s="358"/>
      <c r="X328" s="358"/>
      <c r="Y328" s="358"/>
      <c r="Z328" s="358"/>
    </row>
    <row r="329" spans="1:26" ht="15.75" customHeight="1" x14ac:dyDescent="0.25">
      <c r="A329" s="358"/>
      <c r="B329" s="358"/>
      <c r="C329" s="358"/>
      <c r="D329" s="358"/>
      <c r="E329" s="358"/>
      <c r="F329" s="358"/>
      <c r="G329" s="358"/>
      <c r="H329" s="358"/>
      <c r="I329" s="358"/>
      <c r="J329" s="358"/>
      <c r="K329" s="358"/>
      <c r="L329" s="358"/>
      <c r="M329" s="358"/>
      <c r="N329" s="358"/>
      <c r="O329" s="358"/>
      <c r="P329" s="358"/>
      <c r="Q329" s="358"/>
      <c r="R329" s="358"/>
      <c r="S329" s="358"/>
      <c r="T329" s="358"/>
      <c r="U329" s="358"/>
      <c r="V329" s="358"/>
      <c r="W329" s="358"/>
      <c r="X329" s="358"/>
      <c r="Y329" s="358"/>
      <c r="Z329" s="358"/>
    </row>
    <row r="330" spans="1:26" ht="15.75" customHeight="1" x14ac:dyDescent="0.25">
      <c r="A330" s="358"/>
      <c r="B330" s="358"/>
      <c r="C330" s="358"/>
      <c r="D330" s="358"/>
      <c r="E330" s="358"/>
      <c r="F330" s="358"/>
      <c r="G330" s="358"/>
      <c r="H330" s="358"/>
      <c r="I330" s="358"/>
      <c r="J330" s="358"/>
      <c r="K330" s="358"/>
      <c r="L330" s="358"/>
      <c r="M330" s="358"/>
      <c r="N330" s="358"/>
      <c r="O330" s="358"/>
      <c r="P330" s="358"/>
      <c r="Q330" s="358"/>
      <c r="R330" s="358"/>
      <c r="S330" s="358"/>
      <c r="T330" s="358"/>
      <c r="U330" s="358"/>
      <c r="V330" s="358"/>
      <c r="W330" s="358"/>
      <c r="X330" s="358"/>
      <c r="Y330" s="358"/>
      <c r="Z330" s="358"/>
    </row>
    <row r="331" spans="1:26" ht="15.75" customHeight="1" x14ac:dyDescent="0.25">
      <c r="A331" s="358"/>
      <c r="B331" s="358"/>
      <c r="C331" s="358"/>
      <c r="D331" s="358"/>
      <c r="E331" s="358"/>
      <c r="F331" s="358"/>
      <c r="G331" s="358"/>
      <c r="H331" s="358"/>
      <c r="I331" s="358"/>
      <c r="J331" s="358"/>
      <c r="K331" s="358"/>
      <c r="L331" s="358"/>
      <c r="M331" s="358"/>
      <c r="N331" s="358"/>
      <c r="O331" s="358"/>
      <c r="P331" s="358"/>
      <c r="Q331" s="358"/>
      <c r="R331" s="358"/>
      <c r="S331" s="358"/>
      <c r="T331" s="358"/>
      <c r="U331" s="358"/>
      <c r="V331" s="358"/>
      <c r="W331" s="358"/>
      <c r="X331" s="358"/>
      <c r="Y331" s="358"/>
      <c r="Z331" s="358"/>
    </row>
    <row r="332" spans="1:26" ht="15.75" customHeight="1" x14ac:dyDescent="0.25">
      <c r="A332" s="358"/>
      <c r="B332" s="358"/>
      <c r="C332" s="358"/>
      <c r="D332" s="358"/>
      <c r="E332" s="358"/>
      <c r="F332" s="358"/>
      <c r="G332" s="358"/>
      <c r="H332" s="358"/>
      <c r="I332" s="358"/>
      <c r="J332" s="358"/>
      <c r="K332" s="358"/>
      <c r="L332" s="358"/>
      <c r="M332" s="358"/>
      <c r="N332" s="358"/>
      <c r="O332" s="358"/>
      <c r="P332" s="358"/>
      <c r="Q332" s="358"/>
      <c r="R332" s="358"/>
      <c r="S332" s="358"/>
      <c r="T332" s="358"/>
      <c r="U332" s="358"/>
      <c r="V332" s="358"/>
      <c r="W332" s="358"/>
      <c r="X332" s="358"/>
      <c r="Y332" s="358"/>
      <c r="Z332" s="358"/>
    </row>
    <row r="333" spans="1:26" ht="15.75" customHeight="1" x14ac:dyDescent="0.25">
      <c r="A333" s="358"/>
      <c r="B333" s="358"/>
      <c r="C333" s="358"/>
      <c r="D333" s="358"/>
      <c r="E333" s="358"/>
      <c r="F333" s="358"/>
      <c r="G333" s="358"/>
      <c r="H333" s="358"/>
      <c r="I333" s="358"/>
      <c r="J333" s="358"/>
      <c r="K333" s="358"/>
      <c r="L333" s="358"/>
      <c r="M333" s="358"/>
      <c r="N333" s="358"/>
      <c r="O333" s="358"/>
      <c r="P333" s="358"/>
      <c r="Q333" s="358"/>
      <c r="R333" s="358"/>
      <c r="S333" s="358"/>
      <c r="T333" s="358"/>
      <c r="U333" s="358"/>
      <c r="V333" s="358"/>
      <c r="W333" s="358"/>
      <c r="X333" s="358"/>
      <c r="Y333" s="358"/>
      <c r="Z333" s="358"/>
    </row>
    <row r="334" spans="1:26" ht="15.75" customHeight="1" x14ac:dyDescent="0.25">
      <c r="A334" s="358"/>
      <c r="B334" s="358"/>
      <c r="C334" s="358"/>
      <c r="D334" s="358"/>
      <c r="E334" s="358"/>
      <c r="F334" s="358"/>
      <c r="G334" s="358"/>
      <c r="H334" s="358"/>
      <c r="I334" s="358"/>
      <c r="J334" s="358"/>
      <c r="K334" s="358"/>
      <c r="L334" s="358"/>
      <c r="M334" s="358"/>
      <c r="N334" s="358"/>
      <c r="O334" s="358"/>
      <c r="P334" s="358"/>
      <c r="Q334" s="358"/>
      <c r="R334" s="358"/>
      <c r="S334" s="358"/>
      <c r="T334" s="358"/>
      <c r="U334" s="358"/>
      <c r="V334" s="358"/>
      <c r="W334" s="358"/>
      <c r="X334" s="358"/>
      <c r="Y334" s="358"/>
      <c r="Z334" s="358"/>
    </row>
    <row r="335" spans="1:26" ht="15.75" customHeight="1" x14ac:dyDescent="0.25">
      <c r="A335" s="358"/>
      <c r="B335" s="358"/>
      <c r="C335" s="358"/>
      <c r="D335" s="358"/>
      <c r="E335" s="358"/>
      <c r="F335" s="358"/>
      <c r="G335" s="358"/>
      <c r="H335" s="358"/>
      <c r="I335" s="358"/>
      <c r="J335" s="358"/>
      <c r="K335" s="358"/>
      <c r="L335" s="358"/>
      <c r="M335" s="358"/>
      <c r="N335" s="358"/>
      <c r="O335" s="358"/>
      <c r="P335" s="358"/>
      <c r="Q335" s="358"/>
      <c r="R335" s="358"/>
      <c r="S335" s="358"/>
      <c r="T335" s="358"/>
      <c r="U335" s="358"/>
      <c r="V335" s="358"/>
      <c r="W335" s="358"/>
      <c r="X335" s="358"/>
      <c r="Y335" s="358"/>
      <c r="Z335" s="358"/>
    </row>
    <row r="336" spans="1:26" ht="15.75" customHeight="1" x14ac:dyDescent="0.25">
      <c r="A336" s="358"/>
      <c r="B336" s="358"/>
      <c r="C336" s="358"/>
      <c r="D336" s="358"/>
      <c r="E336" s="358"/>
      <c r="F336" s="358"/>
      <c r="G336" s="358"/>
      <c r="H336" s="358"/>
      <c r="I336" s="358"/>
      <c r="J336" s="358"/>
      <c r="K336" s="358"/>
      <c r="L336" s="358"/>
      <c r="M336" s="358"/>
      <c r="N336" s="358"/>
      <c r="O336" s="358"/>
      <c r="P336" s="358"/>
      <c r="Q336" s="358"/>
      <c r="R336" s="358"/>
      <c r="S336" s="358"/>
      <c r="T336" s="358"/>
      <c r="U336" s="358"/>
      <c r="V336" s="358"/>
      <c r="W336" s="358"/>
      <c r="X336" s="358"/>
      <c r="Y336" s="358"/>
      <c r="Z336" s="358"/>
    </row>
    <row r="337" spans="1:26" ht="15.75" customHeight="1" x14ac:dyDescent="0.25">
      <c r="A337" s="358"/>
      <c r="B337" s="358"/>
      <c r="C337" s="358"/>
      <c r="D337" s="358"/>
      <c r="E337" s="358"/>
      <c r="F337" s="358"/>
      <c r="G337" s="358"/>
      <c r="H337" s="358"/>
      <c r="I337" s="358"/>
      <c r="J337" s="358"/>
      <c r="K337" s="358"/>
      <c r="L337" s="358"/>
      <c r="M337" s="358"/>
      <c r="N337" s="358"/>
      <c r="O337" s="358"/>
      <c r="P337" s="358"/>
      <c r="Q337" s="358"/>
      <c r="R337" s="358"/>
      <c r="S337" s="358"/>
      <c r="T337" s="358"/>
      <c r="U337" s="358"/>
      <c r="V337" s="358"/>
      <c r="W337" s="358"/>
      <c r="X337" s="358"/>
      <c r="Y337" s="358"/>
      <c r="Z337" s="358"/>
    </row>
    <row r="338" spans="1:26" ht="15.75" customHeight="1" x14ac:dyDescent="0.25">
      <c r="A338" s="358"/>
      <c r="B338" s="358"/>
      <c r="C338" s="358"/>
      <c r="D338" s="358"/>
      <c r="E338" s="358"/>
      <c r="F338" s="358"/>
      <c r="G338" s="358"/>
      <c r="H338" s="358"/>
      <c r="I338" s="358"/>
      <c r="J338" s="358"/>
      <c r="K338" s="358"/>
      <c r="L338" s="358"/>
      <c r="M338" s="358"/>
      <c r="N338" s="358"/>
      <c r="O338" s="358"/>
      <c r="P338" s="358"/>
      <c r="Q338" s="358"/>
      <c r="R338" s="358"/>
      <c r="S338" s="358"/>
      <c r="T338" s="358"/>
      <c r="U338" s="358"/>
      <c r="V338" s="358"/>
      <c r="W338" s="358"/>
      <c r="X338" s="358"/>
      <c r="Y338" s="358"/>
      <c r="Z338" s="358"/>
    </row>
    <row r="339" spans="1:26" ht="15.75" customHeight="1" x14ac:dyDescent="0.25">
      <c r="A339" s="358"/>
      <c r="B339" s="358"/>
      <c r="C339" s="358"/>
      <c r="D339" s="358"/>
      <c r="E339" s="358"/>
      <c r="F339" s="358"/>
      <c r="G339" s="358"/>
      <c r="H339" s="358"/>
      <c r="I339" s="358"/>
      <c r="J339" s="358"/>
      <c r="K339" s="358"/>
      <c r="L339" s="358"/>
      <c r="M339" s="358"/>
      <c r="N339" s="358"/>
      <c r="O339" s="358"/>
      <c r="P339" s="358"/>
      <c r="Q339" s="358"/>
      <c r="R339" s="358"/>
      <c r="S339" s="358"/>
      <c r="T339" s="358"/>
      <c r="U339" s="358"/>
      <c r="V339" s="358"/>
      <c r="W339" s="358"/>
      <c r="X339" s="358"/>
      <c r="Y339" s="358"/>
      <c r="Z339" s="358"/>
    </row>
    <row r="340" spans="1:26" ht="15.75" customHeight="1" x14ac:dyDescent="0.25">
      <c r="A340" s="358"/>
      <c r="B340" s="358"/>
      <c r="C340" s="358"/>
      <c r="D340" s="358"/>
      <c r="E340" s="358"/>
      <c r="F340" s="358"/>
      <c r="G340" s="358"/>
      <c r="H340" s="358"/>
      <c r="I340" s="358"/>
      <c r="J340" s="358"/>
      <c r="K340" s="358"/>
      <c r="L340" s="358"/>
      <c r="M340" s="358"/>
      <c r="N340" s="358"/>
      <c r="O340" s="358"/>
      <c r="P340" s="358"/>
      <c r="Q340" s="358"/>
      <c r="R340" s="358"/>
      <c r="S340" s="358"/>
      <c r="T340" s="358"/>
      <c r="U340" s="358"/>
      <c r="V340" s="358"/>
      <c r="W340" s="358"/>
      <c r="X340" s="358"/>
      <c r="Y340" s="358"/>
      <c r="Z340" s="358"/>
    </row>
    <row r="341" spans="1:26" ht="15.75" customHeight="1" x14ac:dyDescent="0.25">
      <c r="A341" s="358"/>
      <c r="B341" s="358"/>
      <c r="C341" s="358"/>
      <c r="D341" s="358"/>
      <c r="E341" s="358"/>
      <c r="F341" s="358"/>
      <c r="G341" s="358"/>
      <c r="H341" s="358"/>
      <c r="I341" s="358"/>
      <c r="J341" s="358"/>
      <c r="K341" s="358"/>
      <c r="L341" s="358"/>
      <c r="M341" s="358"/>
      <c r="N341" s="358"/>
      <c r="O341" s="358"/>
      <c r="P341" s="358"/>
      <c r="Q341" s="358"/>
      <c r="R341" s="358"/>
      <c r="S341" s="358"/>
      <c r="T341" s="358"/>
      <c r="U341" s="358"/>
      <c r="V341" s="358"/>
      <c r="W341" s="358"/>
      <c r="X341" s="358"/>
      <c r="Y341" s="358"/>
      <c r="Z341" s="358"/>
    </row>
    <row r="342" spans="1:26" ht="15.75" customHeight="1" x14ac:dyDescent="0.25">
      <c r="A342" s="358"/>
      <c r="B342" s="358"/>
      <c r="C342" s="358"/>
      <c r="D342" s="358"/>
      <c r="E342" s="358"/>
      <c r="F342" s="358"/>
      <c r="G342" s="358"/>
      <c r="H342" s="358"/>
      <c r="I342" s="358"/>
      <c r="J342" s="358"/>
      <c r="K342" s="358"/>
      <c r="L342" s="358"/>
      <c r="M342" s="358"/>
      <c r="N342" s="358"/>
      <c r="O342" s="358"/>
      <c r="P342" s="358"/>
      <c r="Q342" s="358"/>
      <c r="R342" s="358"/>
      <c r="S342" s="358"/>
      <c r="T342" s="358"/>
      <c r="U342" s="358"/>
      <c r="V342" s="358"/>
      <c r="W342" s="358"/>
      <c r="X342" s="358"/>
      <c r="Y342" s="358"/>
      <c r="Z342" s="358"/>
    </row>
    <row r="343" spans="1:26" ht="15.75" customHeight="1" x14ac:dyDescent="0.25">
      <c r="A343" s="358"/>
      <c r="B343" s="358"/>
      <c r="C343" s="358"/>
      <c r="D343" s="358"/>
      <c r="E343" s="358"/>
      <c r="F343" s="358"/>
      <c r="G343" s="358"/>
      <c r="H343" s="358"/>
      <c r="I343" s="358"/>
      <c r="J343" s="358"/>
      <c r="K343" s="358"/>
      <c r="L343" s="358"/>
      <c r="M343" s="358"/>
      <c r="N343" s="358"/>
      <c r="O343" s="358"/>
      <c r="P343" s="358"/>
      <c r="Q343" s="358"/>
      <c r="R343" s="358"/>
      <c r="S343" s="358"/>
      <c r="T343" s="358"/>
      <c r="U343" s="358"/>
      <c r="V343" s="358"/>
      <c r="W343" s="358"/>
      <c r="X343" s="358"/>
      <c r="Y343" s="358"/>
      <c r="Z343" s="358"/>
    </row>
    <row r="344" spans="1:26" ht="15.75" customHeight="1" x14ac:dyDescent="0.25">
      <c r="A344" s="358"/>
      <c r="B344" s="358"/>
      <c r="C344" s="358"/>
      <c r="D344" s="358"/>
      <c r="E344" s="358"/>
      <c r="F344" s="358"/>
      <c r="G344" s="358"/>
      <c r="H344" s="358"/>
      <c r="I344" s="358"/>
      <c r="J344" s="358"/>
      <c r="K344" s="358"/>
      <c r="L344" s="358"/>
      <c r="M344" s="358"/>
      <c r="N344" s="358"/>
      <c r="O344" s="358"/>
      <c r="P344" s="358"/>
      <c r="Q344" s="358"/>
      <c r="R344" s="358"/>
      <c r="S344" s="358"/>
      <c r="T344" s="358"/>
      <c r="U344" s="358"/>
      <c r="V344" s="358"/>
      <c r="W344" s="358"/>
      <c r="X344" s="358"/>
      <c r="Y344" s="358"/>
      <c r="Z344" s="358"/>
    </row>
    <row r="345" spans="1:26" ht="15.75" customHeight="1" x14ac:dyDescent="0.25">
      <c r="A345" s="358"/>
      <c r="B345" s="358"/>
      <c r="C345" s="358"/>
      <c r="D345" s="358"/>
      <c r="E345" s="358"/>
      <c r="F345" s="358"/>
      <c r="G345" s="358"/>
      <c r="H345" s="358"/>
      <c r="I345" s="358"/>
      <c r="J345" s="358"/>
      <c r="K345" s="358"/>
      <c r="L345" s="358"/>
      <c r="M345" s="358"/>
      <c r="N345" s="358"/>
      <c r="O345" s="358"/>
      <c r="P345" s="358"/>
      <c r="Q345" s="358"/>
      <c r="R345" s="358"/>
      <c r="S345" s="358"/>
      <c r="T345" s="358"/>
      <c r="U345" s="358"/>
      <c r="V345" s="358"/>
      <c r="W345" s="358"/>
      <c r="X345" s="358"/>
      <c r="Y345" s="358"/>
      <c r="Z345" s="358"/>
    </row>
    <row r="346" spans="1:26" ht="15.75" customHeight="1" x14ac:dyDescent="0.25">
      <c r="A346" s="358"/>
      <c r="B346" s="358"/>
      <c r="C346" s="358"/>
      <c r="D346" s="358"/>
      <c r="E346" s="358"/>
      <c r="F346" s="358"/>
      <c r="G346" s="358"/>
      <c r="H346" s="358"/>
      <c r="I346" s="358"/>
      <c r="J346" s="358"/>
      <c r="K346" s="358"/>
      <c r="L346" s="358"/>
      <c r="M346" s="358"/>
      <c r="N346" s="358"/>
      <c r="O346" s="358"/>
      <c r="P346" s="358"/>
      <c r="Q346" s="358"/>
      <c r="R346" s="358"/>
      <c r="S346" s="358"/>
      <c r="T346" s="358"/>
      <c r="U346" s="358"/>
      <c r="V346" s="358"/>
      <c r="W346" s="358"/>
      <c r="X346" s="358"/>
      <c r="Y346" s="358"/>
      <c r="Z346" s="358"/>
    </row>
    <row r="347" spans="1:26" ht="15.75" customHeight="1" x14ac:dyDescent="0.25">
      <c r="A347" s="358"/>
      <c r="B347" s="358"/>
      <c r="C347" s="358"/>
      <c r="D347" s="358"/>
      <c r="E347" s="358"/>
      <c r="F347" s="358"/>
      <c r="G347" s="358"/>
      <c r="H347" s="358"/>
      <c r="I347" s="358"/>
      <c r="J347" s="358"/>
      <c r="K347" s="358"/>
      <c r="L347" s="358"/>
      <c r="M347" s="358"/>
      <c r="N347" s="358"/>
      <c r="O347" s="358"/>
      <c r="P347" s="358"/>
      <c r="Q347" s="358"/>
      <c r="R347" s="358"/>
      <c r="S347" s="358"/>
      <c r="T347" s="358"/>
      <c r="U347" s="358"/>
      <c r="V347" s="358"/>
      <c r="W347" s="358"/>
      <c r="X347" s="358"/>
      <c r="Y347" s="358"/>
      <c r="Z347" s="358"/>
    </row>
    <row r="348" spans="1:26" ht="15.75" customHeight="1" x14ac:dyDescent="0.25">
      <c r="A348" s="358"/>
      <c r="B348" s="358"/>
      <c r="C348" s="358"/>
      <c r="D348" s="358"/>
      <c r="E348" s="358"/>
      <c r="F348" s="358"/>
      <c r="G348" s="358"/>
      <c r="H348" s="358"/>
      <c r="I348" s="358"/>
      <c r="J348" s="358"/>
      <c r="K348" s="358"/>
      <c r="L348" s="358"/>
      <c r="M348" s="358"/>
      <c r="N348" s="358"/>
      <c r="O348" s="358"/>
      <c r="P348" s="358"/>
      <c r="Q348" s="358"/>
      <c r="R348" s="358"/>
      <c r="S348" s="358"/>
      <c r="T348" s="358"/>
      <c r="U348" s="358"/>
      <c r="V348" s="358"/>
      <c r="W348" s="358"/>
      <c r="X348" s="358"/>
      <c r="Y348" s="358"/>
      <c r="Z348" s="358"/>
    </row>
    <row r="349" spans="1:26" ht="15.75" customHeight="1" x14ac:dyDescent="0.25">
      <c r="A349" s="358"/>
      <c r="B349" s="358"/>
      <c r="C349" s="358"/>
      <c r="D349" s="358"/>
      <c r="E349" s="358"/>
      <c r="F349" s="358"/>
      <c r="G349" s="358"/>
      <c r="H349" s="358"/>
      <c r="I349" s="358"/>
      <c r="J349" s="358"/>
      <c r="K349" s="358"/>
      <c r="L349" s="358"/>
      <c r="M349" s="358"/>
      <c r="N349" s="358"/>
      <c r="O349" s="358"/>
      <c r="P349" s="358"/>
      <c r="Q349" s="358"/>
      <c r="R349" s="358"/>
      <c r="S349" s="358"/>
      <c r="T349" s="358"/>
      <c r="U349" s="358"/>
      <c r="V349" s="358"/>
      <c r="W349" s="358"/>
      <c r="X349" s="358"/>
      <c r="Y349" s="358"/>
      <c r="Z349" s="358"/>
    </row>
    <row r="350" spans="1:26" ht="15.75" customHeight="1" x14ac:dyDescent="0.25">
      <c r="A350" s="358"/>
      <c r="B350" s="358"/>
      <c r="C350" s="358"/>
      <c r="D350" s="358"/>
      <c r="E350" s="358"/>
      <c r="F350" s="358"/>
      <c r="G350" s="358"/>
      <c r="H350" s="358"/>
      <c r="I350" s="358"/>
      <c r="J350" s="358"/>
      <c r="K350" s="358"/>
      <c r="L350" s="358"/>
      <c r="M350" s="358"/>
      <c r="N350" s="358"/>
      <c r="O350" s="358"/>
      <c r="P350" s="358"/>
      <c r="Q350" s="358"/>
      <c r="R350" s="358"/>
      <c r="S350" s="358"/>
      <c r="T350" s="358"/>
      <c r="U350" s="358"/>
      <c r="V350" s="358"/>
      <c r="W350" s="358"/>
      <c r="X350" s="358"/>
      <c r="Y350" s="358"/>
      <c r="Z350" s="358"/>
    </row>
    <row r="351" spans="1:26" ht="15.75" customHeight="1" x14ac:dyDescent="0.25">
      <c r="A351" s="358"/>
      <c r="B351" s="358"/>
      <c r="C351" s="358"/>
      <c r="D351" s="358"/>
      <c r="E351" s="358"/>
      <c r="F351" s="358"/>
      <c r="G351" s="358"/>
      <c r="H351" s="358"/>
      <c r="I351" s="358"/>
      <c r="J351" s="358"/>
      <c r="K351" s="358"/>
      <c r="L351" s="358"/>
      <c r="M351" s="358"/>
      <c r="N351" s="358"/>
      <c r="O351" s="358"/>
      <c r="P351" s="358"/>
      <c r="Q351" s="358"/>
      <c r="R351" s="358"/>
      <c r="S351" s="358"/>
      <c r="T351" s="358"/>
      <c r="U351" s="358"/>
      <c r="V351" s="358"/>
      <c r="W351" s="358"/>
      <c r="X351" s="358"/>
      <c r="Y351" s="358"/>
      <c r="Z351" s="358"/>
    </row>
    <row r="352" spans="1:26" ht="15.75" customHeight="1" x14ac:dyDescent="0.25">
      <c r="A352" s="358"/>
      <c r="B352" s="358"/>
      <c r="C352" s="358"/>
      <c r="D352" s="358"/>
      <c r="E352" s="358"/>
      <c r="F352" s="358"/>
      <c r="G352" s="358"/>
      <c r="H352" s="358"/>
      <c r="I352" s="358"/>
      <c r="J352" s="358"/>
      <c r="K352" s="358"/>
      <c r="L352" s="358"/>
      <c r="M352" s="358"/>
      <c r="N352" s="358"/>
      <c r="O352" s="358"/>
      <c r="P352" s="358"/>
      <c r="Q352" s="358"/>
      <c r="R352" s="358"/>
      <c r="S352" s="358"/>
      <c r="T352" s="358"/>
      <c r="U352" s="358"/>
      <c r="V352" s="358"/>
      <c r="W352" s="358"/>
      <c r="X352" s="358"/>
      <c r="Y352" s="358"/>
      <c r="Z352" s="358"/>
    </row>
    <row r="353" spans="1:26" ht="15.75" customHeight="1" x14ac:dyDescent="0.25">
      <c r="A353" s="358"/>
      <c r="B353" s="358"/>
      <c r="C353" s="358"/>
      <c r="D353" s="358"/>
      <c r="E353" s="358"/>
      <c r="F353" s="358"/>
      <c r="G353" s="358"/>
      <c r="H353" s="358"/>
      <c r="I353" s="358"/>
      <c r="J353" s="358"/>
      <c r="K353" s="358"/>
      <c r="L353" s="358"/>
      <c r="M353" s="358"/>
      <c r="N353" s="358"/>
      <c r="O353" s="358"/>
      <c r="P353" s="358"/>
      <c r="Q353" s="358"/>
      <c r="R353" s="358"/>
      <c r="S353" s="358"/>
      <c r="T353" s="358"/>
      <c r="U353" s="358"/>
      <c r="V353" s="358"/>
      <c r="W353" s="358"/>
      <c r="X353" s="358"/>
      <c r="Y353" s="358"/>
      <c r="Z353" s="358"/>
    </row>
    <row r="354" spans="1:26" ht="15.75" customHeight="1" x14ac:dyDescent="0.25">
      <c r="A354" s="358"/>
      <c r="B354" s="358"/>
      <c r="C354" s="358"/>
      <c r="D354" s="358"/>
      <c r="E354" s="358"/>
      <c r="F354" s="358"/>
      <c r="G354" s="358"/>
      <c r="H354" s="358"/>
      <c r="I354" s="358"/>
      <c r="J354" s="358"/>
      <c r="K354" s="358"/>
      <c r="L354" s="358"/>
      <c r="M354" s="358"/>
      <c r="N354" s="358"/>
      <c r="O354" s="358"/>
      <c r="P354" s="358"/>
      <c r="Q354" s="358"/>
      <c r="R354" s="358"/>
      <c r="S354" s="358"/>
      <c r="T354" s="358"/>
      <c r="U354" s="358"/>
      <c r="V354" s="358"/>
      <c r="W354" s="358"/>
      <c r="X354" s="358"/>
      <c r="Y354" s="358"/>
      <c r="Z354" s="358"/>
    </row>
    <row r="355" spans="1:26" ht="15.75" customHeight="1" x14ac:dyDescent="0.25">
      <c r="A355" s="358"/>
      <c r="B355" s="358"/>
      <c r="C355" s="358"/>
      <c r="D355" s="358"/>
      <c r="E355" s="358"/>
      <c r="F355" s="358"/>
      <c r="G355" s="358"/>
      <c r="H355" s="358"/>
      <c r="I355" s="358"/>
      <c r="J355" s="358"/>
      <c r="K355" s="358"/>
      <c r="L355" s="358"/>
      <c r="M355" s="358"/>
      <c r="N355" s="358"/>
      <c r="O355" s="358"/>
      <c r="P355" s="358"/>
      <c r="Q355" s="358"/>
      <c r="R355" s="358"/>
      <c r="S355" s="358"/>
      <c r="T355" s="358"/>
      <c r="U355" s="358"/>
      <c r="V355" s="358"/>
      <c r="W355" s="358"/>
      <c r="X355" s="358"/>
      <c r="Y355" s="358"/>
      <c r="Z355" s="358"/>
    </row>
    <row r="356" spans="1:26" ht="15.75" customHeight="1" x14ac:dyDescent="0.25">
      <c r="A356" s="358"/>
      <c r="B356" s="358"/>
      <c r="C356" s="358"/>
      <c r="D356" s="358"/>
      <c r="E356" s="358"/>
      <c r="F356" s="358"/>
      <c r="G356" s="358"/>
      <c r="H356" s="358"/>
      <c r="I356" s="358"/>
      <c r="J356" s="358"/>
      <c r="K356" s="358"/>
      <c r="L356" s="358"/>
      <c r="M356" s="358"/>
      <c r="N356" s="358"/>
      <c r="O356" s="358"/>
      <c r="P356" s="358"/>
      <c r="Q356" s="358"/>
      <c r="R356" s="358"/>
      <c r="S356" s="358"/>
      <c r="T356" s="358"/>
      <c r="U356" s="358"/>
      <c r="V356" s="358"/>
      <c r="W356" s="358"/>
      <c r="X356" s="358"/>
      <c r="Y356" s="358"/>
      <c r="Z356" s="358"/>
    </row>
    <row r="357" spans="1:26" ht="15.75" customHeight="1" x14ac:dyDescent="0.25">
      <c r="A357" s="358"/>
      <c r="B357" s="358"/>
      <c r="C357" s="358"/>
      <c r="D357" s="358"/>
      <c r="E357" s="358"/>
      <c r="F357" s="358"/>
      <c r="G357" s="358"/>
      <c r="H357" s="358"/>
      <c r="I357" s="358"/>
      <c r="J357" s="358"/>
      <c r="K357" s="358"/>
      <c r="L357" s="358"/>
      <c r="M357" s="358"/>
      <c r="N357" s="358"/>
      <c r="O357" s="358"/>
      <c r="P357" s="358"/>
      <c r="Q357" s="358"/>
      <c r="R357" s="358"/>
      <c r="S357" s="358"/>
      <c r="T357" s="358"/>
      <c r="U357" s="358"/>
      <c r="V357" s="358"/>
      <c r="W357" s="358"/>
      <c r="X357" s="358"/>
      <c r="Y357" s="358"/>
      <c r="Z357" s="358"/>
    </row>
    <row r="358" spans="1:26" ht="15.75" customHeight="1" x14ac:dyDescent="0.25">
      <c r="A358" s="358"/>
      <c r="B358" s="358"/>
      <c r="C358" s="358"/>
      <c r="D358" s="358"/>
      <c r="E358" s="358"/>
      <c r="F358" s="358"/>
      <c r="G358" s="358"/>
      <c r="H358" s="358"/>
      <c r="I358" s="358"/>
      <c r="J358" s="358"/>
      <c r="K358" s="358"/>
      <c r="L358" s="358"/>
      <c r="M358" s="358"/>
      <c r="N358" s="358"/>
      <c r="O358" s="358"/>
      <c r="P358" s="358"/>
      <c r="Q358" s="358"/>
      <c r="R358" s="358"/>
      <c r="S358" s="358"/>
      <c r="T358" s="358"/>
      <c r="U358" s="358"/>
      <c r="V358" s="358"/>
      <c r="W358" s="358"/>
      <c r="X358" s="358"/>
      <c r="Y358" s="358"/>
      <c r="Z358" s="358"/>
    </row>
    <row r="359" spans="1:26" ht="15.75" customHeight="1" x14ac:dyDescent="0.25">
      <c r="A359" s="358"/>
      <c r="B359" s="358"/>
      <c r="C359" s="358"/>
      <c r="D359" s="358"/>
      <c r="E359" s="358"/>
      <c r="F359" s="358"/>
      <c r="G359" s="358"/>
      <c r="H359" s="358"/>
      <c r="I359" s="358"/>
      <c r="J359" s="358"/>
      <c r="K359" s="358"/>
      <c r="L359" s="358"/>
      <c r="M359" s="358"/>
      <c r="N359" s="358"/>
      <c r="O359" s="358"/>
      <c r="P359" s="358"/>
      <c r="Q359" s="358"/>
      <c r="R359" s="358"/>
      <c r="S359" s="358"/>
      <c r="T359" s="358"/>
      <c r="U359" s="358"/>
      <c r="V359" s="358"/>
      <c r="W359" s="358"/>
      <c r="X359" s="358"/>
      <c r="Y359" s="358"/>
      <c r="Z359" s="358"/>
    </row>
    <row r="360" spans="1:26" ht="15.75" customHeight="1" x14ac:dyDescent="0.25">
      <c r="A360" s="358"/>
      <c r="B360" s="358"/>
      <c r="C360" s="358"/>
      <c r="D360" s="358"/>
      <c r="E360" s="358"/>
      <c r="F360" s="358"/>
      <c r="G360" s="358"/>
      <c r="H360" s="358"/>
      <c r="I360" s="358"/>
      <c r="J360" s="358"/>
      <c r="K360" s="358"/>
      <c r="L360" s="358"/>
      <c r="M360" s="358"/>
      <c r="N360" s="358"/>
      <c r="O360" s="358"/>
      <c r="P360" s="358"/>
      <c r="Q360" s="358"/>
      <c r="R360" s="358"/>
      <c r="S360" s="358"/>
      <c r="T360" s="358"/>
      <c r="U360" s="358"/>
      <c r="V360" s="358"/>
      <c r="W360" s="358"/>
      <c r="X360" s="358"/>
      <c r="Y360" s="358"/>
      <c r="Z360" s="358"/>
    </row>
    <row r="361" spans="1:26" ht="15.75" customHeight="1" x14ac:dyDescent="0.25">
      <c r="A361" s="358"/>
      <c r="B361" s="358"/>
      <c r="C361" s="358"/>
      <c r="D361" s="358"/>
      <c r="E361" s="358"/>
      <c r="F361" s="358"/>
      <c r="G361" s="358"/>
      <c r="H361" s="358"/>
      <c r="I361" s="358"/>
      <c r="J361" s="358"/>
      <c r="K361" s="358"/>
      <c r="L361" s="358"/>
      <c r="M361" s="358"/>
      <c r="N361" s="358"/>
      <c r="O361" s="358"/>
      <c r="P361" s="358"/>
      <c r="Q361" s="358"/>
      <c r="R361" s="358"/>
      <c r="S361" s="358"/>
      <c r="T361" s="358"/>
      <c r="U361" s="358"/>
      <c r="V361" s="358"/>
      <c r="W361" s="358"/>
      <c r="X361" s="358"/>
      <c r="Y361" s="358"/>
      <c r="Z361" s="358"/>
    </row>
    <row r="362" spans="1:26" ht="15.75" customHeight="1" x14ac:dyDescent="0.25">
      <c r="A362" s="358"/>
      <c r="B362" s="358"/>
      <c r="C362" s="358"/>
      <c r="D362" s="358"/>
      <c r="E362" s="358"/>
      <c r="F362" s="358"/>
      <c r="G362" s="358"/>
      <c r="H362" s="358"/>
      <c r="I362" s="358"/>
      <c r="J362" s="358"/>
      <c r="K362" s="358"/>
      <c r="L362" s="358"/>
      <c r="M362" s="358"/>
      <c r="N362" s="358"/>
      <c r="O362" s="358"/>
      <c r="P362" s="358"/>
      <c r="Q362" s="358"/>
      <c r="R362" s="358"/>
      <c r="S362" s="358"/>
      <c r="T362" s="358"/>
      <c r="U362" s="358"/>
      <c r="V362" s="358"/>
      <c r="W362" s="358"/>
      <c r="X362" s="358"/>
      <c r="Y362" s="358"/>
      <c r="Z362" s="358"/>
    </row>
    <row r="363" spans="1:26" ht="15.75" customHeight="1" x14ac:dyDescent="0.25">
      <c r="A363" s="358"/>
      <c r="B363" s="358"/>
      <c r="C363" s="358"/>
      <c r="D363" s="358"/>
      <c r="E363" s="358"/>
      <c r="F363" s="358"/>
      <c r="G363" s="358"/>
      <c r="H363" s="358"/>
      <c r="I363" s="358"/>
      <c r="J363" s="358"/>
      <c r="K363" s="358"/>
      <c r="L363" s="358"/>
      <c r="M363" s="358"/>
      <c r="N363" s="358"/>
      <c r="O363" s="358"/>
      <c r="P363" s="358"/>
      <c r="Q363" s="358"/>
      <c r="R363" s="358"/>
      <c r="S363" s="358"/>
      <c r="T363" s="358"/>
      <c r="U363" s="358"/>
      <c r="V363" s="358"/>
      <c r="W363" s="358"/>
      <c r="X363" s="358"/>
      <c r="Y363" s="358"/>
      <c r="Z363" s="358"/>
    </row>
    <row r="364" spans="1:26" ht="15.75" customHeight="1" x14ac:dyDescent="0.25">
      <c r="A364" s="358"/>
      <c r="B364" s="358"/>
      <c r="C364" s="358"/>
      <c r="D364" s="358"/>
      <c r="E364" s="358"/>
      <c r="F364" s="358"/>
      <c r="G364" s="358"/>
      <c r="H364" s="358"/>
      <c r="I364" s="358"/>
      <c r="J364" s="358"/>
      <c r="K364" s="358"/>
      <c r="L364" s="358"/>
      <c r="M364" s="358"/>
      <c r="N364" s="358"/>
      <c r="O364" s="358"/>
      <c r="P364" s="358"/>
      <c r="Q364" s="358"/>
      <c r="R364" s="358"/>
      <c r="S364" s="358"/>
      <c r="T364" s="358"/>
      <c r="U364" s="358"/>
      <c r="V364" s="358"/>
      <c r="W364" s="358"/>
      <c r="X364" s="358"/>
      <c r="Y364" s="358"/>
      <c r="Z364" s="358"/>
    </row>
    <row r="365" spans="1:26" ht="15.75" customHeight="1" x14ac:dyDescent="0.25">
      <c r="A365" s="358"/>
      <c r="B365" s="358"/>
      <c r="C365" s="358"/>
      <c r="D365" s="358"/>
      <c r="E365" s="358"/>
      <c r="F365" s="358"/>
      <c r="G365" s="358"/>
      <c r="H365" s="358"/>
      <c r="I365" s="358"/>
      <c r="J365" s="358"/>
      <c r="K365" s="358"/>
      <c r="L365" s="358"/>
      <c r="M365" s="358"/>
      <c r="N365" s="358"/>
      <c r="O365" s="358"/>
      <c r="P365" s="358"/>
      <c r="Q365" s="358"/>
      <c r="R365" s="358"/>
      <c r="S365" s="358"/>
      <c r="T365" s="358"/>
      <c r="U365" s="358"/>
      <c r="V365" s="358"/>
      <c r="W365" s="358"/>
      <c r="X365" s="358"/>
      <c r="Y365" s="358"/>
      <c r="Z365" s="358"/>
    </row>
    <row r="366" spans="1:26" ht="15.75" customHeight="1" x14ac:dyDescent="0.25">
      <c r="A366" s="358"/>
      <c r="B366" s="358"/>
      <c r="C366" s="358"/>
      <c r="D366" s="358"/>
      <c r="E366" s="358"/>
      <c r="F366" s="358"/>
      <c r="G366" s="358"/>
      <c r="H366" s="358"/>
      <c r="I366" s="358"/>
      <c r="J366" s="358"/>
      <c r="K366" s="358"/>
      <c r="L366" s="358"/>
      <c r="M366" s="358"/>
      <c r="N366" s="358"/>
      <c r="O366" s="358"/>
      <c r="P366" s="358"/>
      <c r="Q366" s="358"/>
      <c r="R366" s="358"/>
      <c r="S366" s="358"/>
      <c r="T366" s="358"/>
      <c r="U366" s="358"/>
      <c r="V366" s="358"/>
      <c r="W366" s="358"/>
      <c r="X366" s="358"/>
      <c r="Y366" s="358"/>
      <c r="Z366" s="358"/>
    </row>
    <row r="367" spans="1:26" ht="15.75" customHeight="1" x14ac:dyDescent="0.25">
      <c r="A367" s="358"/>
      <c r="B367" s="358"/>
      <c r="C367" s="358"/>
      <c r="D367" s="358"/>
      <c r="E367" s="358"/>
      <c r="F367" s="358"/>
      <c r="G367" s="358"/>
      <c r="H367" s="358"/>
      <c r="I367" s="358"/>
      <c r="J367" s="358"/>
      <c r="K367" s="358"/>
      <c r="L367" s="358"/>
      <c r="M367" s="358"/>
      <c r="N367" s="358"/>
      <c r="O367" s="358"/>
      <c r="P367" s="358"/>
      <c r="Q367" s="358"/>
      <c r="R367" s="358"/>
      <c r="S367" s="358"/>
      <c r="T367" s="358"/>
      <c r="U367" s="358"/>
      <c r="V367" s="358"/>
      <c r="W367" s="358"/>
      <c r="X367" s="358"/>
      <c r="Y367" s="358"/>
      <c r="Z367" s="358"/>
    </row>
    <row r="368" spans="1:26" ht="15.75" customHeight="1" x14ac:dyDescent="0.25">
      <c r="A368" s="358"/>
      <c r="B368" s="358"/>
      <c r="C368" s="358"/>
      <c r="D368" s="358"/>
      <c r="E368" s="358"/>
      <c r="F368" s="358"/>
      <c r="G368" s="358"/>
      <c r="H368" s="358"/>
      <c r="I368" s="358"/>
      <c r="J368" s="358"/>
      <c r="K368" s="358"/>
      <c r="L368" s="358"/>
      <c r="M368" s="358"/>
      <c r="N368" s="358"/>
      <c r="O368" s="358"/>
      <c r="P368" s="358"/>
      <c r="Q368" s="358"/>
      <c r="R368" s="358"/>
      <c r="S368" s="358"/>
      <c r="T368" s="358"/>
      <c r="U368" s="358"/>
      <c r="V368" s="358"/>
      <c r="W368" s="358"/>
      <c r="X368" s="358"/>
      <c r="Y368" s="358"/>
      <c r="Z368" s="358"/>
    </row>
    <row r="369" spans="1:26" ht="15.75" customHeight="1" x14ac:dyDescent="0.25">
      <c r="A369" s="358"/>
      <c r="B369" s="358"/>
      <c r="C369" s="358"/>
      <c r="D369" s="358"/>
      <c r="E369" s="358"/>
      <c r="F369" s="358"/>
      <c r="G369" s="358"/>
      <c r="H369" s="358"/>
      <c r="I369" s="358"/>
      <c r="J369" s="358"/>
      <c r="K369" s="358"/>
      <c r="L369" s="358"/>
      <c r="M369" s="358"/>
      <c r="N369" s="358"/>
      <c r="O369" s="358"/>
      <c r="P369" s="358"/>
      <c r="Q369" s="358"/>
      <c r="R369" s="358"/>
      <c r="S369" s="358"/>
      <c r="T369" s="358"/>
      <c r="U369" s="358"/>
      <c r="V369" s="358"/>
      <c r="W369" s="358"/>
      <c r="X369" s="358"/>
      <c r="Y369" s="358"/>
      <c r="Z369" s="358"/>
    </row>
    <row r="370" spans="1:26" ht="15.75" customHeight="1" x14ac:dyDescent="0.25">
      <c r="A370" s="358"/>
      <c r="B370" s="358"/>
      <c r="C370" s="358"/>
      <c r="D370" s="358"/>
      <c r="E370" s="358"/>
      <c r="F370" s="358"/>
      <c r="G370" s="358"/>
      <c r="H370" s="358"/>
      <c r="I370" s="358"/>
      <c r="J370" s="358"/>
      <c r="K370" s="358"/>
      <c r="L370" s="358"/>
      <c r="M370" s="358"/>
      <c r="N370" s="358"/>
      <c r="O370" s="358"/>
      <c r="P370" s="358"/>
      <c r="Q370" s="358"/>
      <c r="R370" s="358"/>
      <c r="S370" s="358"/>
      <c r="T370" s="358"/>
      <c r="U370" s="358"/>
      <c r="V370" s="358"/>
      <c r="W370" s="358"/>
      <c r="X370" s="358"/>
      <c r="Y370" s="358"/>
      <c r="Z370" s="358"/>
    </row>
    <row r="371" spans="1:26" ht="15.75" customHeight="1" x14ac:dyDescent="0.25">
      <c r="A371" s="358"/>
      <c r="B371" s="358"/>
      <c r="C371" s="358"/>
      <c r="D371" s="358"/>
      <c r="E371" s="358"/>
      <c r="F371" s="358"/>
      <c r="G371" s="358"/>
      <c r="H371" s="358"/>
      <c r="I371" s="358"/>
      <c r="J371" s="358"/>
      <c r="K371" s="358"/>
      <c r="L371" s="358"/>
      <c r="M371" s="358"/>
      <c r="N371" s="358"/>
      <c r="O371" s="358"/>
      <c r="P371" s="358"/>
      <c r="Q371" s="358"/>
      <c r="R371" s="358"/>
      <c r="S371" s="358"/>
      <c r="T371" s="358"/>
      <c r="U371" s="358"/>
      <c r="V371" s="358"/>
      <c r="W371" s="358"/>
      <c r="X371" s="358"/>
      <c r="Y371" s="358"/>
      <c r="Z371" s="358"/>
    </row>
    <row r="372" spans="1:26" ht="15.75" customHeight="1" x14ac:dyDescent="0.25">
      <c r="A372" s="358"/>
      <c r="B372" s="358"/>
      <c r="C372" s="358"/>
      <c r="D372" s="358"/>
      <c r="E372" s="358"/>
      <c r="F372" s="358"/>
      <c r="G372" s="358"/>
      <c r="H372" s="358"/>
      <c r="I372" s="358"/>
      <c r="J372" s="358"/>
      <c r="K372" s="358"/>
      <c r="L372" s="358"/>
      <c r="M372" s="358"/>
      <c r="N372" s="358"/>
      <c r="O372" s="358"/>
      <c r="P372" s="358"/>
      <c r="Q372" s="358"/>
      <c r="R372" s="358"/>
      <c r="S372" s="358"/>
      <c r="T372" s="358"/>
      <c r="U372" s="358"/>
      <c r="V372" s="358"/>
      <c r="W372" s="358"/>
      <c r="X372" s="358"/>
      <c r="Y372" s="358"/>
      <c r="Z372" s="358"/>
    </row>
    <row r="373" spans="1:26" ht="15.75" customHeight="1" x14ac:dyDescent="0.25">
      <c r="A373" s="358"/>
      <c r="B373" s="358"/>
      <c r="C373" s="358"/>
      <c r="D373" s="358"/>
      <c r="E373" s="358"/>
      <c r="F373" s="358"/>
      <c r="G373" s="358"/>
      <c r="H373" s="358"/>
      <c r="I373" s="358"/>
      <c r="J373" s="358"/>
      <c r="K373" s="358"/>
      <c r="L373" s="358"/>
      <c r="M373" s="358"/>
      <c r="N373" s="358"/>
      <c r="O373" s="358"/>
      <c r="P373" s="358"/>
      <c r="Q373" s="358"/>
      <c r="R373" s="358"/>
      <c r="S373" s="358"/>
      <c r="T373" s="358"/>
      <c r="U373" s="358"/>
      <c r="V373" s="358"/>
      <c r="W373" s="358"/>
      <c r="X373" s="358"/>
      <c r="Y373" s="358"/>
      <c r="Z373" s="358"/>
    </row>
    <row r="374" spans="1:26" ht="15.75" customHeight="1" x14ac:dyDescent="0.25">
      <c r="A374" s="358"/>
      <c r="B374" s="358"/>
      <c r="C374" s="358"/>
      <c r="D374" s="358"/>
      <c r="E374" s="358"/>
      <c r="F374" s="358"/>
      <c r="G374" s="358"/>
      <c r="H374" s="358"/>
      <c r="I374" s="358"/>
      <c r="J374" s="358"/>
      <c r="K374" s="358"/>
      <c r="L374" s="358"/>
      <c r="M374" s="358"/>
      <c r="N374" s="358"/>
      <c r="O374" s="358"/>
      <c r="P374" s="358"/>
      <c r="Q374" s="358"/>
      <c r="R374" s="358"/>
      <c r="S374" s="358"/>
      <c r="T374" s="358"/>
      <c r="U374" s="358"/>
      <c r="V374" s="358"/>
      <c r="W374" s="358"/>
      <c r="X374" s="358"/>
      <c r="Y374" s="358"/>
      <c r="Z374" s="358"/>
    </row>
    <row r="375" spans="1:26" ht="15.75" customHeight="1" x14ac:dyDescent="0.25">
      <c r="A375" s="358"/>
      <c r="B375" s="358"/>
      <c r="C375" s="358"/>
      <c r="D375" s="358"/>
      <c r="E375" s="358"/>
      <c r="F375" s="358"/>
      <c r="G375" s="358"/>
      <c r="H375" s="358"/>
      <c r="I375" s="358"/>
      <c r="J375" s="358"/>
      <c r="K375" s="358"/>
      <c r="L375" s="358"/>
      <c r="M375" s="358"/>
      <c r="N375" s="358"/>
      <c r="O375" s="358"/>
      <c r="P375" s="358"/>
      <c r="Q375" s="358"/>
      <c r="R375" s="358"/>
      <c r="S375" s="358"/>
      <c r="T375" s="358"/>
      <c r="U375" s="358"/>
      <c r="V375" s="358"/>
      <c r="W375" s="358"/>
      <c r="X375" s="358"/>
      <c r="Y375" s="358"/>
      <c r="Z375" s="358"/>
    </row>
    <row r="376" spans="1:26" ht="15.75" customHeight="1" x14ac:dyDescent="0.25">
      <c r="A376" s="358"/>
      <c r="B376" s="358"/>
      <c r="C376" s="358"/>
      <c r="D376" s="358"/>
      <c r="E376" s="358"/>
      <c r="F376" s="358"/>
      <c r="G376" s="358"/>
      <c r="H376" s="358"/>
      <c r="I376" s="358"/>
      <c r="J376" s="358"/>
      <c r="K376" s="358"/>
      <c r="L376" s="358"/>
      <c r="M376" s="358"/>
      <c r="N376" s="358"/>
      <c r="O376" s="358"/>
      <c r="P376" s="358"/>
      <c r="Q376" s="358"/>
      <c r="R376" s="358"/>
      <c r="S376" s="358"/>
      <c r="T376" s="358"/>
      <c r="U376" s="358"/>
      <c r="V376" s="358"/>
      <c r="W376" s="358"/>
      <c r="X376" s="358"/>
      <c r="Y376" s="358"/>
      <c r="Z376" s="358"/>
    </row>
    <row r="377" spans="1:26" ht="15.75" customHeight="1" x14ac:dyDescent="0.25">
      <c r="A377" s="358"/>
      <c r="B377" s="358"/>
      <c r="C377" s="358"/>
      <c r="D377" s="358"/>
      <c r="E377" s="358"/>
      <c r="F377" s="358"/>
      <c r="G377" s="358"/>
      <c r="H377" s="358"/>
      <c r="I377" s="358"/>
      <c r="J377" s="358"/>
      <c r="K377" s="358"/>
      <c r="L377" s="358"/>
      <c r="M377" s="358"/>
      <c r="N377" s="358"/>
      <c r="O377" s="358"/>
      <c r="P377" s="358"/>
      <c r="Q377" s="358"/>
      <c r="R377" s="358"/>
      <c r="S377" s="358"/>
      <c r="T377" s="358"/>
      <c r="U377" s="358"/>
      <c r="V377" s="358"/>
      <c r="W377" s="358"/>
      <c r="X377" s="358"/>
      <c r="Y377" s="358"/>
      <c r="Z377" s="358"/>
    </row>
    <row r="378" spans="1:26" ht="15.75" customHeight="1" x14ac:dyDescent="0.25">
      <c r="A378" s="358"/>
      <c r="B378" s="358"/>
      <c r="C378" s="358"/>
      <c r="D378" s="358"/>
      <c r="E378" s="358"/>
      <c r="F378" s="358"/>
      <c r="G378" s="358"/>
      <c r="H378" s="358"/>
      <c r="I378" s="358"/>
      <c r="J378" s="358"/>
      <c r="K378" s="358"/>
      <c r="L378" s="358"/>
      <c r="M378" s="358"/>
      <c r="N378" s="358"/>
      <c r="O378" s="358"/>
      <c r="P378" s="358"/>
      <c r="Q378" s="358"/>
      <c r="R378" s="358"/>
      <c r="S378" s="358"/>
      <c r="T378" s="358"/>
      <c r="U378" s="358"/>
      <c r="V378" s="358"/>
      <c r="W378" s="358"/>
      <c r="X378" s="358"/>
      <c r="Y378" s="358"/>
      <c r="Z378" s="358"/>
    </row>
    <row r="379" spans="1:26" ht="15.75" customHeight="1" x14ac:dyDescent="0.25">
      <c r="A379" s="358"/>
      <c r="B379" s="358"/>
      <c r="C379" s="358"/>
      <c r="D379" s="358"/>
      <c r="E379" s="358"/>
      <c r="F379" s="358"/>
      <c r="G379" s="358"/>
      <c r="H379" s="358"/>
      <c r="I379" s="358"/>
      <c r="J379" s="358"/>
      <c r="K379" s="358"/>
      <c r="L379" s="358"/>
      <c r="M379" s="358"/>
      <c r="N379" s="358"/>
      <c r="O379" s="358"/>
      <c r="P379" s="358"/>
      <c r="Q379" s="358"/>
      <c r="R379" s="358"/>
      <c r="S379" s="358"/>
      <c r="T379" s="358"/>
      <c r="U379" s="358"/>
      <c r="V379" s="358"/>
      <c r="W379" s="358"/>
      <c r="X379" s="358"/>
      <c r="Y379" s="358"/>
      <c r="Z379" s="358"/>
    </row>
    <row r="380" spans="1:26" ht="15.75" customHeight="1" x14ac:dyDescent="0.25">
      <c r="A380" s="358"/>
      <c r="B380" s="358"/>
      <c r="C380" s="358"/>
      <c r="D380" s="358"/>
      <c r="E380" s="358"/>
      <c r="F380" s="358"/>
      <c r="G380" s="358"/>
      <c r="H380" s="358"/>
      <c r="I380" s="358"/>
      <c r="J380" s="358"/>
      <c r="K380" s="358"/>
      <c r="L380" s="358"/>
      <c r="M380" s="358"/>
      <c r="N380" s="358"/>
      <c r="O380" s="358"/>
      <c r="P380" s="358"/>
      <c r="Q380" s="358"/>
      <c r="R380" s="358"/>
      <c r="S380" s="358"/>
      <c r="T380" s="358"/>
      <c r="U380" s="358"/>
      <c r="V380" s="358"/>
      <c r="W380" s="358"/>
      <c r="X380" s="358"/>
      <c r="Y380" s="358"/>
      <c r="Z380" s="358"/>
    </row>
    <row r="381" spans="1:26" ht="15.75" customHeight="1" x14ac:dyDescent="0.25">
      <c r="A381" s="358"/>
      <c r="B381" s="358"/>
      <c r="C381" s="358"/>
      <c r="D381" s="358"/>
      <c r="E381" s="358"/>
      <c r="F381" s="358"/>
      <c r="G381" s="358"/>
      <c r="H381" s="358"/>
      <c r="I381" s="358"/>
      <c r="J381" s="358"/>
      <c r="K381" s="358"/>
      <c r="L381" s="358"/>
      <c r="M381" s="358"/>
      <c r="N381" s="358"/>
      <c r="O381" s="358"/>
      <c r="P381" s="358"/>
      <c r="Q381" s="358"/>
      <c r="R381" s="358"/>
      <c r="S381" s="358"/>
      <c r="T381" s="358"/>
      <c r="U381" s="358"/>
      <c r="V381" s="358"/>
      <c r="W381" s="358"/>
      <c r="X381" s="358"/>
      <c r="Y381" s="358"/>
      <c r="Z381" s="358"/>
    </row>
    <row r="382" spans="1:26" ht="15.75" customHeight="1" x14ac:dyDescent="0.25">
      <c r="A382" s="358"/>
      <c r="B382" s="358"/>
      <c r="C382" s="358"/>
      <c r="D382" s="358"/>
      <c r="E382" s="358"/>
      <c r="F382" s="358"/>
      <c r="G382" s="358"/>
      <c r="H382" s="358"/>
      <c r="I382" s="358"/>
      <c r="J382" s="358"/>
      <c r="K382" s="358"/>
      <c r="L382" s="358"/>
      <c r="M382" s="358"/>
      <c r="N382" s="358"/>
      <c r="O382" s="358"/>
      <c r="P382" s="358"/>
      <c r="Q382" s="358"/>
      <c r="R382" s="358"/>
      <c r="S382" s="358"/>
      <c r="T382" s="358"/>
      <c r="U382" s="358"/>
      <c r="V382" s="358"/>
      <c r="W382" s="358"/>
      <c r="X382" s="358"/>
      <c r="Y382" s="358"/>
      <c r="Z382" s="358"/>
    </row>
    <row r="383" spans="1:26" ht="15.75" customHeight="1" x14ac:dyDescent="0.25">
      <c r="A383" s="358"/>
      <c r="B383" s="358"/>
      <c r="C383" s="358"/>
      <c r="D383" s="358"/>
      <c r="E383" s="358"/>
      <c r="F383" s="358"/>
      <c r="G383" s="358"/>
      <c r="H383" s="358"/>
      <c r="I383" s="358"/>
      <c r="J383" s="358"/>
      <c r="K383" s="358"/>
      <c r="L383" s="358"/>
      <c r="M383" s="358"/>
      <c r="N383" s="358"/>
      <c r="O383" s="358"/>
      <c r="P383" s="358"/>
      <c r="Q383" s="358"/>
      <c r="R383" s="358"/>
      <c r="S383" s="358"/>
      <c r="T383" s="358"/>
      <c r="U383" s="358"/>
      <c r="V383" s="358"/>
      <c r="W383" s="358"/>
      <c r="X383" s="358"/>
      <c r="Y383" s="358"/>
      <c r="Z383" s="358"/>
    </row>
    <row r="384" spans="1:26" ht="15.75" customHeight="1" x14ac:dyDescent="0.25">
      <c r="A384" s="358"/>
      <c r="B384" s="358"/>
      <c r="C384" s="358"/>
      <c r="D384" s="358"/>
      <c r="E384" s="358"/>
      <c r="F384" s="358"/>
      <c r="G384" s="358"/>
      <c r="H384" s="358"/>
      <c r="I384" s="358"/>
      <c r="J384" s="358"/>
      <c r="K384" s="358"/>
      <c r="L384" s="358"/>
      <c r="M384" s="358"/>
      <c r="N384" s="358"/>
      <c r="O384" s="358"/>
      <c r="P384" s="358"/>
      <c r="Q384" s="358"/>
      <c r="R384" s="358"/>
      <c r="S384" s="358"/>
      <c r="T384" s="358"/>
      <c r="U384" s="358"/>
      <c r="V384" s="358"/>
      <c r="W384" s="358"/>
      <c r="X384" s="358"/>
      <c r="Y384" s="358"/>
      <c r="Z384" s="358"/>
    </row>
    <row r="385" spans="1:26" ht="15.75" customHeight="1" x14ac:dyDescent="0.25">
      <c r="A385" s="358"/>
      <c r="B385" s="358"/>
      <c r="C385" s="358"/>
      <c r="D385" s="358"/>
      <c r="E385" s="358"/>
      <c r="F385" s="358"/>
      <c r="G385" s="358"/>
      <c r="H385" s="358"/>
      <c r="I385" s="358"/>
      <c r="J385" s="358"/>
      <c r="K385" s="358"/>
      <c r="L385" s="358"/>
      <c r="M385" s="358"/>
      <c r="N385" s="358"/>
      <c r="O385" s="358"/>
      <c r="P385" s="358"/>
      <c r="Q385" s="358"/>
      <c r="R385" s="358"/>
      <c r="S385" s="358"/>
      <c r="T385" s="358"/>
      <c r="U385" s="358"/>
      <c r="V385" s="358"/>
      <c r="W385" s="358"/>
      <c r="X385" s="358"/>
      <c r="Y385" s="358"/>
      <c r="Z385" s="358"/>
    </row>
    <row r="386" spans="1:26" ht="15.75" customHeight="1" x14ac:dyDescent="0.25">
      <c r="A386" s="358"/>
      <c r="B386" s="358"/>
      <c r="C386" s="358"/>
      <c r="D386" s="358"/>
      <c r="E386" s="358"/>
      <c r="F386" s="358"/>
      <c r="G386" s="358"/>
      <c r="H386" s="358"/>
      <c r="I386" s="358"/>
      <c r="J386" s="358"/>
      <c r="K386" s="358"/>
      <c r="L386" s="358"/>
      <c r="M386" s="358"/>
      <c r="N386" s="358"/>
      <c r="O386" s="358"/>
      <c r="P386" s="358"/>
      <c r="Q386" s="358"/>
      <c r="R386" s="358"/>
      <c r="S386" s="358"/>
      <c r="T386" s="358"/>
      <c r="U386" s="358"/>
      <c r="V386" s="358"/>
      <c r="W386" s="358"/>
      <c r="X386" s="358"/>
      <c r="Y386" s="358"/>
      <c r="Z386" s="358"/>
    </row>
    <row r="387" spans="1:26" ht="15.75" customHeight="1" x14ac:dyDescent="0.25">
      <c r="A387" s="358"/>
      <c r="B387" s="358"/>
      <c r="C387" s="358"/>
      <c r="D387" s="358"/>
      <c r="E387" s="358"/>
      <c r="F387" s="358"/>
      <c r="G387" s="358"/>
      <c r="H387" s="358"/>
      <c r="I387" s="358"/>
      <c r="J387" s="358"/>
      <c r="K387" s="358"/>
      <c r="L387" s="358"/>
      <c r="M387" s="358"/>
      <c r="N387" s="358"/>
      <c r="O387" s="358"/>
      <c r="P387" s="358"/>
      <c r="Q387" s="358"/>
      <c r="R387" s="358"/>
      <c r="S387" s="358"/>
      <c r="T387" s="358"/>
      <c r="U387" s="358"/>
      <c r="V387" s="358"/>
      <c r="W387" s="358"/>
      <c r="X387" s="358"/>
      <c r="Y387" s="358"/>
      <c r="Z387" s="358"/>
    </row>
    <row r="388" spans="1:26" ht="15.75" customHeight="1" x14ac:dyDescent="0.25">
      <c r="A388" s="358"/>
      <c r="B388" s="358"/>
      <c r="C388" s="358"/>
      <c r="D388" s="358"/>
      <c r="E388" s="358"/>
      <c r="F388" s="358"/>
      <c r="G388" s="358"/>
      <c r="H388" s="358"/>
      <c r="I388" s="358"/>
      <c r="J388" s="358"/>
      <c r="K388" s="358"/>
      <c r="L388" s="358"/>
      <c r="M388" s="358"/>
      <c r="N388" s="358"/>
      <c r="O388" s="358"/>
      <c r="P388" s="358"/>
      <c r="Q388" s="358"/>
      <c r="R388" s="358"/>
      <c r="S388" s="358"/>
      <c r="T388" s="358"/>
      <c r="U388" s="358"/>
      <c r="V388" s="358"/>
      <c r="W388" s="358"/>
      <c r="X388" s="358"/>
      <c r="Y388" s="358"/>
      <c r="Z388" s="358"/>
    </row>
    <row r="389" spans="1:26" ht="15.75" customHeight="1" x14ac:dyDescent="0.25">
      <c r="A389" s="358"/>
      <c r="B389" s="358"/>
      <c r="C389" s="358"/>
      <c r="D389" s="358"/>
      <c r="E389" s="358"/>
      <c r="F389" s="358"/>
      <c r="G389" s="358"/>
      <c r="H389" s="358"/>
      <c r="I389" s="358"/>
      <c r="J389" s="358"/>
      <c r="K389" s="358"/>
      <c r="L389" s="358"/>
      <c r="M389" s="358"/>
      <c r="N389" s="358"/>
      <c r="O389" s="358"/>
      <c r="P389" s="358"/>
      <c r="Q389" s="358"/>
      <c r="R389" s="358"/>
      <c r="S389" s="358"/>
      <c r="T389" s="358"/>
      <c r="U389" s="358"/>
      <c r="V389" s="358"/>
      <c r="W389" s="358"/>
      <c r="X389" s="358"/>
      <c r="Y389" s="358"/>
      <c r="Z389" s="358"/>
    </row>
    <row r="390" spans="1:26" ht="15.75" customHeight="1" x14ac:dyDescent="0.25">
      <c r="A390" s="358"/>
      <c r="B390" s="358"/>
      <c r="C390" s="358"/>
      <c r="D390" s="358"/>
      <c r="E390" s="358"/>
      <c r="F390" s="358"/>
      <c r="G390" s="358"/>
      <c r="H390" s="358"/>
      <c r="I390" s="358"/>
      <c r="J390" s="358"/>
      <c r="K390" s="358"/>
      <c r="L390" s="358"/>
      <c r="M390" s="358"/>
      <c r="N390" s="358"/>
      <c r="O390" s="358"/>
      <c r="P390" s="358"/>
      <c r="Q390" s="358"/>
      <c r="R390" s="358"/>
      <c r="S390" s="358"/>
      <c r="T390" s="358"/>
      <c r="U390" s="358"/>
      <c r="V390" s="358"/>
      <c r="W390" s="358"/>
      <c r="X390" s="358"/>
      <c r="Y390" s="358"/>
      <c r="Z390" s="358"/>
    </row>
    <row r="391" spans="1:26" ht="15.75" customHeight="1" x14ac:dyDescent="0.25">
      <c r="A391" s="358"/>
      <c r="B391" s="358"/>
      <c r="C391" s="358"/>
      <c r="D391" s="358"/>
      <c r="E391" s="358"/>
      <c r="F391" s="358"/>
      <c r="G391" s="358"/>
      <c r="H391" s="358"/>
      <c r="I391" s="358"/>
      <c r="J391" s="358"/>
      <c r="K391" s="358"/>
      <c r="L391" s="358"/>
      <c r="M391" s="358"/>
      <c r="N391" s="358"/>
      <c r="O391" s="358"/>
      <c r="P391" s="358"/>
      <c r="Q391" s="358"/>
      <c r="R391" s="358"/>
      <c r="S391" s="358"/>
      <c r="T391" s="358"/>
      <c r="U391" s="358"/>
      <c r="V391" s="358"/>
      <c r="W391" s="358"/>
      <c r="X391" s="358"/>
      <c r="Y391" s="358"/>
      <c r="Z391" s="358"/>
    </row>
    <row r="392" spans="1:26" ht="15.75" customHeight="1" x14ac:dyDescent="0.25">
      <c r="A392" s="358"/>
      <c r="B392" s="358"/>
      <c r="C392" s="358"/>
      <c r="D392" s="358"/>
      <c r="E392" s="358"/>
      <c r="F392" s="358"/>
      <c r="G392" s="358"/>
      <c r="H392" s="358"/>
      <c r="I392" s="358"/>
      <c r="J392" s="358"/>
      <c r="K392" s="358"/>
      <c r="L392" s="358"/>
      <c r="M392" s="358"/>
      <c r="N392" s="358"/>
      <c r="O392" s="358"/>
      <c r="P392" s="358"/>
      <c r="Q392" s="358"/>
      <c r="R392" s="358"/>
      <c r="S392" s="358"/>
      <c r="T392" s="358"/>
      <c r="U392" s="358"/>
      <c r="V392" s="358"/>
      <c r="W392" s="358"/>
      <c r="X392" s="358"/>
      <c r="Y392" s="358"/>
      <c r="Z392" s="358"/>
    </row>
    <row r="393" spans="1:26" ht="15.75" customHeight="1" x14ac:dyDescent="0.25">
      <c r="A393" s="358"/>
      <c r="B393" s="358"/>
      <c r="C393" s="358"/>
      <c r="D393" s="358"/>
      <c r="E393" s="358"/>
      <c r="F393" s="358"/>
      <c r="G393" s="358"/>
      <c r="H393" s="358"/>
      <c r="I393" s="358"/>
      <c r="J393" s="358"/>
      <c r="K393" s="358"/>
      <c r="L393" s="358"/>
      <c r="M393" s="358"/>
      <c r="N393" s="358"/>
      <c r="O393" s="358"/>
      <c r="P393" s="358"/>
      <c r="Q393" s="358"/>
      <c r="R393" s="358"/>
      <c r="S393" s="358"/>
      <c r="T393" s="358"/>
      <c r="U393" s="358"/>
      <c r="V393" s="358"/>
      <c r="W393" s="358"/>
      <c r="X393" s="358"/>
      <c r="Y393" s="358"/>
      <c r="Z393" s="358"/>
    </row>
    <row r="394" spans="1:26" ht="15.75" customHeight="1" x14ac:dyDescent="0.25">
      <c r="A394" s="358"/>
      <c r="B394" s="358"/>
      <c r="C394" s="358"/>
      <c r="D394" s="358"/>
      <c r="E394" s="358"/>
      <c r="F394" s="358"/>
      <c r="G394" s="358"/>
      <c r="H394" s="358"/>
      <c r="I394" s="358"/>
      <c r="J394" s="358"/>
      <c r="K394" s="358"/>
      <c r="L394" s="358"/>
      <c r="M394" s="358"/>
      <c r="N394" s="358"/>
      <c r="O394" s="358"/>
      <c r="P394" s="358"/>
      <c r="Q394" s="358"/>
      <c r="R394" s="358"/>
      <c r="S394" s="358"/>
      <c r="T394" s="358"/>
      <c r="U394" s="358"/>
      <c r="V394" s="358"/>
      <c r="W394" s="358"/>
      <c r="X394" s="358"/>
      <c r="Y394" s="358"/>
      <c r="Z394" s="358"/>
    </row>
    <row r="395" spans="1:26" ht="15.75" customHeight="1" x14ac:dyDescent="0.25">
      <c r="A395" s="358"/>
      <c r="B395" s="358"/>
      <c r="C395" s="358"/>
      <c r="D395" s="358"/>
      <c r="E395" s="358"/>
      <c r="F395" s="358"/>
      <c r="G395" s="358"/>
      <c r="H395" s="358"/>
      <c r="I395" s="358"/>
      <c r="J395" s="358"/>
      <c r="K395" s="358"/>
      <c r="L395" s="358"/>
      <c r="M395" s="358"/>
      <c r="N395" s="358"/>
      <c r="O395" s="358"/>
      <c r="P395" s="358"/>
      <c r="Q395" s="358"/>
      <c r="R395" s="358"/>
      <c r="S395" s="358"/>
      <c r="T395" s="358"/>
      <c r="U395" s="358"/>
      <c r="V395" s="358"/>
      <c r="W395" s="358"/>
      <c r="X395" s="358"/>
      <c r="Y395" s="358"/>
      <c r="Z395" s="358"/>
    </row>
    <row r="396" spans="1:26" ht="15.75" customHeight="1" x14ac:dyDescent="0.25">
      <c r="A396" s="358"/>
      <c r="B396" s="358"/>
      <c r="C396" s="358"/>
      <c r="D396" s="358"/>
      <c r="E396" s="358"/>
      <c r="F396" s="358"/>
      <c r="G396" s="358"/>
      <c r="H396" s="358"/>
      <c r="I396" s="358"/>
      <c r="J396" s="358"/>
      <c r="K396" s="358"/>
      <c r="L396" s="358"/>
      <c r="M396" s="358"/>
      <c r="N396" s="358"/>
      <c r="O396" s="358"/>
      <c r="P396" s="358"/>
      <c r="Q396" s="358"/>
      <c r="R396" s="358"/>
      <c r="S396" s="358"/>
      <c r="T396" s="358"/>
      <c r="U396" s="358"/>
      <c r="V396" s="358"/>
      <c r="W396" s="358"/>
      <c r="X396" s="358"/>
      <c r="Y396" s="358"/>
      <c r="Z396" s="358"/>
    </row>
    <row r="397" spans="1:26" ht="15.75" customHeight="1" x14ac:dyDescent="0.25">
      <c r="A397" s="358"/>
      <c r="B397" s="358"/>
      <c r="C397" s="358"/>
      <c r="D397" s="358"/>
      <c r="E397" s="358"/>
      <c r="F397" s="358"/>
      <c r="G397" s="358"/>
      <c r="H397" s="358"/>
      <c r="I397" s="358"/>
      <c r="J397" s="358"/>
      <c r="K397" s="358"/>
      <c r="L397" s="358"/>
      <c r="M397" s="358"/>
      <c r="N397" s="358"/>
      <c r="O397" s="358"/>
      <c r="P397" s="358"/>
      <c r="Q397" s="358"/>
      <c r="R397" s="358"/>
      <c r="S397" s="358"/>
      <c r="T397" s="358"/>
      <c r="U397" s="358"/>
      <c r="V397" s="358"/>
      <c r="W397" s="358"/>
      <c r="X397" s="358"/>
      <c r="Y397" s="358"/>
      <c r="Z397" s="358"/>
    </row>
    <row r="398" spans="1:26" ht="15.75" customHeight="1" x14ac:dyDescent="0.25">
      <c r="A398" s="358"/>
      <c r="B398" s="358"/>
      <c r="C398" s="358"/>
      <c r="D398" s="358"/>
      <c r="E398" s="358"/>
      <c r="F398" s="358"/>
      <c r="G398" s="358"/>
      <c r="H398" s="358"/>
      <c r="I398" s="358"/>
      <c r="J398" s="358"/>
      <c r="K398" s="358"/>
      <c r="L398" s="358"/>
      <c r="M398" s="358"/>
      <c r="N398" s="358"/>
      <c r="O398" s="358"/>
      <c r="P398" s="358"/>
      <c r="Q398" s="358"/>
      <c r="R398" s="358"/>
      <c r="S398" s="358"/>
      <c r="T398" s="358"/>
      <c r="U398" s="358"/>
      <c r="V398" s="358"/>
      <c r="W398" s="358"/>
      <c r="X398" s="358"/>
      <c r="Y398" s="358"/>
      <c r="Z398" s="358"/>
    </row>
    <row r="399" spans="1:26" ht="15.75" customHeight="1" x14ac:dyDescent="0.25">
      <c r="A399" s="358"/>
      <c r="B399" s="358"/>
      <c r="C399" s="358"/>
      <c r="D399" s="358"/>
      <c r="E399" s="358"/>
      <c r="F399" s="358"/>
      <c r="G399" s="358"/>
      <c r="H399" s="358"/>
      <c r="I399" s="358"/>
      <c r="J399" s="358"/>
      <c r="K399" s="358"/>
      <c r="L399" s="358"/>
      <c r="M399" s="358"/>
      <c r="N399" s="358"/>
      <c r="O399" s="358"/>
      <c r="P399" s="358"/>
      <c r="Q399" s="358"/>
      <c r="R399" s="358"/>
      <c r="S399" s="358"/>
      <c r="T399" s="358"/>
      <c r="U399" s="358"/>
      <c r="V399" s="358"/>
      <c r="W399" s="358"/>
      <c r="X399" s="358"/>
      <c r="Y399" s="358"/>
      <c r="Z399" s="358"/>
    </row>
    <row r="400" spans="1:26" ht="15.75" customHeight="1" x14ac:dyDescent="0.25">
      <c r="A400" s="358"/>
      <c r="B400" s="358"/>
      <c r="C400" s="358"/>
      <c r="D400" s="358"/>
      <c r="E400" s="358"/>
      <c r="F400" s="358"/>
      <c r="G400" s="358"/>
      <c r="H400" s="358"/>
      <c r="I400" s="358"/>
      <c r="J400" s="358"/>
      <c r="K400" s="358"/>
      <c r="L400" s="358"/>
      <c r="M400" s="358"/>
      <c r="N400" s="358"/>
      <c r="O400" s="358"/>
      <c r="P400" s="358"/>
      <c r="Q400" s="358"/>
      <c r="R400" s="358"/>
      <c r="S400" s="358"/>
      <c r="T400" s="358"/>
      <c r="U400" s="358"/>
      <c r="V400" s="358"/>
      <c r="W400" s="358"/>
      <c r="X400" s="358"/>
      <c r="Y400" s="358"/>
      <c r="Z400" s="358"/>
    </row>
    <row r="401" spans="1:26" ht="15.75" customHeight="1" x14ac:dyDescent="0.25">
      <c r="A401" s="358"/>
      <c r="B401" s="358"/>
      <c r="C401" s="358"/>
      <c r="D401" s="358"/>
      <c r="E401" s="358"/>
      <c r="F401" s="358"/>
      <c r="G401" s="358"/>
      <c r="H401" s="358"/>
      <c r="I401" s="358"/>
      <c r="J401" s="358"/>
      <c r="K401" s="358"/>
      <c r="L401" s="358"/>
      <c r="M401" s="358"/>
      <c r="N401" s="358"/>
      <c r="O401" s="358"/>
      <c r="P401" s="358"/>
      <c r="Q401" s="358"/>
      <c r="R401" s="358"/>
      <c r="S401" s="358"/>
      <c r="T401" s="358"/>
      <c r="U401" s="358"/>
      <c r="V401" s="358"/>
      <c r="W401" s="358"/>
      <c r="X401" s="358"/>
      <c r="Y401" s="358"/>
      <c r="Z401" s="358"/>
    </row>
    <row r="402" spans="1:26" ht="15.75" customHeight="1" x14ac:dyDescent="0.25">
      <c r="A402" s="358"/>
      <c r="B402" s="358"/>
      <c r="C402" s="358"/>
      <c r="D402" s="358"/>
      <c r="E402" s="358"/>
      <c r="F402" s="358"/>
      <c r="G402" s="358"/>
      <c r="H402" s="358"/>
      <c r="I402" s="358"/>
      <c r="J402" s="358"/>
      <c r="K402" s="358"/>
      <c r="L402" s="358"/>
      <c r="M402" s="358"/>
      <c r="N402" s="358"/>
      <c r="O402" s="358"/>
      <c r="P402" s="358"/>
      <c r="Q402" s="358"/>
      <c r="R402" s="358"/>
      <c r="S402" s="358"/>
      <c r="T402" s="358"/>
      <c r="U402" s="358"/>
      <c r="V402" s="358"/>
      <c r="W402" s="358"/>
      <c r="X402" s="358"/>
      <c r="Y402" s="358"/>
      <c r="Z402" s="358"/>
    </row>
    <row r="403" spans="1:26" ht="15.75" customHeight="1" x14ac:dyDescent="0.25">
      <c r="A403" s="358"/>
      <c r="B403" s="358"/>
      <c r="C403" s="358"/>
      <c r="D403" s="358"/>
      <c r="E403" s="358"/>
      <c r="F403" s="358"/>
      <c r="G403" s="358"/>
      <c r="H403" s="358"/>
      <c r="I403" s="358"/>
      <c r="J403" s="358"/>
      <c r="K403" s="358"/>
      <c r="L403" s="358"/>
      <c r="M403" s="358"/>
      <c r="N403" s="358"/>
      <c r="O403" s="358"/>
      <c r="P403" s="358"/>
      <c r="Q403" s="358"/>
      <c r="R403" s="358"/>
      <c r="S403" s="358"/>
      <c r="T403" s="358"/>
      <c r="U403" s="358"/>
      <c r="V403" s="358"/>
      <c r="W403" s="358"/>
      <c r="X403" s="358"/>
      <c r="Y403" s="358"/>
      <c r="Z403" s="358"/>
    </row>
    <row r="404" spans="1:26" ht="15.75" customHeight="1" x14ac:dyDescent="0.25">
      <c r="A404" s="358"/>
      <c r="B404" s="358"/>
      <c r="C404" s="358"/>
      <c r="D404" s="358"/>
      <c r="E404" s="358"/>
      <c r="F404" s="358"/>
      <c r="G404" s="358"/>
      <c r="H404" s="358"/>
      <c r="I404" s="358"/>
      <c r="J404" s="358"/>
      <c r="K404" s="358"/>
      <c r="L404" s="358"/>
      <c r="M404" s="358"/>
      <c r="N404" s="358"/>
      <c r="O404" s="358"/>
      <c r="P404" s="358"/>
      <c r="Q404" s="358"/>
      <c r="R404" s="358"/>
      <c r="S404" s="358"/>
      <c r="T404" s="358"/>
      <c r="U404" s="358"/>
      <c r="V404" s="358"/>
      <c r="W404" s="358"/>
      <c r="X404" s="358"/>
      <c r="Y404" s="358"/>
      <c r="Z404" s="358"/>
    </row>
    <row r="405" spans="1:26" ht="15.75" customHeight="1" x14ac:dyDescent="0.25">
      <c r="A405" s="358"/>
      <c r="B405" s="358"/>
      <c r="C405" s="358"/>
      <c r="D405" s="358"/>
      <c r="E405" s="358"/>
      <c r="F405" s="358"/>
      <c r="G405" s="358"/>
      <c r="H405" s="358"/>
      <c r="I405" s="358"/>
      <c r="J405" s="358"/>
      <c r="K405" s="358"/>
      <c r="L405" s="358"/>
      <c r="M405" s="358"/>
      <c r="N405" s="358"/>
      <c r="O405" s="358"/>
      <c r="P405" s="358"/>
      <c r="Q405" s="358"/>
      <c r="R405" s="358"/>
      <c r="S405" s="358"/>
      <c r="T405" s="358"/>
      <c r="U405" s="358"/>
      <c r="V405" s="358"/>
      <c r="W405" s="358"/>
      <c r="X405" s="358"/>
      <c r="Y405" s="358"/>
      <c r="Z405" s="358"/>
    </row>
    <row r="406" spans="1:26" ht="15.75" customHeight="1" x14ac:dyDescent="0.25">
      <c r="A406" s="358"/>
      <c r="B406" s="358"/>
      <c r="C406" s="358"/>
      <c r="D406" s="358"/>
      <c r="E406" s="358"/>
      <c r="F406" s="358"/>
      <c r="G406" s="358"/>
      <c r="H406" s="358"/>
      <c r="I406" s="358"/>
      <c r="J406" s="358"/>
      <c r="K406" s="358"/>
      <c r="L406" s="358"/>
      <c r="M406" s="358"/>
      <c r="N406" s="358"/>
      <c r="O406" s="358"/>
      <c r="P406" s="358"/>
      <c r="Q406" s="358"/>
      <c r="R406" s="358"/>
      <c r="S406" s="358"/>
      <c r="T406" s="358"/>
      <c r="U406" s="358"/>
      <c r="V406" s="358"/>
      <c r="W406" s="358"/>
      <c r="X406" s="358"/>
      <c r="Y406" s="358"/>
      <c r="Z406" s="358"/>
    </row>
    <row r="407" spans="1:26" ht="15.75" customHeight="1" x14ac:dyDescent="0.25">
      <c r="A407" s="358"/>
      <c r="B407" s="358"/>
      <c r="C407" s="358"/>
      <c r="D407" s="358"/>
      <c r="E407" s="358"/>
      <c r="F407" s="358"/>
      <c r="G407" s="358"/>
      <c r="H407" s="358"/>
      <c r="I407" s="358"/>
      <c r="J407" s="358"/>
      <c r="K407" s="358"/>
      <c r="L407" s="358"/>
      <c r="M407" s="358"/>
      <c r="N407" s="358"/>
      <c r="O407" s="358"/>
      <c r="P407" s="358"/>
      <c r="Q407" s="358"/>
      <c r="R407" s="358"/>
      <c r="S407" s="358"/>
      <c r="T407" s="358"/>
      <c r="U407" s="358"/>
      <c r="V407" s="358"/>
      <c r="W407" s="358"/>
      <c r="X407" s="358"/>
      <c r="Y407" s="358"/>
      <c r="Z407" s="358"/>
    </row>
    <row r="408" spans="1:26" ht="15.75" customHeight="1" x14ac:dyDescent="0.25">
      <c r="A408" s="358"/>
      <c r="B408" s="358"/>
      <c r="C408" s="358"/>
      <c r="D408" s="358"/>
      <c r="E408" s="358"/>
      <c r="F408" s="358"/>
      <c r="G408" s="358"/>
      <c r="H408" s="358"/>
      <c r="I408" s="358"/>
      <c r="J408" s="358"/>
      <c r="K408" s="358"/>
      <c r="L408" s="358"/>
      <c r="M408" s="358"/>
      <c r="N408" s="358"/>
      <c r="O408" s="358"/>
      <c r="P408" s="358"/>
      <c r="Q408" s="358"/>
      <c r="R408" s="358"/>
      <c r="S408" s="358"/>
      <c r="T408" s="358"/>
      <c r="U408" s="358"/>
      <c r="V408" s="358"/>
      <c r="W408" s="358"/>
      <c r="X408" s="358"/>
      <c r="Y408" s="358"/>
      <c r="Z408" s="358"/>
    </row>
    <row r="409" spans="1:26" ht="15.75" customHeight="1" x14ac:dyDescent="0.25">
      <c r="A409" s="358"/>
      <c r="B409" s="358"/>
      <c r="C409" s="358"/>
      <c r="D409" s="358"/>
      <c r="E409" s="358"/>
      <c r="F409" s="358"/>
      <c r="G409" s="358"/>
      <c r="H409" s="358"/>
      <c r="I409" s="358"/>
      <c r="J409" s="358"/>
      <c r="K409" s="358"/>
      <c r="L409" s="358"/>
      <c r="M409" s="358"/>
      <c r="N409" s="358"/>
      <c r="O409" s="358"/>
      <c r="P409" s="358"/>
      <c r="Q409" s="358"/>
      <c r="R409" s="358"/>
      <c r="S409" s="358"/>
      <c r="T409" s="358"/>
      <c r="U409" s="358"/>
      <c r="V409" s="358"/>
      <c r="W409" s="358"/>
      <c r="X409" s="358"/>
      <c r="Y409" s="358"/>
      <c r="Z409" s="358"/>
    </row>
    <row r="410" spans="1:26" ht="15.75" customHeight="1" x14ac:dyDescent="0.25">
      <c r="A410" s="358"/>
      <c r="B410" s="358"/>
      <c r="C410" s="358"/>
      <c r="D410" s="358"/>
      <c r="E410" s="358"/>
      <c r="F410" s="358"/>
      <c r="G410" s="358"/>
      <c r="H410" s="358"/>
      <c r="I410" s="358"/>
      <c r="J410" s="358"/>
      <c r="K410" s="358"/>
      <c r="L410" s="358"/>
      <c r="M410" s="358"/>
      <c r="N410" s="358"/>
      <c r="O410" s="358"/>
      <c r="P410" s="358"/>
      <c r="Q410" s="358"/>
      <c r="R410" s="358"/>
      <c r="S410" s="358"/>
      <c r="T410" s="358"/>
      <c r="U410" s="358"/>
      <c r="V410" s="358"/>
      <c r="W410" s="358"/>
      <c r="X410" s="358"/>
      <c r="Y410" s="358"/>
      <c r="Z410" s="358"/>
    </row>
    <row r="411" spans="1:26" ht="15.75" customHeight="1" x14ac:dyDescent="0.25">
      <c r="A411" s="358"/>
      <c r="B411" s="358"/>
      <c r="C411" s="358"/>
      <c r="D411" s="358"/>
      <c r="E411" s="358"/>
      <c r="F411" s="358"/>
      <c r="G411" s="358"/>
      <c r="H411" s="358"/>
      <c r="I411" s="358"/>
      <c r="J411" s="358"/>
      <c r="K411" s="358"/>
      <c r="L411" s="358"/>
      <c r="M411" s="358"/>
      <c r="N411" s="358"/>
      <c r="O411" s="358"/>
      <c r="P411" s="358"/>
      <c r="Q411" s="358"/>
      <c r="R411" s="358"/>
      <c r="S411" s="358"/>
      <c r="T411" s="358"/>
      <c r="U411" s="358"/>
      <c r="V411" s="358"/>
      <c r="W411" s="358"/>
      <c r="X411" s="358"/>
      <c r="Y411" s="358"/>
      <c r="Z411" s="358"/>
    </row>
    <row r="412" spans="1:26" ht="15.75" customHeight="1" x14ac:dyDescent="0.25">
      <c r="A412" s="358"/>
      <c r="B412" s="358"/>
      <c r="C412" s="358"/>
      <c r="D412" s="358"/>
      <c r="E412" s="358"/>
      <c r="F412" s="358"/>
      <c r="G412" s="358"/>
      <c r="H412" s="358"/>
      <c r="I412" s="358"/>
      <c r="J412" s="358"/>
      <c r="K412" s="358"/>
      <c r="L412" s="358"/>
      <c r="M412" s="358"/>
      <c r="N412" s="358"/>
      <c r="O412" s="358"/>
      <c r="P412" s="358"/>
      <c r="Q412" s="358"/>
      <c r="R412" s="358"/>
      <c r="S412" s="358"/>
      <c r="T412" s="358"/>
      <c r="U412" s="358"/>
      <c r="V412" s="358"/>
      <c r="W412" s="358"/>
      <c r="X412" s="358"/>
      <c r="Y412" s="358"/>
      <c r="Z412" s="358"/>
    </row>
    <row r="413" spans="1:26" ht="15.75" customHeight="1" x14ac:dyDescent="0.25">
      <c r="A413" s="358"/>
      <c r="B413" s="358"/>
      <c r="C413" s="358"/>
      <c r="D413" s="358"/>
      <c r="E413" s="358"/>
      <c r="F413" s="358"/>
      <c r="G413" s="358"/>
      <c r="H413" s="358"/>
      <c r="I413" s="358"/>
      <c r="J413" s="358"/>
      <c r="K413" s="358"/>
      <c r="L413" s="358"/>
      <c r="M413" s="358"/>
      <c r="N413" s="358"/>
      <c r="O413" s="358"/>
      <c r="P413" s="358"/>
      <c r="Q413" s="358"/>
      <c r="R413" s="358"/>
      <c r="S413" s="358"/>
      <c r="T413" s="358"/>
      <c r="U413" s="358"/>
      <c r="V413" s="358"/>
      <c r="W413" s="358"/>
      <c r="X413" s="358"/>
      <c r="Y413" s="358"/>
      <c r="Z413" s="358"/>
    </row>
    <row r="414" spans="1:26" ht="15.75" customHeight="1" x14ac:dyDescent="0.25">
      <c r="A414" s="358"/>
      <c r="B414" s="358"/>
      <c r="C414" s="358"/>
      <c r="D414" s="358"/>
      <c r="E414" s="358"/>
      <c r="F414" s="358"/>
      <c r="G414" s="358"/>
      <c r="H414" s="358"/>
      <c r="I414" s="358"/>
      <c r="J414" s="358"/>
      <c r="K414" s="358"/>
      <c r="L414" s="358"/>
      <c r="M414" s="358"/>
      <c r="N414" s="358"/>
      <c r="O414" s="358"/>
      <c r="P414" s="358"/>
      <c r="Q414" s="358"/>
      <c r="R414" s="358"/>
      <c r="S414" s="358"/>
      <c r="T414" s="358"/>
      <c r="U414" s="358"/>
      <c r="V414" s="358"/>
      <c r="W414" s="358"/>
      <c r="X414" s="358"/>
      <c r="Y414" s="358"/>
      <c r="Z414" s="358"/>
    </row>
    <row r="415" spans="1:26" ht="15.75" customHeight="1" x14ac:dyDescent="0.25">
      <c r="A415" s="358"/>
      <c r="B415" s="358"/>
      <c r="C415" s="358"/>
      <c r="D415" s="358"/>
      <c r="E415" s="358"/>
      <c r="F415" s="358"/>
      <c r="G415" s="358"/>
      <c r="H415" s="358"/>
      <c r="I415" s="358"/>
      <c r="J415" s="358"/>
      <c r="K415" s="358"/>
      <c r="L415" s="358"/>
      <c r="M415" s="358"/>
      <c r="N415" s="358"/>
      <c r="O415" s="358"/>
      <c r="P415" s="358"/>
      <c r="Q415" s="358"/>
      <c r="R415" s="358"/>
      <c r="S415" s="358"/>
      <c r="T415" s="358"/>
      <c r="U415" s="358"/>
      <c r="V415" s="358"/>
      <c r="W415" s="358"/>
      <c r="X415" s="358"/>
      <c r="Y415" s="358"/>
      <c r="Z415" s="358"/>
    </row>
    <row r="416" spans="1:26" ht="15.75" customHeight="1" x14ac:dyDescent="0.25">
      <c r="A416" s="358"/>
      <c r="B416" s="358"/>
      <c r="C416" s="358"/>
      <c r="D416" s="358"/>
      <c r="E416" s="358"/>
      <c r="F416" s="358"/>
      <c r="G416" s="358"/>
      <c r="H416" s="358"/>
      <c r="I416" s="358"/>
      <c r="J416" s="358"/>
      <c r="K416" s="358"/>
      <c r="L416" s="358"/>
      <c r="M416" s="358"/>
      <c r="N416" s="358"/>
      <c r="O416" s="358"/>
      <c r="P416" s="358"/>
      <c r="Q416" s="358"/>
      <c r="R416" s="358"/>
      <c r="S416" s="358"/>
      <c r="T416" s="358"/>
      <c r="U416" s="358"/>
      <c r="V416" s="358"/>
      <c r="W416" s="358"/>
      <c r="X416" s="358"/>
      <c r="Y416" s="358"/>
      <c r="Z416" s="358"/>
    </row>
    <row r="417" spans="1:26" ht="15.75" customHeight="1" x14ac:dyDescent="0.25">
      <c r="A417" s="358"/>
      <c r="B417" s="358"/>
      <c r="C417" s="358"/>
      <c r="D417" s="358"/>
      <c r="E417" s="358"/>
      <c r="F417" s="358"/>
      <c r="G417" s="358"/>
      <c r="H417" s="358"/>
      <c r="I417" s="358"/>
      <c r="J417" s="358"/>
      <c r="K417" s="358"/>
      <c r="L417" s="358"/>
      <c r="M417" s="358"/>
      <c r="N417" s="358"/>
      <c r="O417" s="358"/>
      <c r="P417" s="358"/>
      <c r="Q417" s="358"/>
      <c r="R417" s="358"/>
      <c r="S417" s="358"/>
      <c r="T417" s="358"/>
      <c r="U417" s="358"/>
      <c r="V417" s="358"/>
      <c r="W417" s="358"/>
      <c r="X417" s="358"/>
      <c r="Y417" s="358"/>
      <c r="Z417" s="358"/>
    </row>
    <row r="418" spans="1:26" ht="15.75" customHeight="1" x14ac:dyDescent="0.25">
      <c r="A418" s="358"/>
      <c r="B418" s="358"/>
      <c r="C418" s="358"/>
      <c r="D418" s="358"/>
      <c r="E418" s="358"/>
      <c r="F418" s="358"/>
      <c r="G418" s="358"/>
      <c r="H418" s="358"/>
      <c r="I418" s="358"/>
      <c r="J418" s="358"/>
      <c r="K418" s="358"/>
      <c r="L418" s="358"/>
      <c r="M418" s="358"/>
      <c r="N418" s="358"/>
      <c r="O418" s="358"/>
      <c r="P418" s="358"/>
      <c r="Q418" s="358"/>
      <c r="R418" s="358"/>
      <c r="S418" s="358"/>
      <c r="T418" s="358"/>
      <c r="U418" s="358"/>
      <c r="V418" s="358"/>
      <c r="W418" s="358"/>
      <c r="X418" s="358"/>
      <c r="Y418" s="358"/>
      <c r="Z418" s="358"/>
    </row>
    <row r="419" spans="1:26" ht="15.75" customHeight="1" x14ac:dyDescent="0.25">
      <c r="A419" s="358"/>
      <c r="B419" s="358"/>
      <c r="C419" s="358"/>
      <c r="D419" s="358"/>
      <c r="E419" s="358"/>
      <c r="F419" s="358"/>
      <c r="G419" s="358"/>
      <c r="H419" s="358"/>
      <c r="I419" s="358"/>
      <c r="J419" s="358"/>
      <c r="K419" s="358"/>
      <c r="L419" s="358"/>
      <c r="M419" s="358"/>
      <c r="N419" s="358"/>
      <c r="O419" s="358"/>
      <c r="P419" s="358"/>
      <c r="Q419" s="358"/>
      <c r="R419" s="358"/>
      <c r="S419" s="358"/>
      <c r="T419" s="358"/>
      <c r="U419" s="358"/>
      <c r="V419" s="358"/>
      <c r="W419" s="358"/>
      <c r="X419" s="358"/>
      <c r="Y419" s="358"/>
      <c r="Z419" s="358"/>
    </row>
    <row r="420" spans="1:26" ht="15.75" customHeight="1" x14ac:dyDescent="0.25">
      <c r="A420" s="358"/>
      <c r="B420" s="358"/>
      <c r="C420" s="358"/>
      <c r="D420" s="358"/>
      <c r="E420" s="358"/>
      <c r="F420" s="358"/>
      <c r="G420" s="358"/>
      <c r="H420" s="358"/>
      <c r="I420" s="358"/>
      <c r="J420" s="358"/>
      <c r="K420" s="358"/>
      <c r="L420" s="358"/>
      <c r="M420" s="358"/>
      <c r="N420" s="358"/>
      <c r="O420" s="358"/>
      <c r="P420" s="358"/>
      <c r="Q420" s="358"/>
      <c r="R420" s="358"/>
      <c r="S420" s="358"/>
      <c r="T420" s="358"/>
      <c r="U420" s="358"/>
      <c r="V420" s="358"/>
      <c r="W420" s="358"/>
      <c r="X420" s="358"/>
      <c r="Y420" s="358"/>
      <c r="Z420" s="358"/>
    </row>
    <row r="421" spans="1:26" ht="15.75" customHeight="1" x14ac:dyDescent="0.25">
      <c r="A421" s="358"/>
      <c r="B421" s="358"/>
      <c r="C421" s="358"/>
      <c r="D421" s="358"/>
      <c r="E421" s="358"/>
      <c r="F421" s="358"/>
      <c r="G421" s="358"/>
      <c r="H421" s="358"/>
      <c r="I421" s="358"/>
      <c r="J421" s="358"/>
      <c r="K421" s="358"/>
      <c r="L421" s="358"/>
      <c r="M421" s="358"/>
      <c r="N421" s="358"/>
      <c r="O421" s="358"/>
      <c r="P421" s="358"/>
      <c r="Q421" s="358"/>
      <c r="R421" s="358"/>
      <c r="S421" s="358"/>
      <c r="T421" s="358"/>
      <c r="U421" s="358"/>
      <c r="V421" s="358"/>
      <c r="W421" s="358"/>
      <c r="X421" s="358"/>
      <c r="Y421" s="358"/>
      <c r="Z421" s="358"/>
    </row>
    <row r="422" spans="1:26" ht="15.75" customHeight="1" x14ac:dyDescent="0.25">
      <c r="A422" s="358"/>
      <c r="B422" s="358"/>
      <c r="C422" s="358"/>
      <c r="D422" s="358"/>
      <c r="E422" s="358"/>
      <c r="F422" s="358"/>
      <c r="G422" s="358"/>
      <c r="H422" s="358"/>
      <c r="I422" s="358"/>
      <c r="J422" s="358"/>
      <c r="K422" s="358"/>
      <c r="L422" s="358"/>
      <c r="M422" s="358"/>
      <c r="N422" s="358"/>
      <c r="O422" s="358"/>
      <c r="P422" s="358"/>
      <c r="Q422" s="358"/>
      <c r="R422" s="358"/>
      <c r="S422" s="358"/>
      <c r="T422" s="358"/>
      <c r="U422" s="358"/>
      <c r="V422" s="358"/>
      <c r="W422" s="358"/>
      <c r="X422" s="358"/>
      <c r="Y422" s="358"/>
      <c r="Z422" s="358"/>
    </row>
    <row r="423" spans="1:26" ht="15.75" customHeight="1" x14ac:dyDescent="0.25">
      <c r="A423" s="358"/>
      <c r="B423" s="358"/>
      <c r="C423" s="358"/>
      <c r="D423" s="358"/>
      <c r="E423" s="358"/>
      <c r="F423" s="358"/>
      <c r="G423" s="358"/>
      <c r="H423" s="358"/>
      <c r="I423" s="358"/>
      <c r="J423" s="358"/>
      <c r="K423" s="358"/>
      <c r="L423" s="358"/>
      <c r="M423" s="358"/>
      <c r="N423" s="358"/>
      <c r="O423" s="358"/>
      <c r="P423" s="358"/>
      <c r="Q423" s="358"/>
      <c r="R423" s="358"/>
      <c r="S423" s="358"/>
      <c r="T423" s="358"/>
      <c r="U423" s="358"/>
      <c r="V423" s="358"/>
      <c r="W423" s="358"/>
      <c r="X423" s="358"/>
      <c r="Y423" s="358"/>
      <c r="Z423" s="358"/>
    </row>
    <row r="424" spans="1:26" ht="15.75" customHeight="1" x14ac:dyDescent="0.25">
      <c r="A424" s="358"/>
      <c r="B424" s="358"/>
      <c r="C424" s="358"/>
      <c r="D424" s="358"/>
      <c r="E424" s="358"/>
      <c r="F424" s="358"/>
      <c r="G424" s="358"/>
      <c r="H424" s="358"/>
      <c r="I424" s="358"/>
      <c r="J424" s="358"/>
      <c r="K424" s="358"/>
      <c r="L424" s="358"/>
      <c r="M424" s="358"/>
      <c r="N424" s="358"/>
      <c r="O424" s="358"/>
      <c r="P424" s="358"/>
      <c r="Q424" s="358"/>
      <c r="R424" s="358"/>
      <c r="S424" s="358"/>
      <c r="T424" s="358"/>
      <c r="U424" s="358"/>
      <c r="V424" s="358"/>
      <c r="W424" s="358"/>
      <c r="X424" s="358"/>
      <c r="Y424" s="358"/>
      <c r="Z424" s="358"/>
    </row>
    <row r="425" spans="1:26" ht="15.75" customHeight="1" x14ac:dyDescent="0.25">
      <c r="A425" s="358"/>
      <c r="B425" s="358"/>
      <c r="C425" s="358"/>
      <c r="D425" s="358"/>
      <c r="E425" s="358"/>
      <c r="F425" s="358"/>
      <c r="G425" s="358"/>
      <c r="H425" s="358"/>
      <c r="I425" s="358"/>
      <c r="J425" s="358"/>
      <c r="K425" s="358"/>
      <c r="L425" s="358"/>
      <c r="M425" s="358"/>
      <c r="N425" s="358"/>
      <c r="O425" s="358"/>
      <c r="P425" s="358"/>
      <c r="Q425" s="358"/>
      <c r="R425" s="358"/>
      <c r="S425" s="358"/>
      <c r="T425" s="358"/>
      <c r="U425" s="358"/>
      <c r="V425" s="358"/>
      <c r="W425" s="358"/>
      <c r="X425" s="358"/>
      <c r="Y425" s="358"/>
      <c r="Z425" s="358"/>
    </row>
    <row r="426" spans="1:26" ht="15.75" customHeight="1" x14ac:dyDescent="0.25">
      <c r="A426" s="358"/>
      <c r="B426" s="358"/>
      <c r="C426" s="358"/>
      <c r="D426" s="358"/>
      <c r="E426" s="358"/>
      <c r="F426" s="358"/>
      <c r="G426" s="358"/>
      <c r="H426" s="358"/>
      <c r="I426" s="358"/>
      <c r="J426" s="358"/>
      <c r="K426" s="358"/>
      <c r="L426" s="358"/>
      <c r="M426" s="358"/>
      <c r="N426" s="358"/>
      <c r="O426" s="358"/>
      <c r="P426" s="358"/>
      <c r="Q426" s="358"/>
      <c r="R426" s="358"/>
      <c r="S426" s="358"/>
      <c r="T426" s="358"/>
      <c r="U426" s="358"/>
      <c r="V426" s="358"/>
      <c r="W426" s="358"/>
      <c r="X426" s="358"/>
      <c r="Y426" s="358"/>
      <c r="Z426" s="358"/>
    </row>
    <row r="427" spans="1:26" ht="15.75" customHeight="1" x14ac:dyDescent="0.25">
      <c r="A427" s="358"/>
      <c r="B427" s="358"/>
      <c r="C427" s="358"/>
      <c r="D427" s="358"/>
      <c r="E427" s="358"/>
      <c r="F427" s="358"/>
      <c r="G427" s="358"/>
      <c r="H427" s="358"/>
      <c r="I427" s="358"/>
      <c r="J427" s="358"/>
      <c r="K427" s="358"/>
      <c r="L427" s="358"/>
      <c r="M427" s="358"/>
      <c r="N427" s="358"/>
      <c r="O427" s="358"/>
      <c r="P427" s="358"/>
      <c r="Q427" s="358"/>
      <c r="R427" s="358"/>
      <c r="S427" s="358"/>
      <c r="T427" s="358"/>
      <c r="U427" s="358"/>
      <c r="V427" s="358"/>
      <c r="W427" s="358"/>
      <c r="X427" s="358"/>
      <c r="Y427" s="358"/>
      <c r="Z427" s="358"/>
    </row>
    <row r="428" spans="1:26" ht="15.75" customHeight="1" x14ac:dyDescent="0.25">
      <c r="A428" s="358"/>
      <c r="B428" s="358"/>
      <c r="C428" s="358"/>
      <c r="D428" s="358"/>
      <c r="E428" s="358"/>
      <c r="F428" s="358"/>
      <c r="G428" s="358"/>
      <c r="H428" s="358"/>
      <c r="I428" s="358"/>
      <c r="J428" s="358"/>
      <c r="K428" s="358"/>
      <c r="L428" s="358"/>
      <c r="M428" s="358"/>
      <c r="N428" s="358"/>
      <c r="O428" s="358"/>
      <c r="P428" s="358"/>
      <c r="Q428" s="358"/>
      <c r="R428" s="358"/>
      <c r="S428" s="358"/>
      <c r="T428" s="358"/>
      <c r="U428" s="358"/>
      <c r="V428" s="358"/>
      <c r="W428" s="358"/>
      <c r="X428" s="358"/>
      <c r="Y428" s="358"/>
      <c r="Z428" s="358"/>
    </row>
    <row r="429" spans="1:26" ht="15.75" customHeight="1" x14ac:dyDescent="0.25">
      <c r="A429" s="358"/>
      <c r="B429" s="358"/>
      <c r="C429" s="358"/>
      <c r="D429" s="358"/>
      <c r="E429" s="358"/>
      <c r="F429" s="358"/>
      <c r="G429" s="358"/>
      <c r="H429" s="358"/>
      <c r="I429" s="358"/>
      <c r="J429" s="358"/>
      <c r="K429" s="358"/>
      <c r="L429" s="358"/>
      <c r="M429" s="358"/>
      <c r="N429" s="358"/>
      <c r="O429" s="358"/>
      <c r="P429" s="358"/>
      <c r="Q429" s="358"/>
      <c r="R429" s="358"/>
      <c r="S429" s="358"/>
      <c r="T429" s="358"/>
      <c r="U429" s="358"/>
      <c r="V429" s="358"/>
      <c r="W429" s="358"/>
      <c r="X429" s="358"/>
      <c r="Y429" s="358"/>
      <c r="Z429" s="358"/>
    </row>
    <row r="430" spans="1:26" ht="15.75" customHeight="1" x14ac:dyDescent="0.25">
      <c r="A430" s="358"/>
      <c r="B430" s="358"/>
      <c r="C430" s="358"/>
      <c r="D430" s="358"/>
      <c r="E430" s="358"/>
      <c r="F430" s="358"/>
      <c r="G430" s="358"/>
      <c r="H430" s="358"/>
      <c r="I430" s="358"/>
      <c r="J430" s="358"/>
      <c r="K430" s="358"/>
      <c r="L430" s="358"/>
      <c r="M430" s="358"/>
      <c r="N430" s="358"/>
      <c r="O430" s="358"/>
      <c r="P430" s="358"/>
      <c r="Q430" s="358"/>
      <c r="R430" s="358"/>
      <c r="S430" s="358"/>
      <c r="T430" s="358"/>
      <c r="U430" s="358"/>
      <c r="V430" s="358"/>
      <c r="W430" s="358"/>
      <c r="X430" s="358"/>
      <c r="Y430" s="358"/>
      <c r="Z430" s="358"/>
    </row>
    <row r="431" spans="1:26" ht="15.75" customHeight="1" x14ac:dyDescent="0.25">
      <c r="A431" s="358"/>
      <c r="B431" s="358"/>
      <c r="C431" s="358"/>
      <c r="D431" s="358"/>
      <c r="E431" s="358"/>
      <c r="F431" s="358"/>
      <c r="G431" s="358"/>
      <c r="H431" s="358"/>
      <c r="I431" s="358"/>
      <c r="J431" s="358"/>
      <c r="K431" s="358"/>
      <c r="L431" s="358"/>
      <c r="M431" s="358"/>
      <c r="N431" s="358"/>
      <c r="O431" s="358"/>
      <c r="P431" s="358"/>
      <c r="Q431" s="358"/>
      <c r="R431" s="358"/>
      <c r="S431" s="358"/>
      <c r="T431" s="358"/>
      <c r="U431" s="358"/>
      <c r="V431" s="358"/>
      <c r="W431" s="358"/>
      <c r="X431" s="358"/>
      <c r="Y431" s="358"/>
      <c r="Z431" s="358"/>
    </row>
    <row r="432" spans="1:26" ht="15.75" customHeight="1" x14ac:dyDescent="0.25">
      <c r="A432" s="358"/>
      <c r="B432" s="358"/>
      <c r="C432" s="358"/>
      <c r="D432" s="358"/>
      <c r="E432" s="358"/>
      <c r="F432" s="358"/>
      <c r="G432" s="358"/>
      <c r="H432" s="358"/>
      <c r="I432" s="358"/>
      <c r="J432" s="358"/>
      <c r="K432" s="358"/>
      <c r="L432" s="358"/>
      <c r="M432" s="358"/>
      <c r="N432" s="358"/>
      <c r="O432" s="358"/>
      <c r="P432" s="358"/>
      <c r="Q432" s="358"/>
      <c r="R432" s="358"/>
      <c r="S432" s="358"/>
      <c r="T432" s="358"/>
      <c r="U432" s="358"/>
      <c r="V432" s="358"/>
      <c r="W432" s="358"/>
      <c r="X432" s="358"/>
      <c r="Y432" s="358"/>
      <c r="Z432" s="358"/>
    </row>
    <row r="433" spans="1:26" ht="15.75" customHeight="1" x14ac:dyDescent="0.25">
      <c r="A433" s="358"/>
      <c r="B433" s="358"/>
      <c r="C433" s="358"/>
      <c r="D433" s="358"/>
      <c r="E433" s="358"/>
      <c r="F433" s="358"/>
      <c r="G433" s="358"/>
      <c r="H433" s="358"/>
      <c r="I433" s="358"/>
      <c r="J433" s="358"/>
      <c r="K433" s="358"/>
      <c r="L433" s="358"/>
      <c r="M433" s="358"/>
      <c r="N433" s="358"/>
      <c r="O433" s="358"/>
      <c r="P433" s="358"/>
      <c r="Q433" s="358"/>
      <c r="R433" s="358"/>
      <c r="S433" s="358"/>
      <c r="T433" s="358"/>
      <c r="U433" s="358"/>
      <c r="V433" s="358"/>
      <c r="W433" s="358"/>
      <c r="X433" s="358"/>
      <c r="Y433" s="358"/>
      <c r="Z433" s="358"/>
    </row>
    <row r="434" spans="1:26" ht="15.75" customHeight="1" x14ac:dyDescent="0.25">
      <c r="A434" s="358"/>
      <c r="B434" s="358"/>
      <c r="C434" s="358"/>
      <c r="D434" s="358"/>
      <c r="E434" s="358"/>
      <c r="F434" s="358"/>
      <c r="G434" s="358"/>
      <c r="H434" s="358"/>
      <c r="I434" s="358"/>
      <c r="J434" s="358"/>
      <c r="K434" s="358"/>
      <c r="L434" s="358"/>
      <c r="M434" s="358"/>
      <c r="N434" s="358"/>
      <c r="O434" s="358"/>
      <c r="P434" s="358"/>
      <c r="Q434" s="358"/>
      <c r="R434" s="358"/>
      <c r="S434" s="358"/>
      <c r="T434" s="358"/>
      <c r="U434" s="358"/>
      <c r="V434" s="358"/>
      <c r="W434" s="358"/>
      <c r="X434" s="358"/>
      <c r="Y434" s="358"/>
      <c r="Z434" s="358"/>
    </row>
    <row r="435" spans="1:26" ht="15.75" customHeight="1" x14ac:dyDescent="0.25">
      <c r="A435" s="358"/>
      <c r="B435" s="358"/>
      <c r="C435" s="358"/>
      <c r="D435" s="358"/>
      <c r="E435" s="358"/>
      <c r="F435" s="358"/>
      <c r="G435" s="358"/>
      <c r="H435" s="358"/>
      <c r="I435" s="358"/>
      <c r="J435" s="358"/>
      <c r="K435" s="358"/>
      <c r="L435" s="358"/>
      <c r="M435" s="358"/>
      <c r="N435" s="358"/>
      <c r="O435" s="358"/>
      <c r="P435" s="358"/>
      <c r="Q435" s="358"/>
      <c r="R435" s="358"/>
      <c r="S435" s="358"/>
      <c r="T435" s="358"/>
      <c r="U435" s="358"/>
      <c r="V435" s="358"/>
      <c r="W435" s="358"/>
      <c r="X435" s="358"/>
      <c r="Y435" s="358"/>
      <c r="Z435" s="358"/>
    </row>
    <row r="436" spans="1:26" ht="15.75" customHeight="1" x14ac:dyDescent="0.25">
      <c r="A436" s="358"/>
      <c r="B436" s="358"/>
      <c r="C436" s="358"/>
      <c r="D436" s="358"/>
      <c r="E436" s="358"/>
      <c r="F436" s="358"/>
      <c r="G436" s="358"/>
      <c r="H436" s="358"/>
      <c r="I436" s="358"/>
      <c r="J436" s="358"/>
      <c r="K436" s="358"/>
      <c r="L436" s="358"/>
      <c r="M436" s="358"/>
      <c r="N436" s="358"/>
      <c r="O436" s="358"/>
      <c r="P436" s="358"/>
      <c r="Q436" s="358"/>
      <c r="R436" s="358"/>
      <c r="S436" s="358"/>
      <c r="T436" s="358"/>
      <c r="U436" s="358"/>
      <c r="V436" s="358"/>
      <c r="W436" s="358"/>
      <c r="X436" s="358"/>
      <c r="Y436" s="358"/>
      <c r="Z436" s="358"/>
    </row>
    <row r="437" spans="1:26" ht="15.75" customHeight="1" x14ac:dyDescent="0.25">
      <c r="A437" s="358"/>
      <c r="B437" s="358"/>
      <c r="C437" s="358"/>
      <c r="D437" s="358"/>
      <c r="E437" s="358"/>
      <c r="F437" s="358"/>
      <c r="G437" s="358"/>
      <c r="H437" s="358"/>
      <c r="I437" s="358"/>
      <c r="J437" s="358"/>
      <c r="K437" s="358"/>
      <c r="L437" s="358"/>
      <c r="M437" s="358"/>
      <c r="N437" s="358"/>
      <c r="O437" s="358"/>
      <c r="P437" s="358"/>
      <c r="Q437" s="358"/>
      <c r="R437" s="358"/>
      <c r="S437" s="358"/>
      <c r="T437" s="358"/>
      <c r="U437" s="358"/>
      <c r="V437" s="358"/>
      <c r="W437" s="358"/>
      <c r="X437" s="358"/>
      <c r="Y437" s="358"/>
      <c r="Z437" s="358"/>
    </row>
    <row r="438" spans="1:26" ht="15.75" customHeight="1" x14ac:dyDescent="0.25">
      <c r="A438" s="358"/>
      <c r="B438" s="358"/>
      <c r="C438" s="358"/>
      <c r="D438" s="358"/>
      <c r="E438" s="358"/>
      <c r="F438" s="358"/>
      <c r="G438" s="358"/>
      <c r="H438" s="358"/>
      <c r="I438" s="358"/>
      <c r="J438" s="358"/>
      <c r="K438" s="358"/>
      <c r="L438" s="358"/>
      <c r="M438" s="358"/>
      <c r="N438" s="358"/>
      <c r="O438" s="358"/>
      <c r="P438" s="358"/>
      <c r="Q438" s="358"/>
      <c r="R438" s="358"/>
      <c r="S438" s="358"/>
      <c r="T438" s="358"/>
      <c r="U438" s="358"/>
      <c r="V438" s="358"/>
      <c r="W438" s="358"/>
      <c r="X438" s="358"/>
      <c r="Y438" s="358"/>
      <c r="Z438" s="358"/>
    </row>
    <row r="439" spans="1:26" ht="15.75" customHeight="1" x14ac:dyDescent="0.25">
      <c r="A439" s="358"/>
      <c r="B439" s="358"/>
      <c r="C439" s="358"/>
      <c r="D439" s="358"/>
      <c r="E439" s="358"/>
      <c r="F439" s="358"/>
      <c r="G439" s="358"/>
      <c r="H439" s="358"/>
      <c r="I439" s="358"/>
      <c r="J439" s="358"/>
      <c r="K439" s="358"/>
      <c r="L439" s="358"/>
      <c r="M439" s="358"/>
      <c r="N439" s="358"/>
      <c r="O439" s="358"/>
      <c r="P439" s="358"/>
      <c r="Q439" s="358"/>
      <c r="R439" s="358"/>
      <c r="S439" s="358"/>
      <c r="T439" s="358"/>
      <c r="U439" s="358"/>
      <c r="V439" s="358"/>
      <c r="W439" s="358"/>
      <c r="X439" s="358"/>
      <c r="Y439" s="358"/>
      <c r="Z439" s="358"/>
    </row>
    <row r="440" spans="1:26" ht="15.75" customHeight="1" x14ac:dyDescent="0.25">
      <c r="A440" s="358"/>
      <c r="B440" s="358"/>
      <c r="C440" s="358"/>
      <c r="D440" s="358"/>
      <c r="E440" s="358"/>
      <c r="F440" s="358"/>
      <c r="G440" s="358"/>
      <c r="H440" s="358"/>
      <c r="I440" s="358"/>
      <c r="J440" s="358"/>
      <c r="K440" s="358"/>
      <c r="L440" s="358"/>
      <c r="M440" s="358"/>
      <c r="N440" s="358"/>
      <c r="O440" s="358"/>
      <c r="P440" s="358"/>
      <c r="Q440" s="358"/>
      <c r="R440" s="358"/>
      <c r="S440" s="358"/>
      <c r="T440" s="358"/>
      <c r="U440" s="358"/>
      <c r="V440" s="358"/>
      <c r="W440" s="358"/>
      <c r="X440" s="358"/>
      <c r="Y440" s="358"/>
      <c r="Z440" s="358"/>
    </row>
    <row r="441" spans="1:26" ht="15.75" customHeight="1" x14ac:dyDescent="0.25">
      <c r="A441" s="358"/>
      <c r="B441" s="358"/>
      <c r="C441" s="358"/>
      <c r="D441" s="358"/>
      <c r="E441" s="358"/>
      <c r="F441" s="358"/>
      <c r="G441" s="358"/>
      <c r="H441" s="358"/>
      <c r="I441" s="358"/>
      <c r="J441" s="358"/>
      <c r="K441" s="358"/>
      <c r="L441" s="358"/>
      <c r="M441" s="358"/>
      <c r="N441" s="358"/>
      <c r="O441" s="358"/>
      <c r="P441" s="358"/>
      <c r="Q441" s="358"/>
      <c r="R441" s="358"/>
      <c r="S441" s="358"/>
      <c r="T441" s="358"/>
      <c r="U441" s="358"/>
      <c r="V441" s="358"/>
      <c r="W441" s="358"/>
      <c r="X441" s="358"/>
      <c r="Y441" s="358"/>
      <c r="Z441" s="358"/>
    </row>
    <row r="442" spans="1:26" ht="15.75" customHeight="1" x14ac:dyDescent="0.25">
      <c r="A442" s="358"/>
      <c r="B442" s="358"/>
      <c r="C442" s="358"/>
      <c r="D442" s="358"/>
      <c r="E442" s="358"/>
      <c r="F442" s="358"/>
      <c r="G442" s="358"/>
      <c r="H442" s="358"/>
      <c r="I442" s="358"/>
      <c r="J442" s="358"/>
      <c r="K442" s="358"/>
      <c r="L442" s="358"/>
      <c r="M442" s="358"/>
      <c r="N442" s="358"/>
      <c r="O442" s="358"/>
      <c r="P442" s="358"/>
      <c r="Q442" s="358"/>
      <c r="R442" s="358"/>
      <c r="S442" s="358"/>
      <c r="T442" s="358"/>
      <c r="U442" s="358"/>
      <c r="V442" s="358"/>
      <c r="W442" s="358"/>
      <c r="X442" s="358"/>
      <c r="Y442" s="358"/>
      <c r="Z442" s="358"/>
    </row>
    <row r="443" spans="1:26" ht="15.75" customHeight="1" x14ac:dyDescent="0.25">
      <c r="A443" s="358"/>
      <c r="B443" s="358"/>
      <c r="C443" s="358"/>
      <c r="D443" s="358"/>
      <c r="E443" s="358"/>
      <c r="F443" s="358"/>
      <c r="G443" s="358"/>
      <c r="H443" s="358"/>
      <c r="I443" s="358"/>
      <c r="J443" s="358"/>
      <c r="K443" s="358"/>
      <c r="L443" s="358"/>
      <c r="M443" s="358"/>
      <c r="N443" s="358"/>
      <c r="O443" s="358"/>
      <c r="P443" s="358"/>
      <c r="Q443" s="358"/>
      <c r="R443" s="358"/>
      <c r="S443" s="358"/>
      <c r="T443" s="358"/>
      <c r="U443" s="358"/>
      <c r="V443" s="358"/>
      <c r="W443" s="358"/>
      <c r="X443" s="358"/>
      <c r="Y443" s="358"/>
      <c r="Z443" s="358"/>
    </row>
    <row r="444" spans="1:26" ht="15.75" customHeight="1" x14ac:dyDescent="0.25">
      <c r="A444" s="358"/>
      <c r="B444" s="358"/>
      <c r="C444" s="358"/>
      <c r="D444" s="358"/>
      <c r="E444" s="358"/>
      <c r="F444" s="358"/>
      <c r="G444" s="358"/>
      <c r="H444" s="358"/>
      <c r="I444" s="358"/>
      <c r="J444" s="358"/>
      <c r="K444" s="358"/>
      <c r="L444" s="358"/>
      <c r="M444" s="358"/>
      <c r="N444" s="358"/>
      <c r="O444" s="358"/>
      <c r="P444" s="358"/>
      <c r="Q444" s="358"/>
      <c r="R444" s="358"/>
      <c r="S444" s="358"/>
      <c r="T444" s="358"/>
      <c r="U444" s="358"/>
      <c r="V444" s="358"/>
      <c r="W444" s="358"/>
      <c r="X444" s="358"/>
      <c r="Y444" s="358"/>
      <c r="Z444" s="358"/>
    </row>
    <row r="445" spans="1:26" ht="15.75" customHeight="1" x14ac:dyDescent="0.25">
      <c r="A445" s="358"/>
      <c r="B445" s="358"/>
      <c r="C445" s="358"/>
      <c r="D445" s="358"/>
      <c r="E445" s="358"/>
      <c r="F445" s="358"/>
      <c r="G445" s="358"/>
      <c r="H445" s="358"/>
      <c r="I445" s="358"/>
      <c r="J445" s="358"/>
      <c r="K445" s="358"/>
      <c r="L445" s="358"/>
      <c r="M445" s="358"/>
      <c r="N445" s="358"/>
      <c r="O445" s="358"/>
      <c r="P445" s="358"/>
      <c r="Q445" s="358"/>
      <c r="R445" s="358"/>
      <c r="S445" s="358"/>
      <c r="T445" s="358"/>
      <c r="U445" s="358"/>
      <c r="V445" s="358"/>
      <c r="W445" s="358"/>
      <c r="X445" s="358"/>
      <c r="Y445" s="358"/>
      <c r="Z445" s="358"/>
    </row>
    <row r="446" spans="1:26" ht="15.75" customHeight="1" x14ac:dyDescent="0.25">
      <c r="A446" s="358"/>
      <c r="B446" s="358"/>
      <c r="C446" s="358"/>
      <c r="D446" s="358"/>
      <c r="E446" s="358"/>
      <c r="F446" s="358"/>
      <c r="G446" s="358"/>
      <c r="H446" s="358"/>
      <c r="I446" s="358"/>
      <c r="J446" s="358"/>
      <c r="K446" s="358"/>
      <c r="L446" s="358"/>
      <c r="M446" s="358"/>
      <c r="N446" s="358"/>
      <c r="O446" s="358"/>
      <c r="P446" s="358"/>
      <c r="Q446" s="358"/>
      <c r="R446" s="358"/>
      <c r="S446" s="358"/>
      <c r="T446" s="358"/>
      <c r="U446" s="358"/>
      <c r="V446" s="358"/>
      <c r="W446" s="358"/>
      <c r="X446" s="358"/>
      <c r="Y446" s="358"/>
      <c r="Z446" s="358"/>
    </row>
    <row r="447" spans="1:26" ht="15.75" customHeight="1" x14ac:dyDescent="0.25">
      <c r="A447" s="358"/>
      <c r="B447" s="358"/>
      <c r="C447" s="358"/>
      <c r="D447" s="358"/>
      <c r="E447" s="358"/>
      <c r="F447" s="358"/>
      <c r="G447" s="358"/>
      <c r="H447" s="358"/>
      <c r="I447" s="358"/>
      <c r="J447" s="358"/>
      <c r="K447" s="358"/>
      <c r="L447" s="358"/>
      <c r="M447" s="358"/>
      <c r="N447" s="358"/>
      <c r="O447" s="358"/>
      <c r="P447" s="358"/>
      <c r="Q447" s="358"/>
      <c r="R447" s="358"/>
      <c r="S447" s="358"/>
      <c r="T447" s="358"/>
      <c r="U447" s="358"/>
      <c r="V447" s="358"/>
      <c r="W447" s="358"/>
      <c r="X447" s="358"/>
      <c r="Y447" s="358"/>
      <c r="Z447" s="358"/>
    </row>
    <row r="448" spans="1:26" ht="15.75" customHeight="1" x14ac:dyDescent="0.25">
      <c r="A448" s="358"/>
      <c r="B448" s="358"/>
      <c r="C448" s="358"/>
      <c r="D448" s="358"/>
      <c r="E448" s="358"/>
      <c r="F448" s="358"/>
      <c r="G448" s="358"/>
      <c r="H448" s="358"/>
      <c r="I448" s="358"/>
      <c r="J448" s="358"/>
      <c r="K448" s="358"/>
      <c r="L448" s="358"/>
      <c r="M448" s="358"/>
      <c r="N448" s="358"/>
      <c r="O448" s="358"/>
      <c r="P448" s="358"/>
      <c r="Q448" s="358"/>
      <c r="R448" s="358"/>
      <c r="S448" s="358"/>
      <c r="T448" s="358"/>
      <c r="U448" s="358"/>
      <c r="V448" s="358"/>
      <c r="W448" s="358"/>
      <c r="X448" s="358"/>
      <c r="Y448" s="358"/>
      <c r="Z448" s="358"/>
    </row>
    <row r="449" spans="1:26" ht="15.75" customHeight="1" x14ac:dyDescent="0.25">
      <c r="A449" s="358"/>
      <c r="B449" s="358"/>
      <c r="C449" s="358"/>
      <c r="D449" s="358"/>
      <c r="E449" s="358"/>
      <c r="F449" s="358"/>
      <c r="G449" s="358"/>
      <c r="H449" s="358"/>
      <c r="I449" s="358"/>
      <c r="J449" s="358"/>
      <c r="K449" s="358"/>
      <c r="L449" s="358"/>
      <c r="M449" s="358"/>
      <c r="N449" s="358"/>
      <c r="O449" s="358"/>
      <c r="P449" s="358"/>
      <c r="Q449" s="358"/>
      <c r="R449" s="358"/>
      <c r="S449" s="358"/>
      <c r="T449" s="358"/>
      <c r="U449" s="358"/>
      <c r="V449" s="358"/>
      <c r="W449" s="358"/>
      <c r="X449" s="358"/>
      <c r="Y449" s="358"/>
      <c r="Z449" s="358"/>
    </row>
    <row r="450" spans="1:26" ht="15.75" customHeight="1" x14ac:dyDescent="0.25">
      <c r="A450" s="358"/>
      <c r="B450" s="358"/>
      <c r="C450" s="358"/>
      <c r="D450" s="358"/>
      <c r="E450" s="358"/>
      <c r="F450" s="358"/>
      <c r="G450" s="358"/>
      <c r="H450" s="358"/>
      <c r="I450" s="358"/>
      <c r="J450" s="358"/>
      <c r="K450" s="358"/>
      <c r="L450" s="358"/>
      <c r="M450" s="358"/>
      <c r="N450" s="358"/>
      <c r="O450" s="358"/>
      <c r="P450" s="358"/>
      <c r="Q450" s="358"/>
      <c r="R450" s="358"/>
      <c r="S450" s="358"/>
      <c r="T450" s="358"/>
      <c r="U450" s="358"/>
      <c r="V450" s="358"/>
      <c r="W450" s="358"/>
      <c r="X450" s="358"/>
      <c r="Y450" s="358"/>
      <c r="Z450" s="358"/>
    </row>
    <row r="451" spans="1:26" ht="15.75" customHeight="1" x14ac:dyDescent="0.25">
      <c r="A451" s="358"/>
      <c r="B451" s="358"/>
      <c r="C451" s="358"/>
      <c r="D451" s="358"/>
      <c r="E451" s="358"/>
      <c r="F451" s="358"/>
      <c r="G451" s="358"/>
      <c r="H451" s="358"/>
      <c r="I451" s="358"/>
      <c r="J451" s="358"/>
      <c r="K451" s="358"/>
      <c r="L451" s="358"/>
      <c r="M451" s="358"/>
      <c r="N451" s="358"/>
      <c r="O451" s="358"/>
      <c r="P451" s="358"/>
      <c r="Q451" s="358"/>
      <c r="R451" s="358"/>
      <c r="S451" s="358"/>
      <c r="T451" s="358"/>
      <c r="U451" s="358"/>
      <c r="V451" s="358"/>
      <c r="W451" s="358"/>
      <c r="X451" s="358"/>
      <c r="Y451" s="358"/>
      <c r="Z451" s="358"/>
    </row>
    <row r="452" spans="1:26" ht="15.75" customHeight="1" x14ac:dyDescent="0.25">
      <c r="A452" s="358"/>
      <c r="B452" s="358"/>
      <c r="C452" s="358"/>
      <c r="D452" s="358"/>
      <c r="E452" s="358"/>
      <c r="F452" s="358"/>
      <c r="G452" s="358"/>
      <c r="H452" s="358"/>
      <c r="I452" s="358"/>
      <c r="J452" s="358"/>
      <c r="K452" s="358"/>
      <c r="L452" s="358"/>
      <c r="M452" s="358"/>
      <c r="N452" s="358"/>
      <c r="O452" s="358"/>
      <c r="P452" s="358"/>
      <c r="Q452" s="358"/>
      <c r="R452" s="358"/>
      <c r="S452" s="358"/>
      <c r="T452" s="358"/>
      <c r="U452" s="358"/>
      <c r="V452" s="358"/>
      <c r="W452" s="358"/>
      <c r="X452" s="358"/>
      <c r="Y452" s="358"/>
      <c r="Z452" s="358"/>
    </row>
    <row r="453" spans="1:26" ht="15.75" customHeight="1" x14ac:dyDescent="0.25">
      <c r="A453" s="358"/>
      <c r="B453" s="358"/>
      <c r="C453" s="358"/>
      <c r="D453" s="358"/>
      <c r="E453" s="358"/>
      <c r="F453" s="358"/>
      <c r="G453" s="358"/>
      <c r="H453" s="358"/>
      <c r="I453" s="358"/>
      <c r="J453" s="358"/>
      <c r="K453" s="358"/>
      <c r="L453" s="358"/>
      <c r="M453" s="358"/>
      <c r="N453" s="358"/>
      <c r="O453" s="358"/>
      <c r="P453" s="358"/>
      <c r="Q453" s="358"/>
      <c r="R453" s="358"/>
      <c r="S453" s="358"/>
      <c r="T453" s="358"/>
      <c r="U453" s="358"/>
      <c r="V453" s="358"/>
      <c r="W453" s="358"/>
      <c r="X453" s="358"/>
      <c r="Y453" s="358"/>
      <c r="Z453" s="358"/>
    </row>
    <row r="454" spans="1:26" ht="15.75" customHeight="1" x14ac:dyDescent="0.25">
      <c r="A454" s="358"/>
      <c r="B454" s="358"/>
      <c r="C454" s="358"/>
      <c r="D454" s="358"/>
      <c r="E454" s="358"/>
      <c r="F454" s="358"/>
      <c r="G454" s="358"/>
      <c r="H454" s="358"/>
      <c r="I454" s="358"/>
      <c r="J454" s="358"/>
      <c r="K454" s="358"/>
      <c r="L454" s="358"/>
      <c r="M454" s="358"/>
      <c r="N454" s="358"/>
      <c r="O454" s="358"/>
      <c r="P454" s="358"/>
      <c r="Q454" s="358"/>
      <c r="R454" s="358"/>
      <c r="S454" s="358"/>
      <c r="T454" s="358"/>
      <c r="U454" s="358"/>
      <c r="V454" s="358"/>
      <c r="W454" s="358"/>
      <c r="X454" s="358"/>
      <c r="Y454" s="358"/>
      <c r="Z454" s="358"/>
    </row>
    <row r="455" spans="1:26" ht="15.75" customHeight="1" x14ac:dyDescent="0.25">
      <c r="A455" s="358"/>
      <c r="B455" s="358"/>
      <c r="C455" s="358"/>
      <c r="D455" s="358"/>
      <c r="E455" s="358"/>
      <c r="F455" s="358"/>
      <c r="G455" s="358"/>
      <c r="H455" s="358"/>
      <c r="I455" s="358"/>
      <c r="J455" s="358"/>
      <c r="K455" s="358"/>
      <c r="L455" s="358"/>
      <c r="M455" s="358"/>
      <c r="N455" s="358"/>
      <c r="O455" s="358"/>
      <c r="P455" s="358"/>
      <c r="Q455" s="358"/>
      <c r="R455" s="358"/>
      <c r="S455" s="358"/>
      <c r="T455" s="358"/>
      <c r="U455" s="358"/>
      <c r="V455" s="358"/>
      <c r="W455" s="358"/>
      <c r="X455" s="358"/>
      <c r="Y455" s="358"/>
      <c r="Z455" s="358"/>
    </row>
    <row r="456" spans="1:26" ht="15.75" customHeight="1" x14ac:dyDescent="0.25">
      <c r="A456" s="358"/>
      <c r="B456" s="358"/>
      <c r="C456" s="358"/>
      <c r="D456" s="358"/>
      <c r="E456" s="358"/>
      <c r="F456" s="358"/>
      <c r="G456" s="358"/>
      <c r="H456" s="358"/>
      <c r="I456" s="358"/>
      <c r="J456" s="358"/>
      <c r="K456" s="358"/>
      <c r="L456" s="358"/>
      <c r="M456" s="358"/>
      <c r="N456" s="358"/>
      <c r="O456" s="358"/>
      <c r="P456" s="358"/>
      <c r="Q456" s="358"/>
      <c r="R456" s="358"/>
      <c r="S456" s="358"/>
      <c r="T456" s="358"/>
      <c r="U456" s="358"/>
      <c r="V456" s="358"/>
      <c r="W456" s="358"/>
      <c r="X456" s="358"/>
      <c r="Y456" s="358"/>
      <c r="Z456" s="358"/>
    </row>
    <row r="457" spans="1:26" ht="15.75" customHeight="1" x14ac:dyDescent="0.25">
      <c r="A457" s="358"/>
      <c r="B457" s="358"/>
      <c r="C457" s="358"/>
      <c r="D457" s="358"/>
      <c r="E457" s="358"/>
      <c r="F457" s="358"/>
      <c r="G457" s="358"/>
      <c r="H457" s="358"/>
      <c r="I457" s="358"/>
      <c r="J457" s="358"/>
      <c r="K457" s="358"/>
      <c r="L457" s="358"/>
      <c r="M457" s="358"/>
      <c r="N457" s="358"/>
      <c r="O457" s="358"/>
      <c r="P457" s="358"/>
      <c r="Q457" s="358"/>
      <c r="R457" s="358"/>
      <c r="S457" s="358"/>
      <c r="T457" s="358"/>
      <c r="U457" s="358"/>
      <c r="V457" s="358"/>
      <c r="W457" s="358"/>
      <c r="X457" s="358"/>
      <c r="Y457" s="358"/>
      <c r="Z457" s="358"/>
    </row>
    <row r="458" spans="1:26" ht="15.75" customHeight="1" x14ac:dyDescent="0.25">
      <c r="A458" s="358"/>
      <c r="B458" s="358"/>
      <c r="C458" s="358"/>
      <c r="D458" s="358"/>
      <c r="E458" s="358"/>
      <c r="F458" s="358"/>
      <c r="G458" s="358"/>
      <c r="H458" s="358"/>
      <c r="I458" s="358"/>
      <c r="J458" s="358"/>
      <c r="K458" s="358"/>
      <c r="L458" s="358"/>
      <c r="M458" s="358"/>
      <c r="N458" s="358"/>
      <c r="O458" s="358"/>
      <c r="P458" s="358"/>
      <c r="Q458" s="358"/>
      <c r="R458" s="358"/>
      <c r="S458" s="358"/>
      <c r="T458" s="358"/>
      <c r="U458" s="358"/>
      <c r="V458" s="358"/>
      <c r="W458" s="358"/>
      <c r="X458" s="358"/>
      <c r="Y458" s="358"/>
      <c r="Z458" s="358"/>
    </row>
    <row r="459" spans="1:26" ht="15.75" customHeight="1" x14ac:dyDescent="0.25">
      <c r="A459" s="358"/>
      <c r="B459" s="358"/>
      <c r="C459" s="358"/>
      <c r="D459" s="358"/>
      <c r="E459" s="358"/>
      <c r="F459" s="358"/>
      <c r="G459" s="358"/>
      <c r="H459" s="358"/>
      <c r="I459" s="358"/>
      <c r="J459" s="358"/>
      <c r="K459" s="358"/>
      <c r="L459" s="358"/>
      <c r="M459" s="358"/>
      <c r="N459" s="358"/>
      <c r="O459" s="358"/>
      <c r="P459" s="358"/>
      <c r="Q459" s="358"/>
      <c r="R459" s="358"/>
      <c r="S459" s="358"/>
      <c r="T459" s="358"/>
      <c r="U459" s="358"/>
      <c r="V459" s="358"/>
      <c r="W459" s="358"/>
      <c r="X459" s="358"/>
      <c r="Y459" s="358"/>
      <c r="Z459" s="358"/>
    </row>
    <row r="460" spans="1:26" ht="15.75" customHeight="1" x14ac:dyDescent="0.25">
      <c r="A460" s="358"/>
      <c r="B460" s="358"/>
      <c r="C460" s="358"/>
      <c r="D460" s="358"/>
      <c r="E460" s="358"/>
      <c r="F460" s="358"/>
      <c r="G460" s="358"/>
      <c r="H460" s="358"/>
      <c r="I460" s="358"/>
      <c r="J460" s="358"/>
      <c r="K460" s="358"/>
      <c r="L460" s="358"/>
      <c r="M460" s="358"/>
      <c r="N460" s="358"/>
      <c r="O460" s="358"/>
      <c r="P460" s="358"/>
      <c r="Q460" s="358"/>
      <c r="R460" s="358"/>
      <c r="S460" s="358"/>
      <c r="T460" s="358"/>
      <c r="U460" s="358"/>
      <c r="V460" s="358"/>
      <c r="W460" s="358"/>
      <c r="X460" s="358"/>
      <c r="Y460" s="358"/>
      <c r="Z460" s="358"/>
    </row>
    <row r="461" spans="1:26" ht="15.75" customHeight="1" x14ac:dyDescent="0.25">
      <c r="A461" s="358"/>
      <c r="B461" s="358"/>
      <c r="C461" s="358"/>
      <c r="D461" s="358"/>
      <c r="E461" s="358"/>
      <c r="F461" s="358"/>
      <c r="G461" s="358"/>
      <c r="H461" s="358"/>
      <c r="I461" s="358"/>
      <c r="J461" s="358"/>
      <c r="K461" s="358"/>
      <c r="L461" s="358"/>
      <c r="M461" s="358"/>
      <c r="N461" s="358"/>
      <c r="O461" s="358"/>
      <c r="P461" s="358"/>
      <c r="Q461" s="358"/>
      <c r="R461" s="358"/>
      <c r="S461" s="358"/>
      <c r="T461" s="358"/>
      <c r="U461" s="358"/>
      <c r="V461" s="358"/>
      <c r="W461" s="358"/>
      <c r="X461" s="358"/>
      <c r="Y461" s="358"/>
      <c r="Z461" s="358"/>
    </row>
    <row r="462" spans="1:26" ht="15.75" customHeight="1" x14ac:dyDescent="0.25">
      <c r="A462" s="358"/>
      <c r="B462" s="358"/>
      <c r="C462" s="358"/>
      <c r="D462" s="358"/>
      <c r="E462" s="358"/>
      <c r="F462" s="358"/>
      <c r="G462" s="358"/>
      <c r="H462" s="358"/>
      <c r="I462" s="358"/>
      <c r="J462" s="358"/>
      <c r="K462" s="358"/>
      <c r="L462" s="358"/>
      <c r="M462" s="358"/>
      <c r="N462" s="358"/>
      <c r="O462" s="358"/>
      <c r="P462" s="358"/>
      <c r="Q462" s="358"/>
      <c r="R462" s="358"/>
      <c r="S462" s="358"/>
      <c r="T462" s="358"/>
      <c r="U462" s="358"/>
      <c r="V462" s="358"/>
      <c r="W462" s="358"/>
      <c r="X462" s="358"/>
      <c r="Y462" s="358"/>
      <c r="Z462" s="358"/>
    </row>
    <row r="463" spans="1:26" ht="15.75" customHeight="1" x14ac:dyDescent="0.25">
      <c r="A463" s="358"/>
      <c r="B463" s="358"/>
      <c r="C463" s="358"/>
      <c r="D463" s="358"/>
      <c r="E463" s="358"/>
      <c r="F463" s="358"/>
      <c r="G463" s="358"/>
      <c r="H463" s="358"/>
      <c r="I463" s="358"/>
      <c r="J463" s="358"/>
      <c r="K463" s="358"/>
      <c r="L463" s="358"/>
      <c r="M463" s="358"/>
      <c r="N463" s="358"/>
      <c r="O463" s="358"/>
      <c r="P463" s="358"/>
      <c r="Q463" s="358"/>
      <c r="R463" s="358"/>
      <c r="S463" s="358"/>
      <c r="T463" s="358"/>
      <c r="U463" s="358"/>
      <c r="V463" s="358"/>
      <c r="W463" s="358"/>
      <c r="X463" s="358"/>
      <c r="Y463" s="358"/>
      <c r="Z463" s="358"/>
    </row>
    <row r="464" spans="1:26" ht="15.75" customHeight="1" x14ac:dyDescent="0.25">
      <c r="A464" s="358"/>
      <c r="B464" s="358"/>
      <c r="C464" s="358"/>
      <c r="D464" s="358"/>
      <c r="E464" s="358"/>
      <c r="F464" s="358"/>
      <c r="G464" s="358"/>
      <c r="H464" s="358"/>
      <c r="I464" s="358"/>
      <c r="J464" s="358"/>
      <c r="K464" s="358"/>
      <c r="L464" s="358"/>
      <c r="M464" s="358"/>
      <c r="N464" s="358"/>
      <c r="O464" s="358"/>
      <c r="P464" s="358"/>
      <c r="Q464" s="358"/>
      <c r="R464" s="358"/>
      <c r="S464" s="358"/>
      <c r="T464" s="358"/>
      <c r="U464" s="358"/>
      <c r="V464" s="358"/>
      <c r="W464" s="358"/>
      <c r="X464" s="358"/>
      <c r="Y464" s="358"/>
      <c r="Z464" s="358"/>
    </row>
    <row r="465" spans="1:26" ht="15.75" customHeight="1" x14ac:dyDescent="0.25">
      <c r="A465" s="358"/>
      <c r="B465" s="358"/>
      <c r="C465" s="358"/>
      <c r="D465" s="358"/>
      <c r="E465" s="358"/>
      <c r="F465" s="358"/>
      <c r="G465" s="358"/>
      <c r="H465" s="358"/>
      <c r="I465" s="358"/>
      <c r="J465" s="358"/>
      <c r="K465" s="358"/>
      <c r="L465" s="358"/>
      <c r="M465" s="358"/>
      <c r="N465" s="358"/>
      <c r="O465" s="358"/>
      <c r="P465" s="358"/>
      <c r="Q465" s="358"/>
      <c r="R465" s="358"/>
      <c r="S465" s="358"/>
      <c r="T465" s="358"/>
      <c r="U465" s="358"/>
      <c r="V465" s="358"/>
      <c r="W465" s="358"/>
      <c r="X465" s="358"/>
      <c r="Y465" s="358"/>
      <c r="Z465" s="358"/>
    </row>
    <row r="466" spans="1:26" ht="15.75" customHeight="1" x14ac:dyDescent="0.25">
      <c r="A466" s="358"/>
      <c r="B466" s="358"/>
      <c r="C466" s="358"/>
      <c r="D466" s="358"/>
      <c r="E466" s="358"/>
      <c r="F466" s="358"/>
      <c r="G466" s="358"/>
      <c r="H466" s="358"/>
      <c r="I466" s="358"/>
      <c r="J466" s="358"/>
      <c r="K466" s="358"/>
      <c r="L466" s="358"/>
      <c r="M466" s="358"/>
      <c r="N466" s="358"/>
      <c r="O466" s="358"/>
      <c r="P466" s="358"/>
      <c r="Q466" s="358"/>
      <c r="R466" s="358"/>
      <c r="S466" s="358"/>
      <c r="T466" s="358"/>
      <c r="U466" s="358"/>
      <c r="V466" s="358"/>
      <c r="W466" s="358"/>
      <c r="X466" s="358"/>
      <c r="Y466" s="358"/>
      <c r="Z466" s="358"/>
    </row>
    <row r="467" spans="1:26" ht="15.75" customHeight="1" x14ac:dyDescent="0.25">
      <c r="A467" s="358"/>
      <c r="B467" s="358"/>
      <c r="C467" s="358"/>
      <c r="D467" s="358"/>
      <c r="E467" s="358"/>
      <c r="F467" s="358"/>
      <c r="G467" s="358"/>
      <c r="H467" s="358"/>
      <c r="I467" s="358"/>
      <c r="J467" s="358"/>
      <c r="K467" s="358"/>
      <c r="L467" s="358"/>
      <c r="M467" s="358"/>
      <c r="N467" s="358"/>
      <c r="O467" s="358"/>
      <c r="P467" s="358"/>
      <c r="Q467" s="358"/>
      <c r="R467" s="358"/>
      <c r="S467" s="358"/>
      <c r="T467" s="358"/>
      <c r="U467" s="358"/>
      <c r="V467" s="358"/>
      <c r="W467" s="358"/>
      <c r="X467" s="358"/>
      <c r="Y467" s="358"/>
      <c r="Z467" s="358"/>
    </row>
    <row r="468" spans="1:26" ht="15.75" customHeight="1" x14ac:dyDescent="0.25">
      <c r="A468" s="358"/>
      <c r="B468" s="358"/>
      <c r="C468" s="358"/>
      <c r="D468" s="358"/>
      <c r="E468" s="358"/>
      <c r="F468" s="358"/>
      <c r="G468" s="358"/>
      <c r="H468" s="358"/>
      <c r="I468" s="358"/>
      <c r="J468" s="358"/>
      <c r="K468" s="358"/>
      <c r="L468" s="358"/>
      <c r="M468" s="358"/>
      <c r="N468" s="358"/>
      <c r="O468" s="358"/>
      <c r="P468" s="358"/>
      <c r="Q468" s="358"/>
      <c r="R468" s="358"/>
      <c r="S468" s="358"/>
      <c r="T468" s="358"/>
      <c r="U468" s="358"/>
      <c r="V468" s="358"/>
      <c r="W468" s="358"/>
      <c r="X468" s="358"/>
      <c r="Y468" s="358"/>
      <c r="Z468" s="358"/>
    </row>
    <row r="469" spans="1:26" ht="15.75" customHeight="1" x14ac:dyDescent="0.25">
      <c r="A469" s="358"/>
      <c r="B469" s="358"/>
      <c r="C469" s="358"/>
      <c r="D469" s="358"/>
      <c r="E469" s="358"/>
      <c r="F469" s="358"/>
      <c r="G469" s="358"/>
      <c r="H469" s="358"/>
      <c r="I469" s="358"/>
      <c r="J469" s="358"/>
      <c r="K469" s="358"/>
      <c r="L469" s="358"/>
      <c r="M469" s="358"/>
      <c r="N469" s="358"/>
      <c r="O469" s="358"/>
      <c r="P469" s="358"/>
      <c r="Q469" s="358"/>
      <c r="R469" s="358"/>
      <c r="S469" s="358"/>
      <c r="T469" s="358"/>
      <c r="U469" s="358"/>
      <c r="V469" s="358"/>
      <c r="W469" s="358"/>
      <c r="X469" s="358"/>
      <c r="Y469" s="358"/>
      <c r="Z469" s="358"/>
    </row>
    <row r="470" spans="1:26" ht="15.75" customHeight="1" x14ac:dyDescent="0.25">
      <c r="A470" s="358"/>
      <c r="B470" s="358"/>
      <c r="C470" s="358"/>
      <c r="D470" s="358"/>
      <c r="E470" s="358"/>
      <c r="F470" s="358"/>
      <c r="G470" s="358"/>
      <c r="H470" s="358"/>
      <c r="I470" s="358"/>
      <c r="J470" s="358"/>
      <c r="K470" s="358"/>
      <c r="L470" s="358"/>
      <c r="M470" s="358"/>
      <c r="N470" s="358"/>
      <c r="O470" s="358"/>
      <c r="P470" s="358"/>
      <c r="Q470" s="358"/>
      <c r="R470" s="358"/>
      <c r="S470" s="358"/>
      <c r="T470" s="358"/>
      <c r="U470" s="358"/>
      <c r="V470" s="358"/>
      <c r="W470" s="358"/>
      <c r="X470" s="358"/>
      <c r="Y470" s="358"/>
      <c r="Z470" s="358"/>
    </row>
    <row r="471" spans="1:26" ht="15.75" customHeight="1" x14ac:dyDescent="0.25">
      <c r="A471" s="358"/>
      <c r="B471" s="358"/>
      <c r="C471" s="358"/>
      <c r="D471" s="358"/>
      <c r="E471" s="358"/>
      <c r="F471" s="358"/>
      <c r="G471" s="358"/>
      <c r="H471" s="358"/>
      <c r="I471" s="358"/>
      <c r="J471" s="358"/>
      <c r="K471" s="358"/>
      <c r="L471" s="358"/>
      <c r="M471" s="358"/>
      <c r="N471" s="358"/>
      <c r="O471" s="358"/>
      <c r="P471" s="358"/>
      <c r="Q471" s="358"/>
      <c r="R471" s="358"/>
      <c r="S471" s="358"/>
      <c r="T471" s="358"/>
      <c r="U471" s="358"/>
      <c r="V471" s="358"/>
      <c r="W471" s="358"/>
      <c r="X471" s="358"/>
      <c r="Y471" s="358"/>
      <c r="Z471" s="358"/>
    </row>
    <row r="472" spans="1:26" ht="15.75" customHeight="1" x14ac:dyDescent="0.25">
      <c r="A472" s="358"/>
      <c r="B472" s="358"/>
      <c r="C472" s="358"/>
      <c r="D472" s="358"/>
      <c r="E472" s="358"/>
      <c r="F472" s="358"/>
      <c r="G472" s="358"/>
      <c r="H472" s="358"/>
      <c r="I472" s="358"/>
      <c r="J472" s="358"/>
      <c r="K472" s="358"/>
      <c r="L472" s="358"/>
      <c r="M472" s="358"/>
      <c r="N472" s="358"/>
      <c r="O472" s="358"/>
      <c r="P472" s="358"/>
      <c r="Q472" s="358"/>
      <c r="R472" s="358"/>
      <c r="S472" s="358"/>
      <c r="T472" s="358"/>
      <c r="U472" s="358"/>
      <c r="V472" s="358"/>
      <c r="W472" s="358"/>
      <c r="X472" s="358"/>
      <c r="Y472" s="358"/>
      <c r="Z472" s="358"/>
    </row>
    <row r="473" spans="1:26" ht="15.75" customHeight="1" x14ac:dyDescent="0.25">
      <c r="A473" s="358"/>
      <c r="B473" s="358"/>
      <c r="C473" s="358"/>
      <c r="D473" s="358"/>
      <c r="E473" s="358"/>
      <c r="F473" s="358"/>
      <c r="G473" s="358"/>
      <c r="H473" s="358"/>
      <c r="I473" s="358"/>
      <c r="J473" s="358"/>
      <c r="K473" s="358"/>
      <c r="L473" s="358"/>
      <c r="M473" s="358"/>
      <c r="N473" s="358"/>
      <c r="O473" s="358"/>
      <c r="P473" s="358"/>
      <c r="Q473" s="358"/>
      <c r="R473" s="358"/>
      <c r="S473" s="358"/>
      <c r="T473" s="358"/>
      <c r="U473" s="358"/>
      <c r="V473" s="358"/>
      <c r="W473" s="358"/>
      <c r="X473" s="358"/>
      <c r="Y473" s="358"/>
      <c r="Z473" s="358"/>
    </row>
    <row r="474" spans="1:26" ht="15.75" customHeight="1" x14ac:dyDescent="0.25">
      <c r="A474" s="358"/>
      <c r="B474" s="358"/>
      <c r="C474" s="358"/>
      <c r="D474" s="358"/>
      <c r="E474" s="358"/>
      <c r="F474" s="358"/>
      <c r="G474" s="358"/>
      <c r="H474" s="358"/>
      <c r="I474" s="358"/>
      <c r="J474" s="358"/>
      <c r="K474" s="358"/>
      <c r="L474" s="358"/>
      <c r="M474" s="358"/>
      <c r="N474" s="358"/>
      <c r="O474" s="358"/>
      <c r="P474" s="358"/>
      <c r="Q474" s="358"/>
      <c r="R474" s="358"/>
      <c r="S474" s="358"/>
      <c r="T474" s="358"/>
      <c r="U474" s="358"/>
      <c r="V474" s="358"/>
      <c r="W474" s="358"/>
      <c r="X474" s="358"/>
      <c r="Y474" s="358"/>
      <c r="Z474" s="358"/>
    </row>
    <row r="475" spans="1:26" ht="15.75" customHeight="1" x14ac:dyDescent="0.25">
      <c r="A475" s="358"/>
      <c r="B475" s="358"/>
      <c r="C475" s="358"/>
      <c r="D475" s="358"/>
      <c r="E475" s="358"/>
      <c r="F475" s="358"/>
      <c r="G475" s="358"/>
      <c r="H475" s="358"/>
      <c r="I475" s="358"/>
      <c r="J475" s="358"/>
      <c r="K475" s="358"/>
      <c r="L475" s="358"/>
      <c r="M475" s="358"/>
      <c r="N475" s="358"/>
      <c r="O475" s="358"/>
      <c r="P475" s="358"/>
      <c r="Q475" s="358"/>
      <c r="R475" s="358"/>
      <c r="S475" s="358"/>
      <c r="T475" s="358"/>
      <c r="U475" s="358"/>
      <c r="V475" s="358"/>
      <c r="W475" s="358"/>
      <c r="X475" s="358"/>
      <c r="Y475" s="358"/>
      <c r="Z475" s="358"/>
    </row>
    <row r="476" spans="1:26" ht="15.75" customHeight="1" x14ac:dyDescent="0.25">
      <c r="A476" s="358"/>
      <c r="B476" s="358"/>
      <c r="C476" s="358"/>
      <c r="D476" s="358"/>
      <c r="E476" s="358"/>
      <c r="F476" s="358"/>
      <c r="G476" s="358"/>
      <c r="H476" s="358"/>
      <c r="I476" s="358"/>
      <c r="J476" s="358"/>
      <c r="K476" s="358"/>
      <c r="L476" s="358"/>
      <c r="M476" s="358"/>
      <c r="N476" s="358"/>
      <c r="O476" s="358"/>
      <c r="P476" s="358"/>
      <c r="Q476" s="358"/>
      <c r="R476" s="358"/>
      <c r="S476" s="358"/>
      <c r="T476" s="358"/>
      <c r="U476" s="358"/>
      <c r="V476" s="358"/>
      <c r="W476" s="358"/>
      <c r="X476" s="358"/>
      <c r="Y476" s="358"/>
      <c r="Z476" s="358"/>
    </row>
    <row r="477" spans="1:26" ht="15.75" customHeight="1" x14ac:dyDescent="0.25">
      <c r="A477" s="358"/>
      <c r="B477" s="358"/>
      <c r="C477" s="358"/>
      <c r="D477" s="358"/>
      <c r="E477" s="358"/>
      <c r="F477" s="358"/>
      <c r="G477" s="358"/>
      <c r="H477" s="358"/>
      <c r="I477" s="358"/>
      <c r="J477" s="358"/>
      <c r="K477" s="358"/>
      <c r="L477" s="358"/>
      <c r="M477" s="358"/>
      <c r="N477" s="358"/>
      <c r="O477" s="358"/>
      <c r="P477" s="358"/>
      <c r="Q477" s="358"/>
      <c r="R477" s="358"/>
      <c r="S477" s="358"/>
      <c r="T477" s="358"/>
      <c r="U477" s="358"/>
      <c r="V477" s="358"/>
      <c r="W477" s="358"/>
      <c r="X477" s="358"/>
      <c r="Y477" s="358"/>
      <c r="Z477" s="358"/>
    </row>
    <row r="478" spans="1:26" ht="15.75" customHeight="1" x14ac:dyDescent="0.25">
      <c r="A478" s="358"/>
      <c r="B478" s="358"/>
      <c r="C478" s="358"/>
      <c r="D478" s="358"/>
      <c r="E478" s="358"/>
      <c r="F478" s="358"/>
      <c r="G478" s="358"/>
      <c r="H478" s="358"/>
      <c r="I478" s="358"/>
      <c r="J478" s="358"/>
      <c r="K478" s="358"/>
      <c r="L478" s="358"/>
      <c r="M478" s="358"/>
      <c r="N478" s="358"/>
      <c r="O478" s="358"/>
      <c r="P478" s="358"/>
      <c r="Q478" s="358"/>
      <c r="R478" s="358"/>
      <c r="S478" s="358"/>
      <c r="T478" s="358"/>
      <c r="U478" s="358"/>
      <c r="V478" s="358"/>
      <c r="W478" s="358"/>
      <c r="X478" s="358"/>
      <c r="Y478" s="358"/>
      <c r="Z478" s="358"/>
    </row>
    <row r="479" spans="1:26" ht="15.75" customHeight="1" x14ac:dyDescent="0.25">
      <c r="A479" s="358"/>
      <c r="B479" s="358"/>
      <c r="C479" s="358"/>
      <c r="D479" s="358"/>
      <c r="E479" s="358"/>
      <c r="F479" s="358"/>
      <c r="G479" s="358"/>
      <c r="H479" s="358"/>
      <c r="I479" s="358"/>
      <c r="J479" s="358"/>
      <c r="K479" s="358"/>
      <c r="L479" s="358"/>
      <c r="M479" s="358"/>
      <c r="N479" s="358"/>
      <c r="O479" s="358"/>
      <c r="P479" s="358"/>
      <c r="Q479" s="358"/>
      <c r="R479" s="358"/>
      <c r="S479" s="358"/>
      <c r="T479" s="358"/>
      <c r="U479" s="358"/>
      <c r="V479" s="358"/>
      <c r="W479" s="358"/>
      <c r="X479" s="358"/>
      <c r="Y479" s="358"/>
      <c r="Z479" s="358"/>
    </row>
    <row r="480" spans="1:26" ht="15.75" customHeight="1" x14ac:dyDescent="0.25">
      <c r="A480" s="358"/>
      <c r="B480" s="358"/>
      <c r="C480" s="358"/>
      <c r="D480" s="358"/>
      <c r="E480" s="358"/>
      <c r="F480" s="358"/>
      <c r="G480" s="358"/>
      <c r="H480" s="358"/>
      <c r="I480" s="358"/>
      <c r="J480" s="358"/>
      <c r="K480" s="358"/>
      <c r="L480" s="358"/>
      <c r="M480" s="358"/>
      <c r="N480" s="358"/>
      <c r="O480" s="358"/>
      <c r="P480" s="358"/>
      <c r="Q480" s="358"/>
      <c r="R480" s="358"/>
      <c r="S480" s="358"/>
      <c r="T480" s="358"/>
      <c r="U480" s="358"/>
      <c r="V480" s="358"/>
      <c r="W480" s="358"/>
      <c r="X480" s="358"/>
      <c r="Y480" s="358"/>
      <c r="Z480" s="358"/>
    </row>
    <row r="481" spans="1:26" ht="15.75" customHeight="1" x14ac:dyDescent="0.25">
      <c r="A481" s="358"/>
      <c r="B481" s="358"/>
      <c r="C481" s="358"/>
      <c r="D481" s="358"/>
      <c r="E481" s="358"/>
      <c r="F481" s="358"/>
      <c r="G481" s="358"/>
      <c r="H481" s="358"/>
      <c r="I481" s="358"/>
      <c r="J481" s="358"/>
      <c r="K481" s="358"/>
      <c r="L481" s="358"/>
      <c r="M481" s="358"/>
      <c r="N481" s="358"/>
      <c r="O481" s="358"/>
      <c r="P481" s="358"/>
      <c r="Q481" s="358"/>
      <c r="R481" s="358"/>
      <c r="S481" s="358"/>
      <c r="T481" s="358"/>
      <c r="U481" s="358"/>
      <c r="V481" s="358"/>
      <c r="W481" s="358"/>
      <c r="X481" s="358"/>
      <c r="Y481" s="358"/>
      <c r="Z481" s="358"/>
    </row>
    <row r="482" spans="1:26" ht="15.75" customHeight="1" x14ac:dyDescent="0.25">
      <c r="A482" s="358"/>
      <c r="B482" s="358"/>
      <c r="C482" s="358"/>
      <c r="D482" s="358"/>
      <c r="E482" s="358"/>
      <c r="F482" s="358"/>
      <c r="G482" s="358"/>
      <c r="H482" s="358"/>
      <c r="I482" s="358"/>
      <c r="J482" s="358"/>
      <c r="K482" s="358"/>
      <c r="L482" s="358"/>
      <c r="M482" s="358"/>
      <c r="N482" s="358"/>
      <c r="O482" s="358"/>
      <c r="P482" s="358"/>
      <c r="Q482" s="358"/>
      <c r="R482" s="358"/>
      <c r="S482" s="358"/>
      <c r="T482" s="358"/>
      <c r="U482" s="358"/>
      <c r="V482" s="358"/>
      <c r="W482" s="358"/>
      <c r="X482" s="358"/>
      <c r="Y482" s="358"/>
      <c r="Z482" s="358"/>
    </row>
    <row r="483" spans="1:26" ht="15.75" customHeight="1" x14ac:dyDescent="0.25">
      <c r="A483" s="358"/>
      <c r="B483" s="358"/>
      <c r="C483" s="358"/>
      <c r="D483" s="358"/>
      <c r="E483" s="358"/>
      <c r="F483" s="358"/>
      <c r="G483" s="358"/>
      <c r="H483" s="358"/>
      <c r="I483" s="358"/>
      <c r="J483" s="358"/>
      <c r="K483" s="358"/>
      <c r="L483" s="358"/>
      <c r="M483" s="358"/>
      <c r="N483" s="358"/>
      <c r="O483" s="358"/>
      <c r="P483" s="358"/>
      <c r="Q483" s="358"/>
      <c r="R483" s="358"/>
      <c r="S483" s="358"/>
      <c r="T483" s="358"/>
      <c r="U483" s="358"/>
      <c r="V483" s="358"/>
      <c r="W483" s="358"/>
      <c r="X483" s="358"/>
      <c r="Y483" s="358"/>
      <c r="Z483" s="358"/>
    </row>
    <row r="484" spans="1:26" ht="15.75" customHeight="1" x14ac:dyDescent="0.25">
      <c r="A484" s="358"/>
      <c r="B484" s="358"/>
      <c r="C484" s="358"/>
      <c r="D484" s="358"/>
      <c r="E484" s="358"/>
      <c r="F484" s="358"/>
      <c r="G484" s="358"/>
      <c r="H484" s="358"/>
      <c r="I484" s="358"/>
      <c r="J484" s="358"/>
      <c r="K484" s="358"/>
      <c r="L484" s="358"/>
      <c r="M484" s="358"/>
      <c r="N484" s="358"/>
      <c r="O484" s="358"/>
      <c r="P484" s="358"/>
      <c r="Q484" s="358"/>
      <c r="R484" s="358"/>
      <c r="S484" s="358"/>
      <c r="T484" s="358"/>
      <c r="U484" s="358"/>
      <c r="V484" s="358"/>
      <c r="W484" s="358"/>
      <c r="X484" s="358"/>
      <c r="Y484" s="358"/>
      <c r="Z484" s="358"/>
    </row>
    <row r="485" spans="1:26" ht="15.75" customHeight="1" x14ac:dyDescent="0.25">
      <c r="A485" s="358"/>
      <c r="B485" s="358"/>
      <c r="C485" s="358"/>
      <c r="D485" s="358"/>
      <c r="E485" s="358"/>
      <c r="F485" s="358"/>
      <c r="G485" s="358"/>
      <c r="H485" s="358"/>
      <c r="I485" s="358"/>
      <c r="J485" s="358"/>
      <c r="K485" s="358"/>
      <c r="L485" s="358"/>
      <c r="M485" s="358"/>
      <c r="N485" s="358"/>
      <c r="O485" s="358"/>
      <c r="P485" s="358"/>
      <c r="Q485" s="358"/>
      <c r="R485" s="358"/>
      <c r="S485" s="358"/>
      <c r="T485" s="358"/>
      <c r="U485" s="358"/>
      <c r="V485" s="358"/>
      <c r="W485" s="358"/>
      <c r="X485" s="358"/>
      <c r="Y485" s="358"/>
      <c r="Z485" s="358"/>
    </row>
    <row r="486" spans="1:26" ht="15.75" customHeight="1" x14ac:dyDescent="0.25">
      <c r="A486" s="358"/>
      <c r="B486" s="358"/>
      <c r="C486" s="358"/>
      <c r="D486" s="358"/>
      <c r="E486" s="358"/>
      <c r="F486" s="358"/>
      <c r="G486" s="358"/>
      <c r="H486" s="358"/>
      <c r="I486" s="358"/>
      <c r="J486" s="358"/>
      <c r="K486" s="358"/>
      <c r="L486" s="358"/>
      <c r="M486" s="358"/>
      <c r="N486" s="358"/>
      <c r="O486" s="358"/>
      <c r="P486" s="358"/>
      <c r="Q486" s="358"/>
      <c r="R486" s="358"/>
      <c r="S486" s="358"/>
      <c r="T486" s="358"/>
      <c r="U486" s="358"/>
      <c r="V486" s="358"/>
      <c r="W486" s="358"/>
      <c r="X486" s="358"/>
      <c r="Y486" s="358"/>
      <c r="Z486" s="358"/>
    </row>
    <row r="487" spans="1:26" ht="15.75" customHeight="1" x14ac:dyDescent="0.25">
      <c r="A487" s="358"/>
      <c r="B487" s="358"/>
      <c r="C487" s="358"/>
      <c r="D487" s="358"/>
      <c r="E487" s="358"/>
      <c r="F487" s="358"/>
      <c r="G487" s="358"/>
      <c r="H487" s="358"/>
      <c r="I487" s="358"/>
      <c r="J487" s="358"/>
      <c r="K487" s="358"/>
      <c r="L487" s="358"/>
      <c r="M487" s="358"/>
      <c r="N487" s="358"/>
      <c r="O487" s="358"/>
      <c r="P487" s="358"/>
      <c r="Q487" s="358"/>
      <c r="R487" s="358"/>
      <c r="S487" s="358"/>
      <c r="T487" s="358"/>
      <c r="U487" s="358"/>
      <c r="V487" s="358"/>
      <c r="W487" s="358"/>
      <c r="X487" s="358"/>
      <c r="Y487" s="358"/>
      <c r="Z487" s="358"/>
    </row>
    <row r="488" spans="1:26" ht="15.75" customHeight="1" x14ac:dyDescent="0.25">
      <c r="A488" s="358"/>
      <c r="B488" s="358"/>
      <c r="C488" s="358"/>
      <c r="D488" s="358"/>
      <c r="E488" s="358"/>
      <c r="F488" s="358"/>
      <c r="G488" s="358"/>
      <c r="H488" s="358"/>
      <c r="I488" s="358"/>
      <c r="J488" s="358"/>
      <c r="K488" s="358"/>
      <c r="L488" s="358"/>
      <c r="M488" s="358"/>
      <c r="N488" s="358"/>
      <c r="O488" s="358"/>
      <c r="P488" s="358"/>
      <c r="Q488" s="358"/>
      <c r="R488" s="358"/>
      <c r="S488" s="358"/>
      <c r="T488" s="358"/>
      <c r="U488" s="358"/>
      <c r="V488" s="358"/>
      <c r="W488" s="358"/>
      <c r="X488" s="358"/>
      <c r="Y488" s="358"/>
      <c r="Z488" s="358"/>
    </row>
    <row r="489" spans="1:26" ht="15.75" customHeight="1" x14ac:dyDescent="0.25">
      <c r="A489" s="358"/>
      <c r="B489" s="358"/>
      <c r="C489" s="358"/>
      <c r="D489" s="358"/>
      <c r="E489" s="358"/>
      <c r="F489" s="358"/>
      <c r="G489" s="358"/>
      <c r="H489" s="358"/>
      <c r="I489" s="358"/>
      <c r="J489" s="358"/>
      <c r="K489" s="358"/>
      <c r="L489" s="358"/>
      <c r="M489" s="358"/>
      <c r="N489" s="358"/>
      <c r="O489" s="358"/>
      <c r="P489" s="358"/>
      <c r="Q489" s="358"/>
      <c r="R489" s="358"/>
      <c r="S489" s="358"/>
      <c r="T489" s="358"/>
      <c r="U489" s="358"/>
      <c r="V489" s="358"/>
      <c r="W489" s="358"/>
      <c r="X489" s="358"/>
      <c r="Y489" s="358"/>
      <c r="Z489" s="358"/>
    </row>
    <row r="490" spans="1:26" ht="15.75" customHeight="1" x14ac:dyDescent="0.25">
      <c r="A490" s="358"/>
      <c r="B490" s="358"/>
      <c r="C490" s="358"/>
      <c r="D490" s="358"/>
      <c r="E490" s="358"/>
      <c r="F490" s="358"/>
      <c r="G490" s="358"/>
      <c r="H490" s="358"/>
      <c r="I490" s="358"/>
      <c r="J490" s="358"/>
      <c r="K490" s="358"/>
      <c r="L490" s="358"/>
      <c r="M490" s="358"/>
      <c r="N490" s="358"/>
      <c r="O490" s="358"/>
      <c r="P490" s="358"/>
      <c r="Q490" s="358"/>
      <c r="R490" s="358"/>
      <c r="S490" s="358"/>
      <c r="T490" s="358"/>
      <c r="U490" s="358"/>
      <c r="V490" s="358"/>
      <c r="W490" s="358"/>
      <c r="X490" s="358"/>
      <c r="Y490" s="358"/>
      <c r="Z490" s="358"/>
    </row>
    <row r="491" spans="1:26" ht="15.75" customHeight="1" x14ac:dyDescent="0.25">
      <c r="A491" s="358"/>
      <c r="B491" s="358"/>
      <c r="C491" s="358"/>
      <c r="D491" s="358"/>
      <c r="E491" s="358"/>
      <c r="F491" s="358"/>
      <c r="G491" s="358"/>
      <c r="H491" s="358"/>
      <c r="I491" s="358"/>
      <c r="J491" s="358"/>
      <c r="K491" s="358"/>
      <c r="L491" s="358"/>
      <c r="M491" s="358"/>
      <c r="N491" s="358"/>
      <c r="O491" s="358"/>
      <c r="P491" s="358"/>
      <c r="Q491" s="358"/>
      <c r="R491" s="358"/>
      <c r="S491" s="358"/>
      <c r="T491" s="358"/>
      <c r="U491" s="358"/>
      <c r="V491" s="358"/>
      <c r="W491" s="358"/>
      <c r="X491" s="358"/>
      <c r="Y491" s="358"/>
      <c r="Z491" s="358"/>
    </row>
    <row r="492" spans="1:26" ht="15.75" customHeight="1" x14ac:dyDescent="0.25">
      <c r="A492" s="358"/>
      <c r="B492" s="358"/>
      <c r="C492" s="358"/>
      <c r="D492" s="358"/>
      <c r="E492" s="358"/>
      <c r="F492" s="358"/>
      <c r="G492" s="358"/>
      <c r="H492" s="358"/>
      <c r="I492" s="358"/>
      <c r="J492" s="358"/>
      <c r="K492" s="358"/>
      <c r="L492" s="358"/>
      <c r="M492" s="358"/>
      <c r="N492" s="358"/>
      <c r="O492" s="358"/>
      <c r="P492" s="358"/>
      <c r="Q492" s="358"/>
      <c r="R492" s="358"/>
      <c r="S492" s="358"/>
      <c r="T492" s="358"/>
      <c r="U492" s="358"/>
      <c r="V492" s="358"/>
      <c r="W492" s="358"/>
      <c r="X492" s="358"/>
      <c r="Y492" s="358"/>
      <c r="Z492" s="358"/>
    </row>
    <row r="493" spans="1:26" ht="15.75" customHeight="1" x14ac:dyDescent="0.25">
      <c r="A493" s="358"/>
      <c r="B493" s="358"/>
      <c r="C493" s="358"/>
      <c r="D493" s="358"/>
      <c r="E493" s="358"/>
      <c r="F493" s="358"/>
      <c r="G493" s="358"/>
      <c r="H493" s="358"/>
      <c r="I493" s="358"/>
      <c r="J493" s="358"/>
      <c r="K493" s="358"/>
      <c r="L493" s="358"/>
      <c r="M493" s="358"/>
      <c r="N493" s="358"/>
      <c r="O493" s="358"/>
      <c r="P493" s="358"/>
      <c r="Q493" s="358"/>
      <c r="R493" s="358"/>
      <c r="S493" s="358"/>
      <c r="T493" s="358"/>
      <c r="U493" s="358"/>
      <c r="V493" s="358"/>
      <c r="W493" s="358"/>
      <c r="X493" s="358"/>
      <c r="Y493" s="358"/>
      <c r="Z493" s="358"/>
    </row>
    <row r="494" spans="1:26" ht="15.75" customHeight="1" x14ac:dyDescent="0.25">
      <c r="A494" s="358"/>
      <c r="B494" s="358"/>
      <c r="C494" s="358"/>
      <c r="D494" s="358"/>
      <c r="E494" s="358"/>
      <c r="F494" s="358"/>
      <c r="G494" s="358"/>
      <c r="H494" s="358"/>
      <c r="I494" s="358"/>
      <c r="J494" s="358"/>
      <c r="K494" s="358"/>
      <c r="L494" s="358"/>
      <c r="M494" s="358"/>
      <c r="N494" s="358"/>
      <c r="O494" s="358"/>
      <c r="P494" s="358"/>
      <c r="Q494" s="358"/>
      <c r="R494" s="358"/>
      <c r="S494" s="358"/>
      <c r="T494" s="358"/>
      <c r="U494" s="358"/>
      <c r="V494" s="358"/>
      <c r="W494" s="358"/>
      <c r="X494" s="358"/>
      <c r="Y494" s="358"/>
      <c r="Z494" s="358"/>
    </row>
    <row r="495" spans="1:26" ht="15.75" customHeight="1" x14ac:dyDescent="0.25">
      <c r="A495" s="358"/>
      <c r="B495" s="358"/>
      <c r="C495" s="358"/>
      <c r="D495" s="358"/>
      <c r="E495" s="358"/>
      <c r="F495" s="358"/>
      <c r="G495" s="358"/>
      <c r="H495" s="358"/>
      <c r="I495" s="358"/>
      <c r="J495" s="358"/>
      <c r="K495" s="358"/>
      <c r="L495" s="358"/>
      <c r="M495" s="358"/>
      <c r="N495" s="358"/>
      <c r="O495" s="358"/>
      <c r="P495" s="358"/>
      <c r="Q495" s="358"/>
      <c r="R495" s="358"/>
      <c r="S495" s="358"/>
      <c r="T495" s="358"/>
      <c r="U495" s="358"/>
      <c r="V495" s="358"/>
      <c r="W495" s="358"/>
      <c r="X495" s="358"/>
      <c r="Y495" s="358"/>
      <c r="Z495" s="358"/>
    </row>
    <row r="496" spans="1:26" ht="15.75" customHeight="1" x14ac:dyDescent="0.25">
      <c r="A496" s="358"/>
      <c r="B496" s="358"/>
      <c r="C496" s="358"/>
      <c r="D496" s="358"/>
      <c r="E496" s="358"/>
      <c r="F496" s="358"/>
      <c r="G496" s="358"/>
      <c r="H496" s="358"/>
      <c r="I496" s="358"/>
      <c r="J496" s="358"/>
      <c r="K496" s="358"/>
      <c r="L496" s="358"/>
      <c r="M496" s="358"/>
      <c r="N496" s="358"/>
      <c r="O496" s="358"/>
      <c r="P496" s="358"/>
      <c r="Q496" s="358"/>
      <c r="R496" s="358"/>
      <c r="S496" s="358"/>
      <c r="T496" s="358"/>
      <c r="U496" s="358"/>
      <c r="V496" s="358"/>
      <c r="W496" s="358"/>
      <c r="X496" s="358"/>
      <c r="Y496" s="358"/>
      <c r="Z496" s="358"/>
    </row>
    <row r="497" spans="1:26" ht="15.75" customHeight="1" x14ac:dyDescent="0.25">
      <c r="A497" s="358"/>
      <c r="B497" s="358"/>
      <c r="C497" s="358"/>
      <c r="D497" s="358"/>
      <c r="E497" s="358"/>
      <c r="F497" s="358"/>
      <c r="G497" s="358"/>
      <c r="H497" s="358"/>
      <c r="I497" s="358"/>
      <c r="J497" s="358"/>
      <c r="K497" s="358"/>
      <c r="L497" s="358"/>
      <c r="M497" s="358"/>
      <c r="N497" s="358"/>
      <c r="O497" s="358"/>
      <c r="P497" s="358"/>
      <c r="Q497" s="358"/>
      <c r="R497" s="358"/>
      <c r="S497" s="358"/>
      <c r="T497" s="358"/>
      <c r="U497" s="358"/>
      <c r="V497" s="358"/>
      <c r="W497" s="358"/>
      <c r="X497" s="358"/>
      <c r="Y497" s="358"/>
      <c r="Z497" s="358"/>
    </row>
    <row r="498" spans="1:26" ht="15.75" customHeight="1" x14ac:dyDescent="0.25">
      <c r="A498" s="358"/>
      <c r="B498" s="358"/>
      <c r="C498" s="358"/>
      <c r="D498" s="358"/>
      <c r="E498" s="358"/>
      <c r="F498" s="358"/>
      <c r="G498" s="358"/>
      <c r="H498" s="358"/>
      <c r="I498" s="358"/>
      <c r="J498" s="358"/>
      <c r="K498" s="358"/>
      <c r="L498" s="358"/>
      <c r="M498" s="358"/>
      <c r="N498" s="358"/>
      <c r="O498" s="358"/>
      <c r="P498" s="358"/>
      <c r="Q498" s="358"/>
      <c r="R498" s="358"/>
      <c r="S498" s="358"/>
      <c r="T498" s="358"/>
      <c r="U498" s="358"/>
      <c r="V498" s="358"/>
      <c r="W498" s="358"/>
      <c r="X498" s="358"/>
      <c r="Y498" s="358"/>
      <c r="Z498" s="358"/>
    </row>
    <row r="499" spans="1:26" ht="15.75" customHeight="1" x14ac:dyDescent="0.25">
      <c r="A499" s="358"/>
      <c r="B499" s="358"/>
      <c r="C499" s="358"/>
      <c r="D499" s="358"/>
      <c r="E499" s="358"/>
      <c r="F499" s="358"/>
      <c r="G499" s="358"/>
      <c r="H499" s="358"/>
      <c r="I499" s="358"/>
      <c r="J499" s="358"/>
      <c r="K499" s="358"/>
      <c r="L499" s="358"/>
      <c r="M499" s="358"/>
      <c r="N499" s="358"/>
      <c r="O499" s="358"/>
      <c r="P499" s="358"/>
      <c r="Q499" s="358"/>
      <c r="R499" s="358"/>
      <c r="S499" s="358"/>
      <c r="T499" s="358"/>
      <c r="U499" s="358"/>
      <c r="V499" s="358"/>
      <c r="W499" s="358"/>
      <c r="X499" s="358"/>
      <c r="Y499" s="358"/>
      <c r="Z499" s="358"/>
    </row>
    <row r="500" spans="1:26" ht="15.75" customHeight="1" x14ac:dyDescent="0.25">
      <c r="A500" s="358"/>
      <c r="B500" s="358"/>
      <c r="C500" s="358"/>
      <c r="D500" s="358"/>
      <c r="E500" s="358"/>
      <c r="F500" s="358"/>
      <c r="G500" s="358"/>
      <c r="H500" s="358"/>
      <c r="I500" s="358"/>
      <c r="J500" s="358"/>
      <c r="K500" s="358"/>
      <c r="L500" s="358"/>
      <c r="M500" s="358"/>
      <c r="N500" s="358"/>
      <c r="O500" s="358"/>
      <c r="P500" s="358"/>
      <c r="Q500" s="358"/>
      <c r="R500" s="358"/>
      <c r="S500" s="358"/>
      <c r="T500" s="358"/>
      <c r="U500" s="358"/>
      <c r="V500" s="358"/>
      <c r="W500" s="358"/>
      <c r="X500" s="358"/>
      <c r="Y500" s="358"/>
      <c r="Z500" s="358"/>
    </row>
    <row r="501" spans="1:26" ht="15.75" customHeight="1" x14ac:dyDescent="0.25">
      <c r="A501" s="358"/>
      <c r="B501" s="358"/>
      <c r="C501" s="358"/>
      <c r="D501" s="358"/>
      <c r="E501" s="358"/>
      <c r="F501" s="358"/>
      <c r="G501" s="358"/>
      <c r="H501" s="358"/>
      <c r="I501" s="358"/>
      <c r="J501" s="358"/>
      <c r="K501" s="358"/>
      <c r="L501" s="358"/>
      <c r="M501" s="358"/>
      <c r="N501" s="358"/>
      <c r="O501" s="358"/>
      <c r="P501" s="358"/>
      <c r="Q501" s="358"/>
      <c r="R501" s="358"/>
      <c r="S501" s="358"/>
      <c r="T501" s="358"/>
      <c r="U501" s="358"/>
      <c r="V501" s="358"/>
      <c r="W501" s="358"/>
      <c r="X501" s="358"/>
      <c r="Y501" s="358"/>
      <c r="Z501" s="358"/>
    </row>
    <row r="502" spans="1:26" ht="15.75" customHeight="1" x14ac:dyDescent="0.25">
      <c r="A502" s="358"/>
      <c r="B502" s="358"/>
      <c r="C502" s="358"/>
      <c r="D502" s="358"/>
      <c r="E502" s="358"/>
      <c r="F502" s="358"/>
      <c r="G502" s="358"/>
      <c r="H502" s="358"/>
      <c r="I502" s="358"/>
      <c r="J502" s="358"/>
      <c r="K502" s="358"/>
      <c r="L502" s="358"/>
      <c r="M502" s="358"/>
      <c r="N502" s="358"/>
      <c r="O502" s="358"/>
      <c r="P502" s="358"/>
      <c r="Q502" s="358"/>
      <c r="R502" s="358"/>
      <c r="S502" s="358"/>
      <c r="T502" s="358"/>
      <c r="U502" s="358"/>
      <c r="V502" s="358"/>
      <c r="W502" s="358"/>
      <c r="X502" s="358"/>
      <c r="Y502" s="358"/>
      <c r="Z502" s="358"/>
    </row>
    <row r="503" spans="1:26" ht="15.75" customHeight="1" x14ac:dyDescent="0.25">
      <c r="A503" s="358"/>
      <c r="B503" s="358"/>
      <c r="C503" s="358"/>
      <c r="D503" s="358"/>
      <c r="E503" s="358"/>
      <c r="F503" s="358"/>
      <c r="G503" s="358"/>
      <c r="H503" s="358"/>
      <c r="I503" s="358"/>
      <c r="J503" s="358"/>
      <c r="K503" s="358"/>
      <c r="L503" s="358"/>
      <c r="M503" s="358"/>
      <c r="N503" s="358"/>
      <c r="O503" s="358"/>
      <c r="P503" s="358"/>
      <c r="Q503" s="358"/>
      <c r="R503" s="358"/>
      <c r="S503" s="358"/>
      <c r="T503" s="358"/>
      <c r="U503" s="358"/>
      <c r="V503" s="358"/>
      <c r="W503" s="358"/>
      <c r="X503" s="358"/>
      <c r="Y503" s="358"/>
      <c r="Z503" s="358"/>
    </row>
    <row r="504" spans="1:26" ht="15.75" customHeight="1" x14ac:dyDescent="0.25">
      <c r="A504" s="358"/>
      <c r="B504" s="358"/>
      <c r="C504" s="358"/>
      <c r="D504" s="358"/>
      <c r="E504" s="358"/>
      <c r="F504" s="358"/>
      <c r="G504" s="358"/>
      <c r="H504" s="358"/>
      <c r="I504" s="358"/>
      <c r="J504" s="358"/>
      <c r="K504" s="358"/>
      <c r="L504" s="358"/>
      <c r="M504" s="358"/>
      <c r="N504" s="358"/>
      <c r="O504" s="358"/>
      <c r="P504" s="358"/>
      <c r="Q504" s="358"/>
      <c r="R504" s="358"/>
      <c r="S504" s="358"/>
      <c r="T504" s="358"/>
      <c r="U504" s="358"/>
      <c r="V504" s="358"/>
      <c r="W504" s="358"/>
      <c r="X504" s="358"/>
      <c r="Y504" s="358"/>
      <c r="Z504" s="358"/>
    </row>
    <row r="505" spans="1:26" ht="15.75" customHeight="1" x14ac:dyDescent="0.25">
      <c r="A505" s="358"/>
      <c r="B505" s="358"/>
      <c r="C505" s="358"/>
      <c r="D505" s="358"/>
      <c r="E505" s="358"/>
      <c r="F505" s="358"/>
      <c r="G505" s="358"/>
      <c r="H505" s="358"/>
      <c r="I505" s="358"/>
      <c r="J505" s="358"/>
      <c r="K505" s="358"/>
      <c r="L505" s="358"/>
      <c r="M505" s="358"/>
      <c r="N505" s="358"/>
      <c r="O505" s="358"/>
      <c r="P505" s="358"/>
      <c r="Q505" s="358"/>
      <c r="R505" s="358"/>
      <c r="S505" s="358"/>
      <c r="T505" s="358"/>
      <c r="U505" s="358"/>
      <c r="V505" s="358"/>
      <c r="W505" s="358"/>
      <c r="X505" s="358"/>
      <c r="Y505" s="358"/>
      <c r="Z505" s="358"/>
    </row>
    <row r="506" spans="1:26" ht="15.75" customHeight="1" x14ac:dyDescent="0.25">
      <c r="A506" s="358"/>
      <c r="B506" s="358"/>
      <c r="C506" s="358"/>
      <c r="D506" s="358"/>
      <c r="E506" s="358"/>
      <c r="F506" s="358"/>
      <c r="G506" s="358"/>
      <c r="H506" s="358"/>
      <c r="I506" s="358"/>
      <c r="J506" s="358"/>
      <c r="K506" s="358"/>
      <c r="L506" s="358"/>
      <c r="M506" s="358"/>
      <c r="N506" s="358"/>
      <c r="O506" s="358"/>
      <c r="P506" s="358"/>
      <c r="Q506" s="358"/>
      <c r="R506" s="358"/>
      <c r="S506" s="358"/>
      <c r="T506" s="358"/>
      <c r="U506" s="358"/>
      <c r="V506" s="358"/>
      <c r="W506" s="358"/>
      <c r="X506" s="358"/>
      <c r="Y506" s="358"/>
      <c r="Z506" s="358"/>
    </row>
    <row r="507" spans="1:26" ht="15.75" customHeight="1" x14ac:dyDescent="0.25">
      <c r="A507" s="358"/>
      <c r="B507" s="358"/>
      <c r="C507" s="358"/>
      <c r="D507" s="358"/>
      <c r="E507" s="358"/>
      <c r="F507" s="358"/>
      <c r="G507" s="358"/>
      <c r="H507" s="358"/>
      <c r="I507" s="358"/>
      <c r="J507" s="358"/>
      <c r="K507" s="358"/>
      <c r="L507" s="358"/>
      <c r="M507" s="358"/>
      <c r="N507" s="358"/>
      <c r="O507" s="358"/>
      <c r="P507" s="358"/>
      <c r="Q507" s="358"/>
      <c r="R507" s="358"/>
      <c r="S507" s="358"/>
      <c r="T507" s="358"/>
      <c r="U507" s="358"/>
      <c r="V507" s="358"/>
      <c r="W507" s="358"/>
      <c r="X507" s="358"/>
      <c r="Y507" s="358"/>
      <c r="Z507" s="358"/>
    </row>
    <row r="508" spans="1:26" ht="15.75" customHeight="1" x14ac:dyDescent="0.25">
      <c r="A508" s="358"/>
      <c r="B508" s="358"/>
      <c r="C508" s="358"/>
      <c r="D508" s="358"/>
      <c r="E508" s="358"/>
      <c r="F508" s="358"/>
      <c r="G508" s="358"/>
      <c r="H508" s="358"/>
      <c r="I508" s="358"/>
      <c r="J508" s="358"/>
      <c r="K508" s="358"/>
      <c r="L508" s="358"/>
      <c r="M508" s="358"/>
      <c r="N508" s="358"/>
      <c r="O508" s="358"/>
      <c r="P508" s="358"/>
      <c r="Q508" s="358"/>
      <c r="R508" s="358"/>
      <c r="S508" s="358"/>
      <c r="T508" s="358"/>
      <c r="U508" s="358"/>
      <c r="V508" s="358"/>
      <c r="W508" s="358"/>
      <c r="X508" s="358"/>
      <c r="Y508" s="358"/>
      <c r="Z508" s="358"/>
    </row>
    <row r="509" spans="1:26" ht="15.75" customHeight="1" x14ac:dyDescent="0.25">
      <c r="A509" s="358"/>
      <c r="B509" s="358"/>
      <c r="C509" s="358"/>
      <c r="D509" s="358"/>
      <c r="E509" s="358"/>
      <c r="F509" s="358"/>
      <c r="G509" s="358"/>
      <c r="H509" s="358"/>
      <c r="I509" s="358"/>
      <c r="J509" s="358"/>
      <c r="K509" s="358"/>
      <c r="L509" s="358"/>
      <c r="M509" s="358"/>
      <c r="N509" s="358"/>
      <c r="O509" s="358"/>
      <c r="P509" s="358"/>
      <c r="Q509" s="358"/>
      <c r="R509" s="358"/>
      <c r="S509" s="358"/>
      <c r="T509" s="358"/>
      <c r="U509" s="358"/>
      <c r="V509" s="358"/>
      <c r="W509" s="358"/>
      <c r="X509" s="358"/>
      <c r="Y509" s="358"/>
      <c r="Z509" s="358"/>
    </row>
    <row r="510" spans="1:26" ht="15.75" customHeight="1" x14ac:dyDescent="0.25">
      <c r="A510" s="358"/>
      <c r="B510" s="358"/>
      <c r="C510" s="358"/>
      <c r="D510" s="358"/>
      <c r="E510" s="358"/>
      <c r="F510" s="358"/>
      <c r="G510" s="358"/>
      <c r="H510" s="358"/>
      <c r="I510" s="358"/>
      <c r="J510" s="358"/>
      <c r="K510" s="358"/>
      <c r="L510" s="358"/>
      <c r="M510" s="358"/>
      <c r="N510" s="358"/>
      <c r="O510" s="358"/>
      <c r="P510" s="358"/>
      <c r="Q510" s="358"/>
      <c r="R510" s="358"/>
      <c r="S510" s="358"/>
      <c r="T510" s="358"/>
      <c r="U510" s="358"/>
      <c r="V510" s="358"/>
      <c r="W510" s="358"/>
      <c r="X510" s="358"/>
      <c r="Y510" s="358"/>
      <c r="Z510" s="358"/>
    </row>
    <row r="511" spans="1:26" ht="15.75" customHeight="1" x14ac:dyDescent="0.25">
      <c r="A511" s="358"/>
      <c r="B511" s="358"/>
      <c r="C511" s="358"/>
      <c r="D511" s="358"/>
      <c r="E511" s="358"/>
      <c r="F511" s="358"/>
      <c r="G511" s="358"/>
      <c r="H511" s="358"/>
      <c r="I511" s="358"/>
      <c r="J511" s="358"/>
      <c r="K511" s="358"/>
      <c r="L511" s="358"/>
      <c r="M511" s="358"/>
      <c r="N511" s="358"/>
      <c r="O511" s="358"/>
      <c r="P511" s="358"/>
      <c r="Q511" s="358"/>
      <c r="R511" s="358"/>
      <c r="S511" s="358"/>
      <c r="T511" s="358"/>
      <c r="U511" s="358"/>
      <c r="V511" s="358"/>
      <c r="W511" s="358"/>
      <c r="X511" s="358"/>
      <c r="Y511" s="358"/>
      <c r="Z511" s="358"/>
    </row>
    <row r="512" spans="1:26" ht="15.75" customHeight="1" x14ac:dyDescent="0.25">
      <c r="A512" s="358"/>
      <c r="B512" s="358"/>
      <c r="C512" s="358"/>
      <c r="D512" s="358"/>
      <c r="E512" s="358"/>
      <c r="F512" s="358"/>
      <c r="G512" s="358"/>
      <c r="H512" s="358"/>
      <c r="I512" s="358"/>
      <c r="J512" s="358"/>
      <c r="K512" s="358"/>
      <c r="L512" s="358"/>
      <c r="M512" s="358"/>
      <c r="N512" s="358"/>
      <c r="O512" s="358"/>
      <c r="P512" s="358"/>
      <c r="Q512" s="358"/>
      <c r="R512" s="358"/>
      <c r="S512" s="358"/>
      <c r="T512" s="358"/>
      <c r="U512" s="358"/>
      <c r="V512" s="358"/>
      <c r="W512" s="358"/>
      <c r="X512" s="358"/>
      <c r="Y512" s="358"/>
      <c r="Z512" s="358"/>
    </row>
    <row r="513" spans="1:26" ht="15.75" customHeight="1" x14ac:dyDescent="0.25">
      <c r="A513" s="358"/>
      <c r="B513" s="358"/>
      <c r="C513" s="358"/>
      <c r="D513" s="358"/>
      <c r="E513" s="358"/>
      <c r="F513" s="358"/>
      <c r="G513" s="358"/>
      <c r="H513" s="358"/>
      <c r="I513" s="358"/>
      <c r="J513" s="358"/>
      <c r="K513" s="358"/>
      <c r="L513" s="358"/>
      <c r="M513" s="358"/>
      <c r="N513" s="358"/>
      <c r="O513" s="358"/>
      <c r="P513" s="358"/>
      <c r="Q513" s="358"/>
      <c r="R513" s="358"/>
      <c r="S513" s="358"/>
      <c r="T513" s="358"/>
      <c r="U513" s="358"/>
      <c r="V513" s="358"/>
      <c r="W513" s="358"/>
      <c r="X513" s="358"/>
      <c r="Y513" s="358"/>
      <c r="Z513" s="358"/>
    </row>
    <row r="514" spans="1:26" ht="15.75" customHeight="1" x14ac:dyDescent="0.25">
      <c r="A514" s="358"/>
      <c r="B514" s="358"/>
      <c r="C514" s="358"/>
      <c r="D514" s="358"/>
      <c r="E514" s="358"/>
      <c r="F514" s="358"/>
      <c r="G514" s="358"/>
      <c r="H514" s="358"/>
      <c r="I514" s="358"/>
      <c r="J514" s="358"/>
      <c r="K514" s="358"/>
      <c r="L514" s="358"/>
      <c r="M514" s="358"/>
      <c r="N514" s="358"/>
      <c r="O514" s="358"/>
      <c r="P514" s="358"/>
      <c r="Q514" s="358"/>
      <c r="R514" s="358"/>
      <c r="S514" s="358"/>
      <c r="T514" s="358"/>
      <c r="U514" s="358"/>
      <c r="V514" s="358"/>
      <c r="W514" s="358"/>
      <c r="X514" s="358"/>
      <c r="Y514" s="358"/>
      <c r="Z514" s="358"/>
    </row>
    <row r="515" spans="1:26" ht="15.75" customHeight="1" x14ac:dyDescent="0.25">
      <c r="A515" s="358"/>
      <c r="B515" s="358"/>
      <c r="C515" s="358"/>
      <c r="D515" s="358"/>
      <c r="E515" s="358"/>
      <c r="F515" s="358"/>
      <c r="G515" s="358"/>
      <c r="H515" s="358"/>
      <c r="I515" s="358"/>
      <c r="J515" s="358"/>
      <c r="K515" s="358"/>
      <c r="L515" s="358"/>
      <c r="M515" s="358"/>
      <c r="N515" s="358"/>
      <c r="O515" s="358"/>
      <c r="P515" s="358"/>
      <c r="Q515" s="358"/>
      <c r="R515" s="358"/>
      <c r="S515" s="358"/>
      <c r="T515" s="358"/>
      <c r="U515" s="358"/>
      <c r="V515" s="358"/>
      <c r="W515" s="358"/>
      <c r="X515" s="358"/>
      <c r="Y515" s="358"/>
      <c r="Z515" s="358"/>
    </row>
    <row r="516" spans="1:26" ht="15.75" customHeight="1" x14ac:dyDescent="0.25">
      <c r="A516" s="358"/>
      <c r="B516" s="358"/>
      <c r="C516" s="358"/>
      <c r="D516" s="358"/>
      <c r="E516" s="358"/>
      <c r="F516" s="358"/>
      <c r="G516" s="358"/>
      <c r="H516" s="358"/>
      <c r="I516" s="358"/>
      <c r="J516" s="358"/>
      <c r="K516" s="358"/>
      <c r="L516" s="358"/>
      <c r="M516" s="358"/>
      <c r="N516" s="358"/>
      <c r="O516" s="358"/>
      <c r="P516" s="358"/>
      <c r="Q516" s="358"/>
      <c r="R516" s="358"/>
      <c r="S516" s="358"/>
      <c r="T516" s="358"/>
      <c r="U516" s="358"/>
      <c r="V516" s="358"/>
      <c r="W516" s="358"/>
      <c r="X516" s="358"/>
      <c r="Y516" s="358"/>
      <c r="Z516" s="358"/>
    </row>
    <row r="517" spans="1:26" ht="15.75" customHeight="1" x14ac:dyDescent="0.25">
      <c r="A517" s="358"/>
      <c r="B517" s="358"/>
      <c r="C517" s="358"/>
      <c r="D517" s="358"/>
      <c r="E517" s="358"/>
      <c r="F517" s="358"/>
      <c r="G517" s="358"/>
      <c r="H517" s="358"/>
      <c r="I517" s="358"/>
      <c r="J517" s="358"/>
      <c r="K517" s="358"/>
      <c r="L517" s="358"/>
      <c r="M517" s="358"/>
      <c r="N517" s="358"/>
      <c r="O517" s="358"/>
      <c r="P517" s="358"/>
      <c r="Q517" s="358"/>
      <c r="R517" s="358"/>
      <c r="S517" s="358"/>
      <c r="T517" s="358"/>
      <c r="U517" s="358"/>
      <c r="V517" s="358"/>
      <c r="W517" s="358"/>
      <c r="X517" s="358"/>
      <c r="Y517" s="358"/>
      <c r="Z517" s="358"/>
    </row>
    <row r="518" spans="1:26" ht="15.75" customHeight="1" x14ac:dyDescent="0.25">
      <c r="A518" s="358"/>
      <c r="B518" s="358"/>
      <c r="C518" s="358"/>
      <c r="D518" s="358"/>
      <c r="E518" s="358"/>
      <c r="F518" s="358"/>
      <c r="G518" s="358"/>
      <c r="H518" s="358"/>
      <c r="I518" s="358"/>
      <c r="J518" s="358"/>
      <c r="K518" s="358"/>
      <c r="L518" s="358"/>
      <c r="M518" s="358"/>
      <c r="N518" s="358"/>
      <c r="O518" s="358"/>
      <c r="P518" s="358"/>
      <c r="Q518" s="358"/>
      <c r="R518" s="358"/>
      <c r="S518" s="358"/>
      <c r="T518" s="358"/>
      <c r="U518" s="358"/>
      <c r="V518" s="358"/>
      <c r="W518" s="358"/>
      <c r="X518" s="358"/>
      <c r="Y518" s="358"/>
      <c r="Z518" s="358"/>
    </row>
    <row r="519" spans="1:26" ht="15.75" customHeight="1" x14ac:dyDescent="0.25">
      <c r="A519" s="358"/>
      <c r="B519" s="358"/>
      <c r="C519" s="358"/>
      <c r="D519" s="358"/>
      <c r="E519" s="358"/>
      <c r="F519" s="358"/>
      <c r="G519" s="358"/>
      <c r="H519" s="358"/>
      <c r="I519" s="358"/>
      <c r="J519" s="358"/>
      <c r="K519" s="358"/>
      <c r="L519" s="358"/>
      <c r="M519" s="358"/>
      <c r="N519" s="358"/>
      <c r="O519" s="358"/>
      <c r="P519" s="358"/>
      <c r="Q519" s="358"/>
      <c r="R519" s="358"/>
      <c r="S519" s="358"/>
      <c r="T519" s="358"/>
      <c r="U519" s="358"/>
      <c r="V519" s="358"/>
      <c r="W519" s="358"/>
      <c r="X519" s="358"/>
      <c r="Y519" s="358"/>
      <c r="Z519" s="358"/>
    </row>
    <row r="520" spans="1:26" ht="15.75" customHeight="1" x14ac:dyDescent="0.25">
      <c r="A520" s="358"/>
      <c r="B520" s="358"/>
      <c r="C520" s="358"/>
      <c r="D520" s="358"/>
      <c r="E520" s="358"/>
      <c r="F520" s="358"/>
      <c r="G520" s="358"/>
      <c r="H520" s="358"/>
      <c r="I520" s="358"/>
      <c r="J520" s="358"/>
      <c r="K520" s="358"/>
      <c r="L520" s="358"/>
      <c r="M520" s="358"/>
      <c r="N520" s="358"/>
      <c r="O520" s="358"/>
      <c r="P520" s="358"/>
      <c r="Q520" s="358"/>
      <c r="R520" s="358"/>
      <c r="S520" s="358"/>
      <c r="T520" s="358"/>
      <c r="U520" s="358"/>
      <c r="V520" s="358"/>
      <c r="W520" s="358"/>
      <c r="X520" s="358"/>
      <c r="Y520" s="358"/>
      <c r="Z520" s="358"/>
    </row>
    <row r="521" spans="1:26" ht="15.75" customHeight="1" x14ac:dyDescent="0.25">
      <c r="A521" s="358"/>
      <c r="B521" s="358"/>
      <c r="C521" s="358"/>
      <c r="D521" s="358"/>
      <c r="E521" s="358"/>
      <c r="F521" s="358"/>
      <c r="G521" s="358"/>
      <c r="H521" s="358"/>
      <c r="I521" s="358"/>
      <c r="J521" s="358"/>
      <c r="K521" s="358"/>
      <c r="L521" s="358"/>
      <c r="M521" s="358"/>
      <c r="N521" s="358"/>
      <c r="O521" s="358"/>
      <c r="P521" s="358"/>
      <c r="Q521" s="358"/>
      <c r="R521" s="358"/>
      <c r="S521" s="358"/>
      <c r="T521" s="358"/>
      <c r="U521" s="358"/>
      <c r="V521" s="358"/>
      <c r="W521" s="358"/>
      <c r="X521" s="358"/>
      <c r="Y521" s="358"/>
      <c r="Z521" s="358"/>
    </row>
    <row r="522" spans="1:26" ht="15.75" customHeight="1" x14ac:dyDescent="0.25">
      <c r="A522" s="358"/>
      <c r="B522" s="358"/>
      <c r="C522" s="358"/>
      <c r="D522" s="358"/>
      <c r="E522" s="358"/>
      <c r="F522" s="358"/>
      <c r="G522" s="358"/>
      <c r="H522" s="358"/>
      <c r="I522" s="358"/>
      <c r="J522" s="358"/>
      <c r="K522" s="358"/>
      <c r="L522" s="358"/>
      <c r="M522" s="358"/>
      <c r="N522" s="358"/>
      <c r="O522" s="358"/>
      <c r="P522" s="358"/>
      <c r="Q522" s="358"/>
      <c r="R522" s="358"/>
      <c r="S522" s="358"/>
      <c r="T522" s="358"/>
      <c r="U522" s="358"/>
      <c r="V522" s="358"/>
      <c r="W522" s="358"/>
      <c r="X522" s="358"/>
      <c r="Y522" s="358"/>
      <c r="Z522" s="358"/>
    </row>
    <row r="523" spans="1:26" ht="15.75" customHeight="1" x14ac:dyDescent="0.25">
      <c r="A523" s="358"/>
      <c r="B523" s="358"/>
      <c r="C523" s="358"/>
      <c r="D523" s="358"/>
      <c r="E523" s="358"/>
      <c r="F523" s="358"/>
      <c r="G523" s="358"/>
      <c r="H523" s="358"/>
      <c r="I523" s="358"/>
      <c r="J523" s="358"/>
      <c r="K523" s="358"/>
      <c r="L523" s="358"/>
      <c r="M523" s="358"/>
      <c r="N523" s="358"/>
      <c r="O523" s="358"/>
      <c r="P523" s="358"/>
      <c r="Q523" s="358"/>
      <c r="R523" s="358"/>
      <c r="S523" s="358"/>
      <c r="T523" s="358"/>
      <c r="U523" s="358"/>
      <c r="V523" s="358"/>
      <c r="W523" s="358"/>
      <c r="X523" s="358"/>
      <c r="Y523" s="358"/>
      <c r="Z523" s="358"/>
    </row>
    <row r="524" spans="1:26" ht="15.75" customHeight="1" x14ac:dyDescent="0.25">
      <c r="A524" s="358"/>
      <c r="B524" s="358"/>
      <c r="C524" s="358"/>
      <c r="D524" s="358"/>
      <c r="E524" s="358"/>
      <c r="F524" s="358"/>
      <c r="G524" s="358"/>
      <c r="H524" s="358"/>
      <c r="I524" s="358"/>
      <c r="J524" s="358"/>
      <c r="K524" s="358"/>
      <c r="L524" s="358"/>
      <c r="M524" s="358"/>
      <c r="N524" s="358"/>
      <c r="O524" s="358"/>
      <c r="P524" s="358"/>
      <c r="Q524" s="358"/>
      <c r="R524" s="358"/>
      <c r="S524" s="358"/>
      <c r="T524" s="358"/>
      <c r="U524" s="358"/>
      <c r="V524" s="358"/>
      <c r="W524" s="358"/>
      <c r="X524" s="358"/>
      <c r="Y524" s="358"/>
      <c r="Z524" s="358"/>
    </row>
    <row r="525" spans="1:26" ht="15.75" customHeight="1" x14ac:dyDescent="0.25">
      <c r="A525" s="358"/>
      <c r="B525" s="358"/>
      <c r="C525" s="358"/>
      <c r="D525" s="358"/>
      <c r="E525" s="358"/>
      <c r="F525" s="358"/>
      <c r="G525" s="358"/>
      <c r="H525" s="358"/>
      <c r="I525" s="358"/>
      <c r="J525" s="358"/>
      <c r="K525" s="358"/>
      <c r="L525" s="358"/>
      <c r="M525" s="358"/>
      <c r="N525" s="358"/>
      <c r="O525" s="358"/>
      <c r="P525" s="358"/>
      <c r="Q525" s="358"/>
      <c r="R525" s="358"/>
      <c r="S525" s="358"/>
      <c r="T525" s="358"/>
      <c r="U525" s="358"/>
      <c r="V525" s="358"/>
      <c r="W525" s="358"/>
      <c r="X525" s="358"/>
      <c r="Y525" s="358"/>
      <c r="Z525" s="358"/>
    </row>
    <row r="526" spans="1:26" ht="15.75" customHeight="1" x14ac:dyDescent="0.25">
      <c r="A526" s="358"/>
      <c r="B526" s="358"/>
      <c r="C526" s="358"/>
      <c r="D526" s="358"/>
      <c r="E526" s="358"/>
      <c r="F526" s="358"/>
      <c r="G526" s="358"/>
      <c r="H526" s="358"/>
      <c r="I526" s="358"/>
      <c r="J526" s="358"/>
      <c r="K526" s="358"/>
      <c r="L526" s="358"/>
      <c r="M526" s="358"/>
      <c r="N526" s="358"/>
      <c r="O526" s="358"/>
      <c r="P526" s="358"/>
      <c r="Q526" s="358"/>
      <c r="R526" s="358"/>
      <c r="S526" s="358"/>
      <c r="T526" s="358"/>
      <c r="U526" s="358"/>
      <c r="V526" s="358"/>
      <c r="W526" s="358"/>
      <c r="X526" s="358"/>
      <c r="Y526" s="358"/>
      <c r="Z526" s="358"/>
    </row>
    <row r="527" spans="1:26" ht="15.75" customHeight="1" x14ac:dyDescent="0.25">
      <c r="A527" s="358"/>
      <c r="B527" s="358"/>
      <c r="C527" s="358"/>
      <c r="D527" s="358"/>
      <c r="E527" s="358"/>
      <c r="F527" s="358"/>
      <c r="G527" s="358"/>
      <c r="H527" s="358"/>
      <c r="I527" s="358"/>
      <c r="J527" s="358"/>
      <c r="K527" s="358"/>
      <c r="L527" s="358"/>
      <c r="M527" s="358"/>
      <c r="N527" s="358"/>
      <c r="O527" s="358"/>
      <c r="P527" s="358"/>
      <c r="Q527" s="358"/>
      <c r="R527" s="358"/>
      <c r="S527" s="358"/>
      <c r="T527" s="358"/>
      <c r="U527" s="358"/>
      <c r="V527" s="358"/>
      <c r="W527" s="358"/>
      <c r="X527" s="358"/>
      <c r="Y527" s="358"/>
      <c r="Z527" s="358"/>
    </row>
    <row r="528" spans="1:26" ht="15.75" customHeight="1" x14ac:dyDescent="0.25">
      <c r="A528" s="358"/>
      <c r="B528" s="358"/>
      <c r="C528" s="358"/>
      <c r="D528" s="358"/>
      <c r="E528" s="358"/>
      <c r="F528" s="358"/>
      <c r="G528" s="358"/>
      <c r="H528" s="358"/>
      <c r="I528" s="358"/>
      <c r="J528" s="358"/>
      <c r="K528" s="358"/>
      <c r="L528" s="358"/>
      <c r="M528" s="358"/>
      <c r="N528" s="358"/>
      <c r="O528" s="358"/>
      <c r="P528" s="358"/>
      <c r="Q528" s="358"/>
      <c r="R528" s="358"/>
      <c r="S528" s="358"/>
      <c r="T528" s="358"/>
      <c r="U528" s="358"/>
      <c r="V528" s="358"/>
      <c r="W528" s="358"/>
      <c r="X528" s="358"/>
      <c r="Y528" s="358"/>
      <c r="Z528" s="358"/>
    </row>
    <row r="529" spans="1:26" ht="15.75" customHeight="1" x14ac:dyDescent="0.25">
      <c r="A529" s="358"/>
      <c r="B529" s="358"/>
      <c r="C529" s="358"/>
      <c r="D529" s="358"/>
      <c r="E529" s="358"/>
      <c r="F529" s="358"/>
      <c r="G529" s="358"/>
      <c r="H529" s="358"/>
      <c r="I529" s="358"/>
      <c r="J529" s="358"/>
      <c r="K529" s="358"/>
      <c r="L529" s="358"/>
      <c r="M529" s="358"/>
      <c r="N529" s="358"/>
      <c r="O529" s="358"/>
      <c r="P529" s="358"/>
      <c r="Q529" s="358"/>
      <c r="R529" s="358"/>
      <c r="S529" s="358"/>
      <c r="T529" s="358"/>
      <c r="U529" s="358"/>
      <c r="V529" s="358"/>
      <c r="W529" s="358"/>
      <c r="X529" s="358"/>
      <c r="Y529" s="358"/>
      <c r="Z529" s="358"/>
    </row>
    <row r="530" spans="1:26" ht="15.75" customHeight="1" x14ac:dyDescent="0.25">
      <c r="A530" s="358"/>
      <c r="B530" s="358"/>
      <c r="C530" s="358"/>
      <c r="D530" s="358"/>
      <c r="E530" s="358"/>
      <c r="F530" s="358"/>
      <c r="G530" s="358"/>
      <c r="H530" s="358"/>
      <c r="I530" s="358"/>
      <c r="J530" s="358"/>
      <c r="K530" s="358"/>
      <c r="L530" s="358"/>
      <c r="M530" s="358"/>
      <c r="N530" s="358"/>
      <c r="O530" s="358"/>
      <c r="P530" s="358"/>
      <c r="Q530" s="358"/>
      <c r="R530" s="358"/>
      <c r="S530" s="358"/>
      <c r="T530" s="358"/>
      <c r="U530" s="358"/>
      <c r="V530" s="358"/>
      <c r="W530" s="358"/>
      <c r="X530" s="358"/>
      <c r="Y530" s="358"/>
      <c r="Z530" s="358"/>
    </row>
    <row r="531" spans="1:26" ht="15.75" customHeight="1" x14ac:dyDescent="0.25">
      <c r="A531" s="358"/>
      <c r="B531" s="358"/>
      <c r="C531" s="358"/>
      <c r="D531" s="358"/>
      <c r="E531" s="358"/>
      <c r="F531" s="358"/>
      <c r="G531" s="358"/>
      <c r="H531" s="358"/>
      <c r="I531" s="358"/>
      <c r="J531" s="358"/>
      <c r="K531" s="358"/>
      <c r="L531" s="358"/>
      <c r="M531" s="358"/>
      <c r="N531" s="358"/>
      <c r="O531" s="358"/>
      <c r="P531" s="358"/>
      <c r="Q531" s="358"/>
      <c r="R531" s="358"/>
      <c r="S531" s="358"/>
      <c r="T531" s="358"/>
      <c r="U531" s="358"/>
      <c r="V531" s="358"/>
      <c r="W531" s="358"/>
      <c r="X531" s="358"/>
      <c r="Y531" s="358"/>
      <c r="Z531" s="358"/>
    </row>
    <row r="532" spans="1:26" ht="15.75" customHeight="1" x14ac:dyDescent="0.25">
      <c r="A532" s="358"/>
      <c r="B532" s="358"/>
      <c r="C532" s="358"/>
      <c r="D532" s="358"/>
      <c r="E532" s="358"/>
      <c r="F532" s="358"/>
      <c r="G532" s="358"/>
      <c r="H532" s="358"/>
      <c r="I532" s="358"/>
      <c r="J532" s="358"/>
      <c r="K532" s="358"/>
      <c r="L532" s="358"/>
      <c r="M532" s="358"/>
      <c r="N532" s="358"/>
      <c r="O532" s="358"/>
      <c r="P532" s="358"/>
      <c r="Q532" s="358"/>
      <c r="R532" s="358"/>
      <c r="S532" s="358"/>
      <c r="T532" s="358"/>
      <c r="U532" s="358"/>
      <c r="V532" s="358"/>
      <c r="W532" s="358"/>
      <c r="X532" s="358"/>
      <c r="Y532" s="358"/>
      <c r="Z532" s="358"/>
    </row>
    <row r="533" spans="1:26" ht="15.75" customHeight="1" x14ac:dyDescent="0.25">
      <c r="A533" s="358"/>
      <c r="B533" s="358"/>
      <c r="C533" s="358"/>
      <c r="D533" s="358"/>
      <c r="E533" s="358"/>
      <c r="F533" s="358"/>
      <c r="G533" s="358"/>
      <c r="H533" s="358"/>
      <c r="I533" s="358"/>
      <c r="J533" s="358"/>
      <c r="K533" s="358"/>
      <c r="L533" s="358"/>
      <c r="M533" s="358"/>
      <c r="N533" s="358"/>
      <c r="O533" s="358"/>
      <c r="P533" s="358"/>
      <c r="Q533" s="358"/>
      <c r="R533" s="358"/>
      <c r="S533" s="358"/>
      <c r="T533" s="358"/>
      <c r="U533" s="358"/>
      <c r="V533" s="358"/>
      <c r="W533" s="358"/>
      <c r="X533" s="358"/>
      <c r="Y533" s="358"/>
      <c r="Z533" s="358"/>
    </row>
    <row r="534" spans="1:26" ht="15.75" customHeight="1" x14ac:dyDescent="0.25">
      <c r="A534" s="358"/>
      <c r="B534" s="358"/>
      <c r="C534" s="358"/>
      <c r="D534" s="358"/>
      <c r="E534" s="358"/>
      <c r="F534" s="358"/>
      <c r="G534" s="358"/>
      <c r="H534" s="358"/>
      <c r="I534" s="358"/>
      <c r="J534" s="358"/>
      <c r="K534" s="358"/>
      <c r="L534" s="358"/>
      <c r="M534" s="358"/>
      <c r="N534" s="358"/>
      <c r="O534" s="358"/>
      <c r="P534" s="358"/>
      <c r="Q534" s="358"/>
      <c r="R534" s="358"/>
      <c r="S534" s="358"/>
      <c r="T534" s="358"/>
      <c r="U534" s="358"/>
      <c r="V534" s="358"/>
      <c r="W534" s="358"/>
      <c r="X534" s="358"/>
      <c r="Y534" s="358"/>
      <c r="Z534" s="358"/>
    </row>
    <row r="535" spans="1:26" ht="15.75" customHeight="1" x14ac:dyDescent="0.25">
      <c r="A535" s="358"/>
      <c r="B535" s="358"/>
      <c r="C535" s="358"/>
      <c r="D535" s="358"/>
      <c r="E535" s="358"/>
      <c r="F535" s="358"/>
      <c r="G535" s="358"/>
      <c r="H535" s="358"/>
      <c r="I535" s="358"/>
      <c r="J535" s="358"/>
      <c r="K535" s="358"/>
      <c r="L535" s="358"/>
      <c r="M535" s="358"/>
      <c r="N535" s="358"/>
      <c r="O535" s="358"/>
      <c r="P535" s="358"/>
      <c r="Q535" s="358"/>
      <c r="R535" s="358"/>
      <c r="S535" s="358"/>
      <c r="T535" s="358"/>
      <c r="U535" s="358"/>
      <c r="V535" s="358"/>
      <c r="W535" s="358"/>
      <c r="X535" s="358"/>
      <c r="Y535" s="358"/>
      <c r="Z535" s="358"/>
    </row>
    <row r="536" spans="1:26" ht="15.75" customHeight="1" x14ac:dyDescent="0.25">
      <c r="A536" s="358"/>
      <c r="B536" s="358"/>
      <c r="C536" s="358"/>
      <c r="D536" s="358"/>
      <c r="E536" s="358"/>
      <c r="F536" s="358"/>
      <c r="G536" s="358"/>
      <c r="H536" s="358"/>
      <c r="I536" s="358"/>
      <c r="J536" s="358"/>
      <c r="K536" s="358"/>
      <c r="L536" s="358"/>
      <c r="M536" s="358"/>
      <c r="N536" s="358"/>
      <c r="O536" s="358"/>
      <c r="P536" s="358"/>
      <c r="Q536" s="358"/>
      <c r="R536" s="358"/>
      <c r="S536" s="358"/>
      <c r="T536" s="358"/>
      <c r="U536" s="358"/>
      <c r="V536" s="358"/>
      <c r="W536" s="358"/>
      <c r="X536" s="358"/>
      <c r="Y536" s="358"/>
      <c r="Z536" s="358"/>
    </row>
    <row r="537" spans="1:26" ht="15.75" customHeight="1" x14ac:dyDescent="0.25">
      <c r="A537" s="358"/>
      <c r="B537" s="358"/>
      <c r="C537" s="358"/>
      <c r="D537" s="358"/>
      <c r="E537" s="358"/>
      <c r="F537" s="358"/>
      <c r="G537" s="358"/>
      <c r="H537" s="358"/>
      <c r="I537" s="358"/>
      <c r="J537" s="358"/>
      <c r="K537" s="358"/>
      <c r="L537" s="358"/>
      <c r="M537" s="358"/>
      <c r="N537" s="358"/>
      <c r="O537" s="358"/>
      <c r="P537" s="358"/>
      <c r="Q537" s="358"/>
      <c r="R537" s="358"/>
      <c r="S537" s="358"/>
      <c r="T537" s="358"/>
      <c r="U537" s="358"/>
      <c r="V537" s="358"/>
      <c r="W537" s="358"/>
      <c r="X537" s="358"/>
      <c r="Y537" s="358"/>
      <c r="Z537" s="358"/>
    </row>
    <row r="538" spans="1:26" ht="15.75" customHeight="1" x14ac:dyDescent="0.25">
      <c r="A538" s="358"/>
      <c r="B538" s="358"/>
      <c r="C538" s="358"/>
      <c r="D538" s="358"/>
      <c r="E538" s="358"/>
      <c r="F538" s="358"/>
      <c r="G538" s="358"/>
      <c r="H538" s="358"/>
      <c r="I538" s="358"/>
      <c r="J538" s="358"/>
      <c r="K538" s="358"/>
      <c r="L538" s="358"/>
      <c r="M538" s="358"/>
      <c r="N538" s="358"/>
      <c r="O538" s="358"/>
      <c r="P538" s="358"/>
      <c r="Q538" s="358"/>
      <c r="R538" s="358"/>
      <c r="S538" s="358"/>
      <c r="T538" s="358"/>
      <c r="U538" s="358"/>
      <c r="V538" s="358"/>
      <c r="W538" s="358"/>
      <c r="X538" s="358"/>
      <c r="Y538" s="358"/>
      <c r="Z538" s="358"/>
    </row>
    <row r="539" spans="1:26" ht="15.75" customHeight="1" x14ac:dyDescent="0.25">
      <c r="A539" s="358"/>
      <c r="B539" s="358"/>
      <c r="C539" s="358"/>
      <c r="D539" s="358"/>
      <c r="E539" s="358"/>
      <c r="F539" s="358"/>
      <c r="G539" s="358"/>
      <c r="H539" s="358"/>
      <c r="I539" s="358"/>
      <c r="J539" s="358"/>
      <c r="K539" s="358"/>
      <c r="L539" s="358"/>
      <c r="M539" s="358"/>
      <c r="N539" s="358"/>
      <c r="O539" s="358"/>
      <c r="P539" s="358"/>
      <c r="Q539" s="358"/>
      <c r="R539" s="358"/>
      <c r="S539" s="358"/>
      <c r="T539" s="358"/>
      <c r="U539" s="358"/>
      <c r="V539" s="358"/>
      <c r="W539" s="358"/>
      <c r="X539" s="358"/>
      <c r="Y539" s="358"/>
      <c r="Z539" s="358"/>
    </row>
    <row r="540" spans="1:26" ht="15.75" customHeight="1" x14ac:dyDescent="0.25">
      <c r="A540" s="358"/>
      <c r="B540" s="358"/>
      <c r="C540" s="358"/>
      <c r="D540" s="358"/>
      <c r="E540" s="358"/>
      <c r="F540" s="358"/>
      <c r="G540" s="358"/>
      <c r="H540" s="358"/>
      <c r="I540" s="358"/>
      <c r="J540" s="358"/>
      <c r="K540" s="358"/>
      <c r="L540" s="358"/>
      <c r="M540" s="358"/>
      <c r="N540" s="358"/>
      <c r="O540" s="358"/>
      <c r="P540" s="358"/>
      <c r="Q540" s="358"/>
      <c r="R540" s="358"/>
      <c r="S540" s="358"/>
      <c r="T540" s="358"/>
      <c r="U540" s="358"/>
      <c r="V540" s="358"/>
      <c r="W540" s="358"/>
      <c r="X540" s="358"/>
      <c r="Y540" s="358"/>
      <c r="Z540" s="358"/>
    </row>
    <row r="541" spans="1:26" ht="15.75" customHeight="1" x14ac:dyDescent="0.25">
      <c r="A541" s="358"/>
      <c r="B541" s="358"/>
      <c r="C541" s="358"/>
      <c r="D541" s="358"/>
      <c r="E541" s="358"/>
      <c r="F541" s="358"/>
      <c r="G541" s="358"/>
      <c r="H541" s="358"/>
      <c r="I541" s="358"/>
      <c r="J541" s="358"/>
      <c r="K541" s="358"/>
      <c r="L541" s="358"/>
      <c r="M541" s="358"/>
      <c r="N541" s="358"/>
      <c r="O541" s="358"/>
      <c r="P541" s="358"/>
      <c r="Q541" s="358"/>
      <c r="R541" s="358"/>
      <c r="S541" s="358"/>
      <c r="T541" s="358"/>
      <c r="U541" s="358"/>
      <c r="V541" s="358"/>
      <c r="W541" s="358"/>
      <c r="X541" s="358"/>
      <c r="Y541" s="358"/>
      <c r="Z541" s="358"/>
    </row>
    <row r="542" spans="1:26" ht="15.75" customHeight="1" x14ac:dyDescent="0.25">
      <c r="A542" s="358"/>
      <c r="B542" s="358"/>
      <c r="C542" s="358"/>
      <c r="D542" s="358"/>
      <c r="E542" s="358"/>
      <c r="F542" s="358"/>
      <c r="G542" s="358"/>
      <c r="H542" s="358"/>
      <c r="I542" s="358"/>
      <c r="J542" s="358"/>
      <c r="K542" s="358"/>
      <c r="L542" s="358"/>
      <c r="M542" s="358"/>
      <c r="N542" s="358"/>
      <c r="O542" s="358"/>
      <c r="P542" s="358"/>
      <c r="Q542" s="358"/>
      <c r="R542" s="358"/>
      <c r="S542" s="358"/>
      <c r="T542" s="358"/>
      <c r="U542" s="358"/>
      <c r="V542" s="358"/>
      <c r="W542" s="358"/>
      <c r="X542" s="358"/>
      <c r="Y542" s="358"/>
      <c r="Z542" s="358"/>
    </row>
    <row r="543" spans="1:26" ht="15.75" customHeight="1" x14ac:dyDescent="0.25">
      <c r="A543" s="358"/>
      <c r="B543" s="358"/>
      <c r="C543" s="358"/>
      <c r="D543" s="358"/>
      <c r="E543" s="358"/>
      <c r="F543" s="358"/>
      <c r="G543" s="358"/>
      <c r="H543" s="358"/>
      <c r="I543" s="358"/>
      <c r="J543" s="358"/>
      <c r="K543" s="358"/>
      <c r="L543" s="358"/>
      <c r="M543" s="358"/>
      <c r="N543" s="358"/>
      <c r="O543" s="358"/>
      <c r="P543" s="358"/>
      <c r="Q543" s="358"/>
      <c r="R543" s="358"/>
      <c r="S543" s="358"/>
      <c r="T543" s="358"/>
      <c r="U543" s="358"/>
      <c r="V543" s="358"/>
      <c r="W543" s="358"/>
      <c r="X543" s="358"/>
      <c r="Y543" s="358"/>
      <c r="Z543" s="358"/>
    </row>
    <row r="544" spans="1:26" ht="15.75" customHeight="1" x14ac:dyDescent="0.25">
      <c r="A544" s="358"/>
      <c r="B544" s="358"/>
      <c r="C544" s="358"/>
      <c r="D544" s="358"/>
      <c r="E544" s="358"/>
      <c r="F544" s="358"/>
      <c r="G544" s="358"/>
      <c r="H544" s="358"/>
      <c r="I544" s="358"/>
      <c r="J544" s="358"/>
      <c r="K544" s="358"/>
      <c r="L544" s="358"/>
      <c r="M544" s="358"/>
      <c r="N544" s="358"/>
      <c r="O544" s="358"/>
      <c r="P544" s="358"/>
      <c r="Q544" s="358"/>
      <c r="R544" s="358"/>
      <c r="S544" s="358"/>
      <c r="T544" s="358"/>
      <c r="U544" s="358"/>
      <c r="V544" s="358"/>
      <c r="W544" s="358"/>
      <c r="X544" s="358"/>
      <c r="Y544" s="358"/>
      <c r="Z544" s="358"/>
    </row>
    <row r="545" spans="1:26" ht="15.75" customHeight="1" x14ac:dyDescent="0.25">
      <c r="A545" s="358"/>
      <c r="B545" s="358"/>
      <c r="C545" s="358"/>
      <c r="D545" s="358"/>
      <c r="E545" s="358"/>
      <c r="F545" s="358"/>
      <c r="G545" s="358"/>
      <c r="H545" s="358"/>
      <c r="I545" s="358"/>
      <c r="J545" s="358"/>
      <c r="K545" s="358"/>
      <c r="L545" s="358"/>
      <c r="M545" s="358"/>
      <c r="N545" s="358"/>
      <c r="O545" s="358"/>
      <c r="P545" s="358"/>
      <c r="Q545" s="358"/>
      <c r="R545" s="358"/>
      <c r="S545" s="358"/>
      <c r="T545" s="358"/>
      <c r="U545" s="358"/>
      <c r="V545" s="358"/>
      <c r="W545" s="358"/>
      <c r="X545" s="358"/>
      <c r="Y545" s="358"/>
      <c r="Z545" s="358"/>
    </row>
    <row r="546" spans="1:26" ht="15.75" customHeight="1" x14ac:dyDescent="0.25">
      <c r="A546" s="358"/>
      <c r="B546" s="358"/>
      <c r="C546" s="358"/>
      <c r="D546" s="358"/>
      <c r="E546" s="358"/>
      <c r="F546" s="358"/>
      <c r="G546" s="358"/>
      <c r="H546" s="358"/>
      <c r="I546" s="358"/>
      <c r="J546" s="358"/>
      <c r="K546" s="358"/>
      <c r="L546" s="358"/>
      <c r="M546" s="358"/>
      <c r="N546" s="358"/>
      <c r="O546" s="358"/>
      <c r="P546" s="358"/>
      <c r="Q546" s="358"/>
      <c r="R546" s="358"/>
      <c r="S546" s="358"/>
      <c r="T546" s="358"/>
      <c r="U546" s="358"/>
      <c r="V546" s="358"/>
      <c r="W546" s="358"/>
      <c r="X546" s="358"/>
      <c r="Y546" s="358"/>
      <c r="Z546" s="358"/>
    </row>
    <row r="547" spans="1:26" ht="15.75" customHeight="1" x14ac:dyDescent="0.25">
      <c r="A547" s="358"/>
      <c r="B547" s="358"/>
      <c r="C547" s="358"/>
      <c r="D547" s="358"/>
      <c r="E547" s="358"/>
      <c r="F547" s="358"/>
      <c r="G547" s="358"/>
      <c r="H547" s="358"/>
      <c r="I547" s="358"/>
      <c r="J547" s="358"/>
      <c r="K547" s="358"/>
      <c r="L547" s="358"/>
      <c r="M547" s="358"/>
      <c r="N547" s="358"/>
      <c r="O547" s="358"/>
      <c r="P547" s="358"/>
      <c r="Q547" s="358"/>
      <c r="R547" s="358"/>
      <c r="S547" s="358"/>
      <c r="T547" s="358"/>
      <c r="U547" s="358"/>
      <c r="V547" s="358"/>
      <c r="W547" s="358"/>
      <c r="X547" s="358"/>
      <c r="Y547" s="358"/>
      <c r="Z547" s="358"/>
    </row>
    <row r="548" spans="1:26" ht="15.75" customHeight="1" x14ac:dyDescent="0.25">
      <c r="A548" s="358"/>
      <c r="B548" s="358"/>
      <c r="C548" s="358"/>
      <c r="D548" s="358"/>
      <c r="E548" s="358"/>
      <c r="F548" s="358"/>
      <c r="G548" s="358"/>
      <c r="H548" s="358"/>
      <c r="I548" s="358"/>
      <c r="J548" s="358"/>
      <c r="K548" s="358"/>
      <c r="L548" s="358"/>
      <c r="M548" s="358"/>
      <c r="N548" s="358"/>
      <c r="O548" s="358"/>
      <c r="P548" s="358"/>
      <c r="Q548" s="358"/>
      <c r="R548" s="358"/>
      <c r="S548" s="358"/>
      <c r="T548" s="358"/>
      <c r="U548" s="358"/>
      <c r="V548" s="358"/>
      <c r="W548" s="358"/>
      <c r="X548" s="358"/>
      <c r="Y548" s="358"/>
      <c r="Z548" s="358"/>
    </row>
    <row r="549" spans="1:26" ht="15.75" customHeight="1" x14ac:dyDescent="0.25">
      <c r="A549" s="358"/>
      <c r="B549" s="358"/>
      <c r="C549" s="358"/>
      <c r="D549" s="358"/>
      <c r="E549" s="358"/>
      <c r="F549" s="358"/>
      <c r="G549" s="358"/>
      <c r="H549" s="358"/>
      <c r="I549" s="358"/>
      <c r="J549" s="358"/>
      <c r="K549" s="358"/>
      <c r="L549" s="358"/>
      <c r="M549" s="358"/>
      <c r="N549" s="358"/>
      <c r="O549" s="358"/>
      <c r="P549" s="358"/>
      <c r="Q549" s="358"/>
      <c r="R549" s="358"/>
      <c r="S549" s="358"/>
      <c r="T549" s="358"/>
      <c r="U549" s="358"/>
      <c r="V549" s="358"/>
      <c r="W549" s="358"/>
      <c r="X549" s="358"/>
      <c r="Y549" s="358"/>
      <c r="Z549" s="358"/>
    </row>
    <row r="550" spans="1:26" ht="15.75" customHeight="1" x14ac:dyDescent="0.25">
      <c r="A550" s="358"/>
      <c r="B550" s="358"/>
      <c r="C550" s="358"/>
      <c r="D550" s="358"/>
      <c r="E550" s="358"/>
      <c r="F550" s="358"/>
      <c r="G550" s="358"/>
      <c r="H550" s="358"/>
      <c r="I550" s="358"/>
      <c r="J550" s="358"/>
      <c r="K550" s="358"/>
      <c r="L550" s="358"/>
      <c r="M550" s="358"/>
      <c r="N550" s="358"/>
      <c r="O550" s="358"/>
      <c r="P550" s="358"/>
      <c r="Q550" s="358"/>
      <c r="R550" s="358"/>
      <c r="S550" s="358"/>
      <c r="T550" s="358"/>
      <c r="U550" s="358"/>
      <c r="V550" s="358"/>
      <c r="W550" s="358"/>
      <c r="X550" s="358"/>
      <c r="Y550" s="358"/>
      <c r="Z550" s="358"/>
    </row>
    <row r="551" spans="1:26" ht="15.75" customHeight="1" x14ac:dyDescent="0.25">
      <c r="A551" s="358"/>
      <c r="B551" s="358"/>
      <c r="C551" s="358"/>
      <c r="D551" s="358"/>
      <c r="E551" s="358"/>
      <c r="F551" s="358"/>
      <c r="G551" s="358"/>
      <c r="H551" s="358"/>
      <c r="I551" s="358"/>
      <c r="J551" s="358"/>
      <c r="K551" s="358"/>
      <c r="L551" s="358"/>
      <c r="M551" s="358"/>
      <c r="N551" s="358"/>
      <c r="O551" s="358"/>
      <c r="P551" s="358"/>
      <c r="Q551" s="358"/>
      <c r="R551" s="358"/>
      <c r="S551" s="358"/>
      <c r="T551" s="358"/>
      <c r="U551" s="358"/>
      <c r="V551" s="358"/>
      <c r="W551" s="358"/>
      <c r="X551" s="358"/>
      <c r="Y551" s="358"/>
      <c r="Z551" s="358"/>
    </row>
    <row r="552" spans="1:26" ht="15.75" customHeight="1" x14ac:dyDescent="0.25">
      <c r="A552" s="358"/>
      <c r="B552" s="358"/>
      <c r="C552" s="358"/>
      <c r="D552" s="358"/>
      <c r="E552" s="358"/>
      <c r="F552" s="358"/>
      <c r="G552" s="358"/>
      <c r="H552" s="358"/>
      <c r="I552" s="358"/>
      <c r="J552" s="358"/>
      <c r="K552" s="358"/>
      <c r="L552" s="358"/>
      <c r="M552" s="358"/>
      <c r="N552" s="358"/>
      <c r="O552" s="358"/>
      <c r="P552" s="358"/>
      <c r="Q552" s="358"/>
      <c r="R552" s="358"/>
      <c r="S552" s="358"/>
      <c r="T552" s="358"/>
      <c r="U552" s="358"/>
      <c r="V552" s="358"/>
      <c r="W552" s="358"/>
      <c r="X552" s="358"/>
      <c r="Y552" s="358"/>
      <c r="Z552" s="358"/>
    </row>
    <row r="553" spans="1:26" ht="15.75" customHeight="1" x14ac:dyDescent="0.25">
      <c r="A553" s="358"/>
      <c r="B553" s="358"/>
      <c r="C553" s="358"/>
      <c r="D553" s="358"/>
      <c r="E553" s="358"/>
      <c r="F553" s="358"/>
      <c r="G553" s="358"/>
      <c r="H553" s="358"/>
      <c r="I553" s="358"/>
      <c r="J553" s="358"/>
      <c r="K553" s="358"/>
      <c r="L553" s="358"/>
      <c r="M553" s="358"/>
      <c r="N553" s="358"/>
      <c r="O553" s="358"/>
      <c r="P553" s="358"/>
      <c r="Q553" s="358"/>
      <c r="R553" s="358"/>
      <c r="S553" s="358"/>
      <c r="T553" s="358"/>
      <c r="U553" s="358"/>
      <c r="V553" s="358"/>
      <c r="W553" s="358"/>
      <c r="X553" s="358"/>
      <c r="Y553" s="358"/>
      <c r="Z553" s="358"/>
    </row>
    <row r="554" spans="1:26" ht="15.75" customHeight="1" x14ac:dyDescent="0.25">
      <c r="A554" s="358"/>
      <c r="B554" s="358"/>
      <c r="C554" s="358"/>
      <c r="D554" s="358"/>
      <c r="E554" s="358"/>
      <c r="F554" s="358"/>
      <c r="G554" s="358"/>
      <c r="H554" s="358"/>
      <c r="I554" s="358"/>
      <c r="J554" s="358"/>
      <c r="K554" s="358"/>
      <c r="L554" s="358"/>
      <c r="M554" s="358"/>
      <c r="N554" s="358"/>
      <c r="O554" s="358"/>
      <c r="P554" s="358"/>
      <c r="Q554" s="358"/>
      <c r="R554" s="358"/>
      <c r="S554" s="358"/>
      <c r="T554" s="358"/>
      <c r="U554" s="358"/>
      <c r="V554" s="358"/>
      <c r="W554" s="358"/>
      <c r="X554" s="358"/>
      <c r="Y554" s="358"/>
      <c r="Z554" s="358"/>
    </row>
    <row r="555" spans="1:26" ht="15.75" customHeight="1" x14ac:dyDescent="0.25">
      <c r="A555" s="358"/>
      <c r="B555" s="358"/>
      <c r="C555" s="358"/>
      <c r="D555" s="358"/>
      <c r="E555" s="358"/>
      <c r="F555" s="358"/>
      <c r="G555" s="358"/>
      <c r="H555" s="358"/>
      <c r="I555" s="358"/>
      <c r="J555" s="358"/>
      <c r="K555" s="358"/>
      <c r="L555" s="358"/>
      <c r="M555" s="358"/>
      <c r="N555" s="358"/>
      <c r="O555" s="358"/>
      <c r="P555" s="358"/>
      <c r="Q555" s="358"/>
      <c r="R555" s="358"/>
      <c r="S555" s="358"/>
      <c r="T555" s="358"/>
      <c r="U555" s="358"/>
      <c r="V555" s="358"/>
      <c r="W555" s="358"/>
      <c r="X555" s="358"/>
      <c r="Y555" s="358"/>
      <c r="Z555" s="358"/>
    </row>
    <row r="556" spans="1:26" ht="15.75" customHeight="1" x14ac:dyDescent="0.25">
      <c r="A556" s="358"/>
      <c r="B556" s="358"/>
      <c r="C556" s="358"/>
      <c r="D556" s="358"/>
      <c r="E556" s="358"/>
      <c r="F556" s="358"/>
      <c r="G556" s="358"/>
      <c r="H556" s="358"/>
      <c r="I556" s="358"/>
      <c r="J556" s="358"/>
      <c r="K556" s="358"/>
      <c r="L556" s="358"/>
      <c r="M556" s="358"/>
      <c r="N556" s="358"/>
      <c r="O556" s="358"/>
      <c r="P556" s="358"/>
      <c r="Q556" s="358"/>
      <c r="R556" s="358"/>
      <c r="S556" s="358"/>
      <c r="T556" s="358"/>
      <c r="U556" s="358"/>
      <c r="V556" s="358"/>
      <c r="W556" s="358"/>
      <c r="X556" s="358"/>
      <c r="Y556" s="358"/>
      <c r="Z556" s="358"/>
    </row>
    <row r="557" spans="1:26" ht="15.75" customHeight="1" x14ac:dyDescent="0.25">
      <c r="A557" s="358"/>
      <c r="B557" s="358"/>
      <c r="C557" s="358"/>
      <c r="D557" s="358"/>
      <c r="E557" s="358"/>
      <c r="F557" s="358"/>
      <c r="G557" s="358"/>
      <c r="H557" s="358"/>
      <c r="I557" s="358"/>
      <c r="J557" s="358"/>
      <c r="K557" s="358"/>
      <c r="L557" s="358"/>
      <c r="M557" s="358"/>
      <c r="N557" s="358"/>
      <c r="O557" s="358"/>
      <c r="P557" s="358"/>
      <c r="Q557" s="358"/>
      <c r="R557" s="358"/>
      <c r="S557" s="358"/>
      <c r="T557" s="358"/>
      <c r="U557" s="358"/>
      <c r="V557" s="358"/>
      <c r="W557" s="358"/>
      <c r="X557" s="358"/>
      <c r="Y557" s="358"/>
      <c r="Z557" s="358"/>
    </row>
    <row r="558" spans="1:26" ht="15.75" customHeight="1" x14ac:dyDescent="0.25">
      <c r="A558" s="358"/>
      <c r="B558" s="358"/>
      <c r="C558" s="358"/>
      <c r="D558" s="358"/>
      <c r="E558" s="358"/>
      <c r="F558" s="358"/>
      <c r="G558" s="358"/>
      <c r="H558" s="358"/>
      <c r="I558" s="358"/>
      <c r="J558" s="358"/>
      <c r="K558" s="358"/>
      <c r="L558" s="358"/>
      <c r="M558" s="358"/>
      <c r="N558" s="358"/>
      <c r="O558" s="358"/>
      <c r="P558" s="358"/>
      <c r="Q558" s="358"/>
      <c r="R558" s="358"/>
      <c r="S558" s="358"/>
      <c r="T558" s="358"/>
      <c r="U558" s="358"/>
      <c r="V558" s="358"/>
      <c r="W558" s="358"/>
      <c r="X558" s="358"/>
      <c r="Y558" s="358"/>
      <c r="Z558" s="358"/>
    </row>
    <row r="559" spans="1:26" ht="15.75" customHeight="1" x14ac:dyDescent="0.25">
      <c r="A559" s="358"/>
      <c r="B559" s="358"/>
      <c r="C559" s="358"/>
      <c r="D559" s="358"/>
      <c r="E559" s="358"/>
      <c r="F559" s="358"/>
      <c r="G559" s="358"/>
      <c r="H559" s="358"/>
      <c r="I559" s="358"/>
      <c r="J559" s="358"/>
      <c r="K559" s="358"/>
      <c r="L559" s="358"/>
      <c r="M559" s="358"/>
      <c r="N559" s="358"/>
      <c r="O559" s="358"/>
      <c r="P559" s="358"/>
      <c r="Q559" s="358"/>
      <c r="R559" s="358"/>
      <c r="S559" s="358"/>
      <c r="T559" s="358"/>
      <c r="U559" s="358"/>
      <c r="V559" s="358"/>
      <c r="W559" s="358"/>
      <c r="X559" s="358"/>
      <c r="Y559" s="358"/>
      <c r="Z559" s="358"/>
    </row>
    <row r="560" spans="1:26" ht="15.75" customHeight="1" x14ac:dyDescent="0.25">
      <c r="A560" s="358"/>
      <c r="B560" s="358"/>
      <c r="C560" s="358"/>
      <c r="D560" s="358"/>
      <c r="E560" s="358"/>
      <c r="F560" s="358"/>
      <c r="G560" s="358"/>
      <c r="H560" s="358"/>
      <c r="I560" s="358"/>
      <c r="J560" s="358"/>
      <c r="K560" s="358"/>
      <c r="L560" s="358"/>
      <c r="M560" s="358"/>
      <c r="N560" s="358"/>
      <c r="O560" s="358"/>
      <c r="P560" s="358"/>
      <c r="Q560" s="358"/>
      <c r="R560" s="358"/>
      <c r="S560" s="358"/>
      <c r="T560" s="358"/>
      <c r="U560" s="358"/>
      <c r="V560" s="358"/>
      <c r="W560" s="358"/>
      <c r="X560" s="358"/>
      <c r="Y560" s="358"/>
      <c r="Z560" s="358"/>
    </row>
    <row r="561" spans="1:26" ht="15.75" customHeight="1" x14ac:dyDescent="0.25">
      <c r="A561" s="358"/>
      <c r="B561" s="358"/>
      <c r="C561" s="358"/>
      <c r="D561" s="358"/>
      <c r="E561" s="358"/>
      <c r="F561" s="358"/>
      <c r="G561" s="358"/>
      <c r="H561" s="358"/>
      <c r="I561" s="358"/>
      <c r="J561" s="358"/>
      <c r="K561" s="358"/>
      <c r="L561" s="358"/>
      <c r="M561" s="358"/>
      <c r="N561" s="358"/>
      <c r="O561" s="358"/>
      <c r="P561" s="358"/>
      <c r="Q561" s="358"/>
      <c r="R561" s="358"/>
      <c r="S561" s="358"/>
      <c r="T561" s="358"/>
      <c r="U561" s="358"/>
      <c r="V561" s="358"/>
      <c r="W561" s="358"/>
      <c r="X561" s="358"/>
      <c r="Y561" s="358"/>
      <c r="Z561" s="358"/>
    </row>
    <row r="562" spans="1:26" ht="15.75" customHeight="1" x14ac:dyDescent="0.25">
      <c r="A562" s="358"/>
      <c r="B562" s="358"/>
      <c r="C562" s="358"/>
      <c r="D562" s="358"/>
      <c r="E562" s="358"/>
      <c r="F562" s="358"/>
      <c r="G562" s="358"/>
      <c r="H562" s="358"/>
      <c r="I562" s="358"/>
      <c r="J562" s="358"/>
      <c r="K562" s="358"/>
      <c r="L562" s="358"/>
      <c r="M562" s="358"/>
      <c r="N562" s="358"/>
      <c r="O562" s="358"/>
      <c r="P562" s="358"/>
      <c r="Q562" s="358"/>
      <c r="R562" s="358"/>
      <c r="S562" s="358"/>
      <c r="T562" s="358"/>
      <c r="U562" s="358"/>
      <c r="V562" s="358"/>
      <c r="W562" s="358"/>
      <c r="X562" s="358"/>
      <c r="Y562" s="358"/>
      <c r="Z562" s="358"/>
    </row>
    <row r="563" spans="1:26" ht="15.75" customHeight="1" x14ac:dyDescent="0.25">
      <c r="A563" s="358"/>
      <c r="B563" s="358"/>
      <c r="C563" s="358"/>
      <c r="D563" s="358"/>
      <c r="E563" s="358"/>
      <c r="F563" s="358"/>
      <c r="G563" s="358"/>
      <c r="H563" s="358"/>
      <c r="I563" s="358"/>
      <c r="J563" s="358"/>
      <c r="K563" s="358"/>
      <c r="L563" s="358"/>
      <c r="M563" s="358"/>
      <c r="N563" s="358"/>
      <c r="O563" s="358"/>
      <c r="P563" s="358"/>
      <c r="Q563" s="358"/>
      <c r="R563" s="358"/>
      <c r="S563" s="358"/>
      <c r="T563" s="358"/>
      <c r="U563" s="358"/>
      <c r="V563" s="358"/>
      <c r="W563" s="358"/>
      <c r="X563" s="358"/>
      <c r="Y563" s="358"/>
      <c r="Z563" s="358"/>
    </row>
    <row r="564" spans="1:26" ht="15.75" customHeight="1" x14ac:dyDescent="0.25">
      <c r="A564" s="358"/>
      <c r="B564" s="358"/>
      <c r="C564" s="358"/>
      <c r="D564" s="358"/>
      <c r="E564" s="358"/>
      <c r="F564" s="358"/>
      <c r="G564" s="358"/>
      <c r="H564" s="358"/>
      <c r="I564" s="358"/>
      <c r="J564" s="358"/>
      <c r="K564" s="358"/>
      <c r="L564" s="358"/>
      <c r="M564" s="358"/>
      <c r="N564" s="358"/>
      <c r="O564" s="358"/>
      <c r="P564" s="358"/>
      <c r="Q564" s="358"/>
      <c r="R564" s="358"/>
      <c r="S564" s="358"/>
      <c r="T564" s="358"/>
      <c r="U564" s="358"/>
      <c r="V564" s="358"/>
      <c r="W564" s="358"/>
      <c r="X564" s="358"/>
      <c r="Y564" s="358"/>
      <c r="Z564" s="358"/>
    </row>
    <row r="565" spans="1:26" ht="15.75" customHeight="1" x14ac:dyDescent="0.25">
      <c r="A565" s="358"/>
      <c r="B565" s="358"/>
      <c r="C565" s="358"/>
      <c r="D565" s="358"/>
      <c r="E565" s="358"/>
      <c r="F565" s="358"/>
      <c r="G565" s="358"/>
      <c r="H565" s="358"/>
      <c r="I565" s="358"/>
      <c r="J565" s="358"/>
      <c r="K565" s="358"/>
      <c r="L565" s="358"/>
      <c r="M565" s="358"/>
      <c r="N565" s="358"/>
      <c r="O565" s="358"/>
      <c r="P565" s="358"/>
      <c r="Q565" s="358"/>
      <c r="R565" s="358"/>
      <c r="S565" s="358"/>
      <c r="T565" s="358"/>
      <c r="U565" s="358"/>
      <c r="V565" s="358"/>
      <c r="W565" s="358"/>
      <c r="X565" s="358"/>
      <c r="Y565" s="358"/>
      <c r="Z565" s="358"/>
    </row>
    <row r="566" spans="1:26" ht="15.75" customHeight="1" x14ac:dyDescent="0.25">
      <c r="A566" s="358"/>
      <c r="B566" s="358"/>
      <c r="C566" s="358"/>
      <c r="D566" s="358"/>
      <c r="E566" s="358"/>
      <c r="F566" s="358"/>
      <c r="G566" s="358"/>
      <c r="H566" s="358"/>
      <c r="I566" s="358"/>
      <c r="J566" s="358"/>
      <c r="K566" s="358"/>
      <c r="L566" s="358"/>
      <c r="M566" s="358"/>
      <c r="N566" s="358"/>
      <c r="O566" s="358"/>
      <c r="P566" s="358"/>
      <c r="Q566" s="358"/>
      <c r="R566" s="358"/>
      <c r="S566" s="358"/>
      <c r="T566" s="358"/>
      <c r="U566" s="358"/>
      <c r="V566" s="358"/>
      <c r="W566" s="358"/>
      <c r="X566" s="358"/>
      <c r="Y566" s="358"/>
      <c r="Z566" s="358"/>
    </row>
    <row r="567" spans="1:26" ht="15.75" customHeight="1" x14ac:dyDescent="0.25">
      <c r="A567" s="358"/>
      <c r="B567" s="358"/>
      <c r="C567" s="358"/>
      <c r="D567" s="358"/>
      <c r="E567" s="358"/>
      <c r="F567" s="358"/>
      <c r="G567" s="358"/>
      <c r="H567" s="358"/>
      <c r="I567" s="358"/>
      <c r="J567" s="358"/>
      <c r="K567" s="358"/>
      <c r="L567" s="358"/>
      <c r="M567" s="358"/>
      <c r="N567" s="358"/>
      <c r="O567" s="358"/>
      <c r="P567" s="358"/>
      <c r="Q567" s="358"/>
      <c r="R567" s="358"/>
      <c r="S567" s="358"/>
      <c r="T567" s="358"/>
      <c r="U567" s="358"/>
      <c r="V567" s="358"/>
      <c r="W567" s="358"/>
      <c r="X567" s="358"/>
      <c r="Y567" s="358"/>
      <c r="Z567" s="358"/>
    </row>
    <row r="568" spans="1:26" ht="15.75" customHeight="1" x14ac:dyDescent="0.25">
      <c r="A568" s="358"/>
      <c r="B568" s="358"/>
      <c r="C568" s="358"/>
      <c r="D568" s="358"/>
      <c r="E568" s="358"/>
      <c r="F568" s="358"/>
      <c r="G568" s="358"/>
      <c r="H568" s="358"/>
      <c r="I568" s="358"/>
      <c r="J568" s="358"/>
      <c r="K568" s="358"/>
      <c r="L568" s="358"/>
      <c r="M568" s="358"/>
      <c r="N568" s="358"/>
      <c r="O568" s="358"/>
      <c r="P568" s="358"/>
      <c r="Q568" s="358"/>
      <c r="R568" s="358"/>
      <c r="S568" s="358"/>
      <c r="T568" s="358"/>
      <c r="U568" s="358"/>
      <c r="V568" s="358"/>
      <c r="W568" s="358"/>
      <c r="X568" s="358"/>
      <c r="Y568" s="358"/>
      <c r="Z568" s="358"/>
    </row>
    <row r="569" spans="1:26" ht="15.75" customHeight="1" x14ac:dyDescent="0.25">
      <c r="A569" s="358"/>
      <c r="B569" s="358"/>
      <c r="C569" s="358"/>
      <c r="D569" s="358"/>
      <c r="E569" s="358"/>
      <c r="F569" s="358"/>
      <c r="G569" s="358"/>
      <c r="H569" s="358"/>
      <c r="I569" s="358"/>
      <c r="J569" s="358"/>
      <c r="K569" s="358"/>
      <c r="L569" s="358"/>
      <c r="M569" s="358"/>
      <c r="N569" s="358"/>
      <c r="O569" s="358"/>
      <c r="P569" s="358"/>
      <c r="Q569" s="358"/>
      <c r="R569" s="358"/>
      <c r="S569" s="358"/>
      <c r="T569" s="358"/>
      <c r="U569" s="358"/>
      <c r="V569" s="358"/>
      <c r="W569" s="358"/>
      <c r="X569" s="358"/>
      <c r="Y569" s="358"/>
      <c r="Z569" s="358"/>
    </row>
    <row r="570" spans="1:26" ht="15.75" customHeight="1" x14ac:dyDescent="0.25">
      <c r="A570" s="358"/>
      <c r="B570" s="358"/>
      <c r="C570" s="358"/>
      <c r="D570" s="358"/>
      <c r="E570" s="358"/>
      <c r="F570" s="358"/>
      <c r="G570" s="358"/>
      <c r="H570" s="358"/>
      <c r="I570" s="358"/>
      <c r="J570" s="358"/>
      <c r="K570" s="358"/>
      <c r="L570" s="358"/>
      <c r="M570" s="358"/>
      <c r="N570" s="358"/>
      <c r="O570" s="358"/>
      <c r="P570" s="358"/>
      <c r="Q570" s="358"/>
      <c r="R570" s="358"/>
      <c r="S570" s="358"/>
      <c r="T570" s="358"/>
      <c r="U570" s="358"/>
      <c r="V570" s="358"/>
      <c r="W570" s="358"/>
      <c r="X570" s="358"/>
      <c r="Y570" s="358"/>
      <c r="Z570" s="358"/>
    </row>
    <row r="571" spans="1:26" ht="15.75" customHeight="1" x14ac:dyDescent="0.25">
      <c r="A571" s="358"/>
      <c r="B571" s="358"/>
      <c r="C571" s="358"/>
      <c r="D571" s="358"/>
      <c r="E571" s="358"/>
      <c r="F571" s="358"/>
      <c r="G571" s="358"/>
      <c r="H571" s="358"/>
      <c r="I571" s="358"/>
      <c r="J571" s="358"/>
      <c r="K571" s="358"/>
      <c r="L571" s="358"/>
      <c r="M571" s="358"/>
      <c r="N571" s="358"/>
      <c r="O571" s="358"/>
      <c r="P571" s="358"/>
      <c r="Q571" s="358"/>
      <c r="R571" s="358"/>
      <c r="S571" s="358"/>
      <c r="T571" s="358"/>
      <c r="U571" s="358"/>
      <c r="V571" s="358"/>
      <c r="W571" s="358"/>
      <c r="X571" s="358"/>
      <c r="Y571" s="358"/>
      <c r="Z571" s="358"/>
    </row>
    <row r="572" spans="1:26" ht="15.75" customHeight="1" x14ac:dyDescent="0.25">
      <c r="A572" s="358"/>
      <c r="B572" s="358"/>
      <c r="C572" s="358"/>
      <c r="D572" s="358"/>
      <c r="E572" s="358"/>
      <c r="F572" s="358"/>
      <c r="G572" s="358"/>
      <c r="H572" s="358"/>
      <c r="I572" s="358"/>
      <c r="J572" s="358"/>
      <c r="K572" s="358"/>
      <c r="L572" s="358"/>
      <c r="M572" s="358"/>
      <c r="N572" s="358"/>
      <c r="O572" s="358"/>
      <c r="P572" s="358"/>
      <c r="Q572" s="358"/>
      <c r="R572" s="358"/>
      <c r="S572" s="358"/>
      <c r="T572" s="358"/>
      <c r="U572" s="358"/>
      <c r="V572" s="358"/>
      <c r="W572" s="358"/>
      <c r="X572" s="358"/>
      <c r="Y572" s="358"/>
      <c r="Z572" s="358"/>
    </row>
    <row r="573" spans="1:26" ht="15.75" customHeight="1" x14ac:dyDescent="0.25">
      <c r="A573" s="358"/>
      <c r="B573" s="358"/>
      <c r="C573" s="358"/>
      <c r="D573" s="358"/>
      <c r="E573" s="358"/>
      <c r="F573" s="358"/>
      <c r="G573" s="358"/>
      <c r="H573" s="358"/>
      <c r="I573" s="358"/>
      <c r="J573" s="358"/>
      <c r="K573" s="358"/>
      <c r="L573" s="358"/>
      <c r="M573" s="358"/>
      <c r="N573" s="358"/>
      <c r="O573" s="358"/>
      <c r="P573" s="358"/>
      <c r="Q573" s="358"/>
      <c r="R573" s="358"/>
      <c r="S573" s="358"/>
      <c r="T573" s="358"/>
      <c r="U573" s="358"/>
      <c r="V573" s="358"/>
      <c r="W573" s="358"/>
      <c r="X573" s="358"/>
      <c r="Y573" s="358"/>
      <c r="Z573" s="358"/>
    </row>
    <row r="574" spans="1:26" ht="15.75" customHeight="1" x14ac:dyDescent="0.25">
      <c r="A574" s="358"/>
      <c r="B574" s="358"/>
      <c r="C574" s="358"/>
      <c r="D574" s="358"/>
      <c r="E574" s="358"/>
      <c r="F574" s="358"/>
      <c r="G574" s="358"/>
      <c r="H574" s="358"/>
      <c r="I574" s="358"/>
      <c r="J574" s="358"/>
      <c r="K574" s="358"/>
      <c r="L574" s="358"/>
      <c r="M574" s="358"/>
      <c r="N574" s="358"/>
      <c r="O574" s="358"/>
      <c r="P574" s="358"/>
      <c r="Q574" s="358"/>
      <c r="R574" s="358"/>
      <c r="S574" s="358"/>
      <c r="T574" s="358"/>
      <c r="U574" s="358"/>
      <c r="V574" s="358"/>
      <c r="W574" s="358"/>
      <c r="X574" s="358"/>
      <c r="Y574" s="358"/>
      <c r="Z574" s="358"/>
    </row>
    <row r="575" spans="1:26" ht="15.75" customHeight="1" x14ac:dyDescent="0.25">
      <c r="A575" s="358"/>
      <c r="B575" s="358"/>
      <c r="C575" s="358"/>
      <c r="D575" s="358"/>
      <c r="E575" s="358"/>
      <c r="F575" s="358"/>
      <c r="G575" s="358"/>
      <c r="H575" s="358"/>
      <c r="I575" s="358"/>
      <c r="J575" s="358"/>
      <c r="K575" s="358"/>
      <c r="L575" s="358"/>
      <c r="M575" s="358"/>
      <c r="N575" s="358"/>
      <c r="O575" s="358"/>
      <c r="P575" s="358"/>
      <c r="Q575" s="358"/>
      <c r="R575" s="358"/>
      <c r="S575" s="358"/>
      <c r="T575" s="358"/>
      <c r="U575" s="358"/>
      <c r="V575" s="358"/>
      <c r="W575" s="358"/>
      <c r="X575" s="358"/>
      <c r="Y575" s="358"/>
      <c r="Z575" s="358"/>
    </row>
    <row r="576" spans="1:26" ht="15.75" customHeight="1" x14ac:dyDescent="0.25">
      <c r="A576" s="358"/>
      <c r="B576" s="358"/>
      <c r="C576" s="358"/>
      <c r="D576" s="358"/>
      <c r="E576" s="358"/>
      <c r="F576" s="358"/>
      <c r="G576" s="358"/>
      <c r="H576" s="358"/>
      <c r="I576" s="358"/>
      <c r="J576" s="358"/>
      <c r="K576" s="358"/>
      <c r="L576" s="358"/>
      <c r="M576" s="358"/>
      <c r="N576" s="358"/>
      <c r="O576" s="358"/>
      <c r="P576" s="358"/>
      <c r="Q576" s="358"/>
      <c r="R576" s="358"/>
      <c r="S576" s="358"/>
      <c r="T576" s="358"/>
      <c r="U576" s="358"/>
      <c r="V576" s="358"/>
      <c r="W576" s="358"/>
      <c r="X576" s="358"/>
      <c r="Y576" s="358"/>
      <c r="Z576" s="358"/>
    </row>
    <row r="577" spans="1:26" ht="15.75" customHeight="1" x14ac:dyDescent="0.25">
      <c r="A577" s="358"/>
      <c r="B577" s="358"/>
      <c r="C577" s="358"/>
      <c r="D577" s="358"/>
      <c r="E577" s="358"/>
      <c r="F577" s="358"/>
      <c r="G577" s="358"/>
      <c r="H577" s="358"/>
      <c r="I577" s="358"/>
      <c r="J577" s="358"/>
      <c r="K577" s="358"/>
      <c r="L577" s="358"/>
      <c r="M577" s="358"/>
      <c r="N577" s="358"/>
      <c r="O577" s="358"/>
      <c r="P577" s="358"/>
      <c r="Q577" s="358"/>
      <c r="R577" s="358"/>
      <c r="S577" s="358"/>
      <c r="T577" s="358"/>
      <c r="U577" s="358"/>
      <c r="V577" s="358"/>
      <c r="W577" s="358"/>
      <c r="X577" s="358"/>
      <c r="Y577" s="358"/>
      <c r="Z577" s="358"/>
    </row>
    <row r="578" spans="1:26" ht="15.75" customHeight="1" x14ac:dyDescent="0.25">
      <c r="A578" s="358"/>
      <c r="B578" s="358"/>
      <c r="C578" s="358"/>
      <c r="D578" s="358"/>
      <c r="E578" s="358"/>
      <c r="F578" s="358"/>
      <c r="G578" s="358"/>
      <c r="H578" s="358"/>
      <c r="I578" s="358"/>
      <c r="J578" s="358"/>
      <c r="K578" s="358"/>
      <c r="L578" s="358"/>
      <c r="M578" s="358"/>
      <c r="N578" s="358"/>
      <c r="O578" s="358"/>
      <c r="P578" s="358"/>
      <c r="Q578" s="358"/>
      <c r="R578" s="358"/>
      <c r="S578" s="358"/>
      <c r="T578" s="358"/>
      <c r="U578" s="358"/>
      <c r="V578" s="358"/>
      <c r="W578" s="358"/>
      <c r="X578" s="358"/>
      <c r="Y578" s="358"/>
      <c r="Z578" s="358"/>
    </row>
    <row r="579" spans="1:26" ht="15.75" customHeight="1" x14ac:dyDescent="0.25">
      <c r="A579" s="358"/>
      <c r="B579" s="358"/>
      <c r="C579" s="358"/>
      <c r="D579" s="358"/>
      <c r="E579" s="358"/>
      <c r="F579" s="358"/>
      <c r="G579" s="358"/>
      <c r="H579" s="358"/>
      <c r="I579" s="358"/>
      <c r="J579" s="358"/>
      <c r="K579" s="358"/>
      <c r="L579" s="358"/>
      <c r="M579" s="358"/>
      <c r="N579" s="358"/>
      <c r="O579" s="358"/>
      <c r="P579" s="358"/>
      <c r="Q579" s="358"/>
      <c r="R579" s="358"/>
      <c r="S579" s="358"/>
      <c r="T579" s="358"/>
      <c r="U579" s="358"/>
      <c r="V579" s="358"/>
      <c r="W579" s="358"/>
      <c r="X579" s="358"/>
      <c r="Y579" s="358"/>
      <c r="Z579" s="358"/>
    </row>
    <row r="580" spans="1:26" ht="15.75" customHeight="1" x14ac:dyDescent="0.25">
      <c r="A580" s="358"/>
      <c r="B580" s="358"/>
      <c r="C580" s="358"/>
      <c r="D580" s="358"/>
      <c r="E580" s="358"/>
      <c r="F580" s="358"/>
      <c r="G580" s="358"/>
      <c r="H580" s="358"/>
      <c r="I580" s="358"/>
      <c r="J580" s="358"/>
      <c r="K580" s="358"/>
      <c r="L580" s="358"/>
      <c r="M580" s="358"/>
      <c r="N580" s="358"/>
      <c r="O580" s="358"/>
      <c r="P580" s="358"/>
      <c r="Q580" s="358"/>
      <c r="R580" s="358"/>
      <c r="S580" s="358"/>
      <c r="T580" s="358"/>
      <c r="U580" s="358"/>
      <c r="V580" s="358"/>
      <c r="W580" s="358"/>
      <c r="X580" s="358"/>
      <c r="Y580" s="358"/>
      <c r="Z580" s="358"/>
    </row>
    <row r="581" spans="1:26" ht="15.75" customHeight="1" x14ac:dyDescent="0.25">
      <c r="A581" s="358"/>
      <c r="B581" s="358"/>
      <c r="C581" s="358"/>
      <c r="D581" s="358"/>
      <c r="E581" s="358"/>
      <c r="F581" s="358"/>
      <c r="G581" s="358"/>
      <c r="H581" s="358"/>
      <c r="I581" s="358"/>
      <c r="J581" s="358"/>
      <c r="K581" s="358"/>
      <c r="L581" s="358"/>
      <c r="M581" s="358"/>
      <c r="N581" s="358"/>
      <c r="O581" s="358"/>
      <c r="P581" s="358"/>
      <c r="Q581" s="358"/>
      <c r="R581" s="358"/>
      <c r="S581" s="358"/>
      <c r="T581" s="358"/>
      <c r="U581" s="358"/>
      <c r="V581" s="358"/>
      <c r="W581" s="358"/>
      <c r="X581" s="358"/>
      <c r="Y581" s="358"/>
      <c r="Z581" s="358"/>
    </row>
    <row r="582" spans="1:26" ht="15.75" customHeight="1" x14ac:dyDescent="0.25">
      <c r="A582" s="358"/>
      <c r="B582" s="358"/>
      <c r="C582" s="358"/>
      <c r="D582" s="358"/>
      <c r="E582" s="358"/>
      <c r="F582" s="358"/>
      <c r="G582" s="358"/>
      <c r="H582" s="358"/>
      <c r="I582" s="358"/>
      <c r="J582" s="358"/>
      <c r="K582" s="358"/>
      <c r="L582" s="358"/>
      <c r="M582" s="358"/>
      <c r="N582" s="358"/>
      <c r="O582" s="358"/>
      <c r="P582" s="358"/>
      <c r="Q582" s="358"/>
      <c r="R582" s="358"/>
      <c r="S582" s="358"/>
      <c r="T582" s="358"/>
      <c r="U582" s="358"/>
      <c r="V582" s="358"/>
      <c r="W582" s="358"/>
      <c r="X582" s="358"/>
      <c r="Y582" s="358"/>
      <c r="Z582" s="358"/>
    </row>
    <row r="583" spans="1:26" ht="15.75" customHeight="1" x14ac:dyDescent="0.25">
      <c r="A583" s="358"/>
      <c r="B583" s="358"/>
      <c r="C583" s="358"/>
      <c r="D583" s="358"/>
      <c r="E583" s="358"/>
      <c r="F583" s="358"/>
      <c r="G583" s="358"/>
      <c r="H583" s="358"/>
      <c r="I583" s="358"/>
      <c r="J583" s="358"/>
      <c r="K583" s="358"/>
      <c r="L583" s="358"/>
      <c r="M583" s="358"/>
      <c r="N583" s="358"/>
      <c r="O583" s="358"/>
      <c r="P583" s="358"/>
      <c r="Q583" s="358"/>
      <c r="R583" s="358"/>
      <c r="S583" s="358"/>
      <c r="T583" s="358"/>
      <c r="U583" s="358"/>
      <c r="V583" s="358"/>
      <c r="W583" s="358"/>
      <c r="X583" s="358"/>
      <c r="Y583" s="358"/>
      <c r="Z583" s="358"/>
    </row>
    <row r="584" spans="1:26" ht="15.75" customHeight="1" x14ac:dyDescent="0.25">
      <c r="A584" s="358"/>
      <c r="B584" s="358"/>
      <c r="C584" s="358"/>
      <c r="D584" s="358"/>
      <c r="E584" s="358"/>
      <c r="F584" s="358"/>
      <c r="G584" s="358"/>
      <c r="H584" s="358"/>
      <c r="I584" s="358"/>
      <c r="J584" s="358"/>
      <c r="K584" s="358"/>
      <c r="L584" s="358"/>
      <c r="M584" s="358"/>
      <c r="N584" s="358"/>
      <c r="O584" s="358"/>
      <c r="P584" s="358"/>
      <c r="Q584" s="358"/>
      <c r="R584" s="358"/>
      <c r="S584" s="358"/>
      <c r="T584" s="358"/>
      <c r="U584" s="358"/>
      <c r="V584" s="358"/>
      <c r="W584" s="358"/>
      <c r="X584" s="358"/>
      <c r="Y584" s="358"/>
      <c r="Z584" s="358"/>
    </row>
    <row r="585" spans="1:26" ht="15.75" customHeight="1" x14ac:dyDescent="0.25">
      <c r="A585" s="358"/>
      <c r="B585" s="358"/>
      <c r="C585" s="358"/>
      <c r="D585" s="358"/>
      <c r="E585" s="358"/>
      <c r="F585" s="358"/>
      <c r="G585" s="358"/>
      <c r="H585" s="358"/>
      <c r="I585" s="358"/>
      <c r="J585" s="358"/>
      <c r="K585" s="358"/>
      <c r="L585" s="358"/>
      <c r="M585" s="358"/>
      <c r="N585" s="358"/>
      <c r="O585" s="358"/>
      <c r="P585" s="358"/>
      <c r="Q585" s="358"/>
      <c r="R585" s="358"/>
      <c r="S585" s="358"/>
      <c r="T585" s="358"/>
      <c r="U585" s="358"/>
      <c r="V585" s="358"/>
      <c r="W585" s="358"/>
      <c r="X585" s="358"/>
      <c r="Y585" s="358"/>
      <c r="Z585" s="358"/>
    </row>
    <row r="586" spans="1:26" ht="15.75" customHeight="1" x14ac:dyDescent="0.25">
      <c r="A586" s="358"/>
      <c r="B586" s="358"/>
      <c r="C586" s="358"/>
      <c r="D586" s="358"/>
      <c r="E586" s="358"/>
      <c r="F586" s="358"/>
      <c r="G586" s="358"/>
      <c r="H586" s="358"/>
      <c r="I586" s="358"/>
      <c r="J586" s="358"/>
      <c r="K586" s="358"/>
      <c r="L586" s="358"/>
      <c r="M586" s="358"/>
      <c r="N586" s="358"/>
      <c r="O586" s="358"/>
      <c r="P586" s="358"/>
      <c r="Q586" s="358"/>
      <c r="R586" s="358"/>
      <c r="S586" s="358"/>
      <c r="T586" s="358"/>
      <c r="U586" s="358"/>
      <c r="V586" s="358"/>
      <c r="W586" s="358"/>
      <c r="X586" s="358"/>
      <c r="Y586" s="358"/>
      <c r="Z586" s="358"/>
    </row>
    <row r="587" spans="1:26" ht="15.75" customHeight="1" x14ac:dyDescent="0.25">
      <c r="A587" s="358"/>
      <c r="B587" s="358"/>
      <c r="C587" s="358"/>
      <c r="D587" s="358"/>
      <c r="E587" s="358"/>
      <c r="F587" s="358"/>
      <c r="G587" s="358"/>
      <c r="H587" s="358"/>
      <c r="I587" s="358"/>
      <c r="J587" s="358"/>
      <c r="K587" s="358"/>
      <c r="L587" s="358"/>
      <c r="M587" s="358"/>
      <c r="N587" s="358"/>
      <c r="O587" s="358"/>
      <c r="P587" s="358"/>
      <c r="Q587" s="358"/>
      <c r="R587" s="358"/>
      <c r="S587" s="358"/>
      <c r="T587" s="358"/>
      <c r="U587" s="358"/>
      <c r="V587" s="358"/>
      <c r="W587" s="358"/>
      <c r="X587" s="358"/>
      <c r="Y587" s="358"/>
      <c r="Z587" s="358"/>
    </row>
    <row r="588" spans="1:26" ht="15.75" customHeight="1" x14ac:dyDescent="0.25">
      <c r="A588" s="358"/>
      <c r="B588" s="358"/>
      <c r="C588" s="358"/>
      <c r="D588" s="358"/>
      <c r="E588" s="358"/>
      <c r="F588" s="358"/>
      <c r="G588" s="358"/>
      <c r="H588" s="358"/>
      <c r="I588" s="358"/>
      <c r="J588" s="358"/>
      <c r="K588" s="358"/>
      <c r="L588" s="358"/>
      <c r="M588" s="358"/>
      <c r="N588" s="358"/>
      <c r="O588" s="358"/>
      <c r="P588" s="358"/>
      <c r="Q588" s="358"/>
      <c r="R588" s="358"/>
      <c r="S588" s="358"/>
      <c r="T588" s="358"/>
      <c r="U588" s="358"/>
      <c r="V588" s="358"/>
      <c r="W588" s="358"/>
      <c r="X588" s="358"/>
      <c r="Y588" s="358"/>
      <c r="Z588" s="358"/>
    </row>
    <row r="589" spans="1:26" ht="15.75" customHeight="1" x14ac:dyDescent="0.25">
      <c r="A589" s="358"/>
      <c r="B589" s="358"/>
      <c r="C589" s="358"/>
      <c r="D589" s="358"/>
      <c r="E589" s="358"/>
      <c r="F589" s="358"/>
      <c r="G589" s="358"/>
      <c r="H589" s="358"/>
      <c r="I589" s="358"/>
      <c r="J589" s="358"/>
      <c r="K589" s="358"/>
      <c r="L589" s="358"/>
      <c r="M589" s="358"/>
      <c r="N589" s="358"/>
      <c r="O589" s="358"/>
      <c r="P589" s="358"/>
      <c r="Q589" s="358"/>
      <c r="R589" s="358"/>
      <c r="S589" s="358"/>
      <c r="T589" s="358"/>
      <c r="U589" s="358"/>
      <c r="V589" s="358"/>
      <c r="W589" s="358"/>
      <c r="X589" s="358"/>
      <c r="Y589" s="358"/>
      <c r="Z589" s="358"/>
    </row>
    <row r="590" spans="1:26" ht="15.75" customHeight="1" x14ac:dyDescent="0.25">
      <c r="A590" s="358"/>
      <c r="B590" s="358"/>
      <c r="C590" s="358"/>
      <c r="D590" s="358"/>
      <c r="E590" s="358"/>
      <c r="F590" s="358"/>
      <c r="G590" s="358"/>
      <c r="H590" s="358"/>
      <c r="I590" s="358"/>
      <c r="J590" s="358"/>
      <c r="K590" s="358"/>
      <c r="L590" s="358"/>
      <c r="M590" s="358"/>
      <c r="N590" s="358"/>
      <c r="O590" s="358"/>
      <c r="P590" s="358"/>
      <c r="Q590" s="358"/>
      <c r="R590" s="358"/>
      <c r="S590" s="358"/>
      <c r="T590" s="358"/>
      <c r="U590" s="358"/>
      <c r="V590" s="358"/>
      <c r="W590" s="358"/>
      <c r="X590" s="358"/>
      <c r="Y590" s="358"/>
      <c r="Z590" s="358"/>
    </row>
    <row r="591" spans="1:26" ht="15.75" customHeight="1" x14ac:dyDescent="0.25">
      <c r="A591" s="358"/>
      <c r="B591" s="358"/>
      <c r="C591" s="358"/>
      <c r="D591" s="358"/>
      <c r="E591" s="358"/>
      <c r="F591" s="358"/>
      <c r="G591" s="358"/>
      <c r="H591" s="358"/>
      <c r="I591" s="358"/>
      <c r="J591" s="358"/>
      <c r="K591" s="358"/>
      <c r="L591" s="358"/>
      <c r="M591" s="358"/>
      <c r="N591" s="358"/>
      <c r="O591" s="358"/>
      <c r="P591" s="358"/>
      <c r="Q591" s="358"/>
      <c r="R591" s="358"/>
      <c r="S591" s="358"/>
      <c r="T591" s="358"/>
      <c r="U591" s="358"/>
      <c r="V591" s="358"/>
      <c r="W591" s="358"/>
      <c r="X591" s="358"/>
      <c r="Y591" s="358"/>
      <c r="Z591" s="358"/>
    </row>
    <row r="592" spans="1:26" ht="15.75" customHeight="1" x14ac:dyDescent="0.25">
      <c r="A592" s="358"/>
      <c r="B592" s="358"/>
      <c r="C592" s="358"/>
      <c r="D592" s="358"/>
      <c r="E592" s="358"/>
      <c r="F592" s="358"/>
      <c r="G592" s="358"/>
      <c r="H592" s="358"/>
      <c r="I592" s="358"/>
      <c r="J592" s="358"/>
      <c r="K592" s="358"/>
      <c r="L592" s="358"/>
      <c r="M592" s="358"/>
      <c r="N592" s="358"/>
      <c r="O592" s="358"/>
      <c r="P592" s="358"/>
      <c r="Q592" s="358"/>
      <c r="R592" s="358"/>
      <c r="S592" s="358"/>
      <c r="T592" s="358"/>
      <c r="U592" s="358"/>
      <c r="V592" s="358"/>
      <c r="W592" s="358"/>
      <c r="X592" s="358"/>
      <c r="Y592" s="358"/>
      <c r="Z592" s="358"/>
    </row>
    <row r="593" spans="1:26" ht="15.75" customHeight="1" x14ac:dyDescent="0.25">
      <c r="A593" s="358"/>
      <c r="B593" s="358"/>
      <c r="C593" s="358"/>
      <c r="D593" s="358"/>
      <c r="E593" s="358"/>
      <c r="F593" s="358"/>
      <c r="G593" s="358"/>
      <c r="H593" s="358"/>
      <c r="I593" s="358"/>
      <c r="J593" s="358"/>
      <c r="K593" s="358"/>
      <c r="L593" s="358"/>
      <c r="M593" s="358"/>
      <c r="N593" s="358"/>
      <c r="O593" s="358"/>
      <c r="P593" s="358"/>
      <c r="Q593" s="358"/>
      <c r="R593" s="358"/>
      <c r="S593" s="358"/>
      <c r="T593" s="358"/>
      <c r="U593" s="358"/>
      <c r="V593" s="358"/>
      <c r="W593" s="358"/>
      <c r="X593" s="358"/>
      <c r="Y593" s="358"/>
      <c r="Z593" s="358"/>
    </row>
    <row r="594" spans="1:26" ht="15.75" customHeight="1" x14ac:dyDescent="0.25">
      <c r="A594" s="358"/>
      <c r="B594" s="358"/>
      <c r="C594" s="358"/>
      <c r="D594" s="358"/>
      <c r="E594" s="358"/>
      <c r="F594" s="358"/>
      <c r="G594" s="358"/>
      <c r="H594" s="358"/>
      <c r="I594" s="358"/>
      <c r="J594" s="358"/>
      <c r="K594" s="358"/>
      <c r="L594" s="358"/>
      <c r="M594" s="358"/>
      <c r="N594" s="358"/>
      <c r="O594" s="358"/>
      <c r="P594" s="358"/>
      <c r="Q594" s="358"/>
      <c r="R594" s="358"/>
      <c r="S594" s="358"/>
      <c r="T594" s="358"/>
      <c r="U594" s="358"/>
      <c r="V594" s="358"/>
      <c r="W594" s="358"/>
      <c r="X594" s="358"/>
      <c r="Y594" s="358"/>
      <c r="Z594" s="358"/>
    </row>
    <row r="595" spans="1:26" ht="15.75" customHeight="1" x14ac:dyDescent="0.25">
      <c r="A595" s="358"/>
      <c r="B595" s="358"/>
      <c r="C595" s="358"/>
      <c r="D595" s="358"/>
      <c r="E595" s="358"/>
      <c r="F595" s="358"/>
      <c r="G595" s="358"/>
      <c r="H595" s="358"/>
      <c r="I595" s="358"/>
      <c r="J595" s="358"/>
      <c r="K595" s="358"/>
      <c r="L595" s="358"/>
      <c r="M595" s="358"/>
      <c r="N595" s="358"/>
      <c r="O595" s="358"/>
      <c r="P595" s="358"/>
      <c r="Q595" s="358"/>
      <c r="R595" s="358"/>
      <c r="S595" s="358"/>
      <c r="T595" s="358"/>
      <c r="U595" s="358"/>
      <c r="V595" s="358"/>
      <c r="W595" s="358"/>
      <c r="X595" s="358"/>
      <c r="Y595" s="358"/>
      <c r="Z595" s="358"/>
    </row>
    <row r="596" spans="1:26" ht="15.75" customHeight="1" x14ac:dyDescent="0.25">
      <c r="A596" s="358"/>
      <c r="B596" s="358"/>
      <c r="C596" s="358"/>
      <c r="D596" s="358"/>
      <c r="E596" s="358"/>
      <c r="F596" s="358"/>
      <c r="G596" s="358"/>
      <c r="H596" s="358"/>
      <c r="I596" s="358"/>
      <c r="J596" s="358"/>
      <c r="K596" s="358"/>
      <c r="L596" s="358"/>
      <c r="M596" s="358"/>
      <c r="N596" s="358"/>
      <c r="O596" s="358"/>
      <c r="P596" s="358"/>
      <c r="Q596" s="358"/>
      <c r="R596" s="358"/>
      <c r="S596" s="358"/>
      <c r="T596" s="358"/>
      <c r="U596" s="358"/>
      <c r="V596" s="358"/>
      <c r="W596" s="358"/>
      <c r="X596" s="358"/>
      <c r="Y596" s="358"/>
      <c r="Z596" s="358"/>
    </row>
    <row r="597" spans="1:26" ht="15.75" customHeight="1" x14ac:dyDescent="0.25">
      <c r="A597" s="358"/>
      <c r="B597" s="358"/>
      <c r="C597" s="358"/>
      <c r="D597" s="358"/>
      <c r="E597" s="358"/>
      <c r="F597" s="358"/>
      <c r="G597" s="358"/>
      <c r="H597" s="358"/>
      <c r="I597" s="358"/>
      <c r="J597" s="358"/>
      <c r="K597" s="358"/>
      <c r="L597" s="358"/>
      <c r="M597" s="358"/>
      <c r="N597" s="358"/>
      <c r="O597" s="358"/>
      <c r="P597" s="358"/>
      <c r="Q597" s="358"/>
      <c r="R597" s="358"/>
      <c r="S597" s="358"/>
      <c r="T597" s="358"/>
      <c r="U597" s="358"/>
      <c r="V597" s="358"/>
      <c r="W597" s="358"/>
      <c r="X597" s="358"/>
      <c r="Y597" s="358"/>
      <c r="Z597" s="358"/>
    </row>
    <row r="598" spans="1:26" ht="15.75" customHeight="1" x14ac:dyDescent="0.25">
      <c r="A598" s="358"/>
      <c r="B598" s="358"/>
      <c r="C598" s="358"/>
      <c r="D598" s="358"/>
      <c r="E598" s="358"/>
      <c r="F598" s="358"/>
      <c r="G598" s="358"/>
      <c r="H598" s="358"/>
      <c r="I598" s="358"/>
      <c r="J598" s="358"/>
      <c r="K598" s="358"/>
      <c r="L598" s="358"/>
      <c r="M598" s="358"/>
      <c r="N598" s="358"/>
      <c r="O598" s="358"/>
      <c r="P598" s="358"/>
      <c r="Q598" s="358"/>
      <c r="R598" s="358"/>
      <c r="S598" s="358"/>
      <c r="T598" s="358"/>
      <c r="U598" s="358"/>
      <c r="V598" s="358"/>
      <c r="W598" s="358"/>
      <c r="X598" s="358"/>
      <c r="Y598" s="358"/>
      <c r="Z598" s="358"/>
    </row>
    <row r="599" spans="1:26" ht="15.75" customHeight="1" x14ac:dyDescent="0.25">
      <c r="A599" s="358"/>
      <c r="B599" s="358"/>
      <c r="C599" s="358"/>
      <c r="D599" s="358"/>
      <c r="E599" s="358"/>
      <c r="F599" s="358"/>
      <c r="G599" s="358"/>
      <c r="H599" s="358"/>
      <c r="I599" s="358"/>
      <c r="J599" s="358"/>
      <c r="K599" s="358"/>
      <c r="L599" s="358"/>
      <c r="M599" s="358"/>
      <c r="N599" s="358"/>
      <c r="O599" s="358"/>
      <c r="P599" s="358"/>
      <c r="Q599" s="358"/>
      <c r="R599" s="358"/>
      <c r="S599" s="358"/>
      <c r="T599" s="358"/>
      <c r="U599" s="358"/>
      <c r="V599" s="358"/>
      <c r="W599" s="358"/>
      <c r="X599" s="358"/>
      <c r="Y599" s="358"/>
      <c r="Z599" s="358"/>
    </row>
    <row r="600" spans="1:26" ht="15.75" customHeight="1" x14ac:dyDescent="0.25">
      <c r="A600" s="358"/>
      <c r="B600" s="358"/>
      <c r="C600" s="358"/>
      <c r="D600" s="358"/>
      <c r="E600" s="358"/>
      <c r="F600" s="358"/>
      <c r="G600" s="358"/>
      <c r="H600" s="358"/>
      <c r="I600" s="358"/>
      <c r="J600" s="358"/>
      <c r="K600" s="358"/>
      <c r="L600" s="358"/>
      <c r="M600" s="358"/>
      <c r="N600" s="358"/>
      <c r="O600" s="358"/>
      <c r="P600" s="358"/>
      <c r="Q600" s="358"/>
      <c r="R600" s="358"/>
      <c r="S600" s="358"/>
      <c r="T600" s="358"/>
      <c r="U600" s="358"/>
      <c r="V600" s="358"/>
      <c r="W600" s="358"/>
      <c r="X600" s="358"/>
      <c r="Y600" s="358"/>
      <c r="Z600" s="358"/>
    </row>
    <row r="601" spans="1:26" ht="15.75" customHeight="1" x14ac:dyDescent="0.25">
      <c r="A601" s="358"/>
      <c r="B601" s="358"/>
      <c r="C601" s="358"/>
      <c r="D601" s="358"/>
      <c r="E601" s="358"/>
      <c r="F601" s="358"/>
      <c r="G601" s="358"/>
      <c r="H601" s="358"/>
      <c r="I601" s="358"/>
      <c r="J601" s="358"/>
      <c r="K601" s="358"/>
      <c r="L601" s="358"/>
      <c r="M601" s="358"/>
      <c r="N601" s="358"/>
      <c r="O601" s="358"/>
      <c r="P601" s="358"/>
      <c r="Q601" s="358"/>
      <c r="R601" s="358"/>
      <c r="S601" s="358"/>
      <c r="T601" s="358"/>
      <c r="U601" s="358"/>
      <c r="V601" s="358"/>
      <c r="W601" s="358"/>
      <c r="X601" s="358"/>
      <c r="Y601" s="358"/>
      <c r="Z601" s="358"/>
    </row>
    <row r="602" spans="1:26" ht="15.75" customHeight="1" x14ac:dyDescent="0.25">
      <c r="A602" s="358"/>
      <c r="B602" s="358"/>
      <c r="C602" s="358"/>
      <c r="D602" s="358"/>
      <c r="E602" s="358"/>
      <c r="F602" s="358"/>
      <c r="G602" s="358"/>
      <c r="H602" s="358"/>
      <c r="I602" s="358"/>
      <c r="J602" s="358"/>
      <c r="K602" s="358"/>
      <c r="L602" s="358"/>
      <c r="M602" s="358"/>
      <c r="N602" s="358"/>
      <c r="O602" s="358"/>
      <c r="P602" s="358"/>
      <c r="Q602" s="358"/>
      <c r="R602" s="358"/>
      <c r="S602" s="358"/>
      <c r="T602" s="358"/>
      <c r="U602" s="358"/>
      <c r="V602" s="358"/>
      <c r="W602" s="358"/>
      <c r="X602" s="358"/>
      <c r="Y602" s="358"/>
      <c r="Z602" s="358"/>
    </row>
    <row r="603" spans="1:26" ht="15.75" customHeight="1" x14ac:dyDescent="0.25">
      <c r="A603" s="358"/>
      <c r="B603" s="358"/>
      <c r="C603" s="358"/>
      <c r="D603" s="358"/>
      <c r="E603" s="358"/>
      <c r="F603" s="358"/>
      <c r="G603" s="358"/>
      <c r="H603" s="358"/>
      <c r="I603" s="358"/>
      <c r="J603" s="358"/>
      <c r="K603" s="358"/>
      <c r="L603" s="358"/>
      <c r="M603" s="358"/>
      <c r="N603" s="358"/>
      <c r="O603" s="358"/>
      <c r="P603" s="358"/>
      <c r="Q603" s="358"/>
      <c r="R603" s="358"/>
      <c r="S603" s="358"/>
      <c r="T603" s="358"/>
      <c r="U603" s="358"/>
      <c r="V603" s="358"/>
      <c r="W603" s="358"/>
      <c r="X603" s="358"/>
      <c r="Y603" s="358"/>
      <c r="Z603" s="358"/>
    </row>
    <row r="604" spans="1:26" ht="15.75" customHeight="1" x14ac:dyDescent="0.25">
      <c r="A604" s="358"/>
      <c r="B604" s="358"/>
      <c r="C604" s="358"/>
      <c r="D604" s="358"/>
      <c r="E604" s="358"/>
      <c r="F604" s="358"/>
      <c r="G604" s="358"/>
      <c r="H604" s="358"/>
      <c r="I604" s="358"/>
      <c r="J604" s="358"/>
      <c r="K604" s="358"/>
      <c r="L604" s="358"/>
      <c r="M604" s="358"/>
      <c r="N604" s="358"/>
      <c r="O604" s="358"/>
      <c r="P604" s="358"/>
      <c r="Q604" s="358"/>
      <c r="R604" s="358"/>
      <c r="S604" s="358"/>
      <c r="T604" s="358"/>
      <c r="U604" s="358"/>
      <c r="V604" s="358"/>
      <c r="W604" s="358"/>
      <c r="X604" s="358"/>
      <c r="Y604" s="358"/>
      <c r="Z604" s="358"/>
    </row>
    <row r="605" spans="1:26" ht="15.75" customHeight="1" x14ac:dyDescent="0.25">
      <c r="A605" s="358"/>
      <c r="B605" s="358"/>
      <c r="C605" s="358"/>
      <c r="D605" s="358"/>
      <c r="E605" s="358"/>
      <c r="F605" s="358"/>
      <c r="G605" s="358"/>
      <c r="H605" s="358"/>
      <c r="I605" s="358"/>
      <c r="J605" s="358"/>
      <c r="K605" s="358"/>
      <c r="L605" s="358"/>
      <c r="M605" s="358"/>
      <c r="N605" s="358"/>
      <c r="O605" s="358"/>
      <c r="P605" s="358"/>
      <c r="Q605" s="358"/>
      <c r="R605" s="358"/>
      <c r="S605" s="358"/>
      <c r="T605" s="358"/>
      <c r="U605" s="358"/>
      <c r="V605" s="358"/>
      <c r="W605" s="358"/>
      <c r="X605" s="358"/>
      <c r="Y605" s="358"/>
      <c r="Z605" s="358"/>
    </row>
    <row r="606" spans="1:26" ht="15.75" customHeight="1" x14ac:dyDescent="0.25">
      <c r="A606" s="358"/>
      <c r="B606" s="358"/>
      <c r="C606" s="358"/>
      <c r="D606" s="358"/>
      <c r="E606" s="358"/>
      <c r="F606" s="358"/>
      <c r="G606" s="358"/>
      <c r="H606" s="358"/>
      <c r="I606" s="358"/>
      <c r="J606" s="358"/>
      <c r="K606" s="358"/>
      <c r="L606" s="358"/>
      <c r="M606" s="358"/>
      <c r="N606" s="358"/>
      <c r="O606" s="358"/>
      <c r="P606" s="358"/>
      <c r="Q606" s="358"/>
      <c r="R606" s="358"/>
      <c r="S606" s="358"/>
      <c r="T606" s="358"/>
      <c r="U606" s="358"/>
      <c r="V606" s="358"/>
      <c r="W606" s="358"/>
      <c r="X606" s="358"/>
      <c r="Y606" s="358"/>
      <c r="Z606" s="358"/>
    </row>
    <row r="607" spans="1:26" ht="15.75" customHeight="1" x14ac:dyDescent="0.25">
      <c r="A607" s="358"/>
      <c r="B607" s="358"/>
      <c r="C607" s="358"/>
      <c r="D607" s="358"/>
      <c r="E607" s="358"/>
      <c r="F607" s="358"/>
      <c r="G607" s="358"/>
      <c r="H607" s="358"/>
      <c r="I607" s="358"/>
      <c r="J607" s="358"/>
      <c r="K607" s="358"/>
      <c r="L607" s="358"/>
      <c r="M607" s="358"/>
      <c r="N607" s="358"/>
      <c r="O607" s="358"/>
      <c r="P607" s="358"/>
      <c r="Q607" s="358"/>
      <c r="R607" s="358"/>
      <c r="S607" s="358"/>
      <c r="T607" s="358"/>
      <c r="U607" s="358"/>
      <c r="V607" s="358"/>
      <c r="W607" s="358"/>
      <c r="X607" s="358"/>
      <c r="Y607" s="358"/>
      <c r="Z607" s="358"/>
    </row>
    <row r="608" spans="1:26" ht="15.75" customHeight="1" x14ac:dyDescent="0.25">
      <c r="A608" s="358"/>
      <c r="B608" s="358"/>
      <c r="C608" s="358"/>
      <c r="D608" s="358"/>
      <c r="E608" s="358"/>
      <c r="F608" s="358"/>
      <c r="G608" s="358"/>
      <c r="H608" s="358"/>
      <c r="I608" s="358"/>
      <c r="J608" s="358"/>
      <c r="K608" s="358"/>
      <c r="L608" s="358"/>
      <c r="M608" s="358"/>
      <c r="N608" s="358"/>
      <c r="O608" s="358"/>
      <c r="P608" s="358"/>
      <c r="Q608" s="358"/>
      <c r="R608" s="358"/>
      <c r="S608" s="358"/>
      <c r="T608" s="358"/>
      <c r="U608" s="358"/>
      <c r="V608" s="358"/>
      <c r="W608" s="358"/>
      <c r="X608" s="358"/>
      <c r="Y608" s="358"/>
      <c r="Z608" s="358"/>
    </row>
    <row r="609" spans="1:26" ht="15.75" customHeight="1" x14ac:dyDescent="0.25">
      <c r="A609" s="358"/>
      <c r="B609" s="358"/>
      <c r="C609" s="358"/>
      <c r="D609" s="358"/>
      <c r="E609" s="358"/>
      <c r="F609" s="358"/>
      <c r="G609" s="358"/>
      <c r="H609" s="358"/>
      <c r="I609" s="358"/>
      <c r="J609" s="358"/>
      <c r="K609" s="358"/>
      <c r="L609" s="358"/>
      <c r="M609" s="358"/>
      <c r="N609" s="358"/>
      <c r="O609" s="358"/>
      <c r="P609" s="358"/>
      <c r="Q609" s="358"/>
      <c r="R609" s="358"/>
      <c r="S609" s="358"/>
      <c r="T609" s="358"/>
      <c r="U609" s="358"/>
      <c r="V609" s="358"/>
      <c r="W609" s="358"/>
      <c r="X609" s="358"/>
      <c r="Y609" s="358"/>
      <c r="Z609" s="358"/>
    </row>
    <row r="610" spans="1:26" ht="15.75" customHeight="1" x14ac:dyDescent="0.25">
      <c r="A610" s="358"/>
      <c r="B610" s="358"/>
      <c r="C610" s="358"/>
      <c r="D610" s="358"/>
      <c r="E610" s="358"/>
      <c r="F610" s="358"/>
      <c r="G610" s="358"/>
      <c r="H610" s="358"/>
      <c r="I610" s="358"/>
      <c r="J610" s="358"/>
      <c r="K610" s="358"/>
      <c r="L610" s="358"/>
      <c r="M610" s="358"/>
      <c r="N610" s="358"/>
      <c r="O610" s="358"/>
      <c r="P610" s="358"/>
      <c r="Q610" s="358"/>
      <c r="R610" s="358"/>
      <c r="S610" s="358"/>
      <c r="T610" s="358"/>
      <c r="U610" s="358"/>
      <c r="V610" s="358"/>
      <c r="W610" s="358"/>
      <c r="X610" s="358"/>
      <c r="Y610" s="358"/>
      <c r="Z610" s="358"/>
    </row>
    <row r="611" spans="1:26" ht="15.75" customHeight="1" x14ac:dyDescent="0.25">
      <c r="A611" s="358"/>
      <c r="B611" s="358"/>
      <c r="C611" s="358"/>
      <c r="D611" s="358"/>
      <c r="E611" s="358"/>
      <c r="F611" s="358"/>
      <c r="G611" s="358"/>
      <c r="H611" s="358"/>
      <c r="I611" s="358"/>
      <c r="J611" s="358"/>
      <c r="K611" s="358"/>
      <c r="L611" s="358"/>
      <c r="M611" s="358"/>
      <c r="N611" s="358"/>
      <c r="O611" s="358"/>
      <c r="P611" s="358"/>
      <c r="Q611" s="358"/>
      <c r="R611" s="358"/>
      <c r="S611" s="358"/>
      <c r="T611" s="358"/>
      <c r="U611" s="358"/>
      <c r="V611" s="358"/>
      <c r="W611" s="358"/>
      <c r="X611" s="358"/>
      <c r="Y611" s="358"/>
      <c r="Z611" s="358"/>
    </row>
    <row r="612" spans="1:26" ht="15.75" customHeight="1" x14ac:dyDescent="0.25">
      <c r="A612" s="358"/>
      <c r="B612" s="358"/>
      <c r="C612" s="358"/>
      <c r="D612" s="358"/>
      <c r="E612" s="358"/>
      <c r="F612" s="358"/>
      <c r="G612" s="358"/>
      <c r="H612" s="358"/>
      <c r="I612" s="358"/>
      <c r="J612" s="358"/>
      <c r="K612" s="358"/>
      <c r="L612" s="358"/>
      <c r="M612" s="358"/>
      <c r="N612" s="358"/>
      <c r="O612" s="358"/>
      <c r="P612" s="358"/>
      <c r="Q612" s="358"/>
      <c r="R612" s="358"/>
      <c r="S612" s="358"/>
      <c r="T612" s="358"/>
      <c r="U612" s="358"/>
      <c r="V612" s="358"/>
      <c r="W612" s="358"/>
      <c r="X612" s="358"/>
      <c r="Y612" s="358"/>
      <c r="Z612" s="358"/>
    </row>
    <row r="613" spans="1:26" ht="15.75" customHeight="1" x14ac:dyDescent="0.25">
      <c r="A613" s="358"/>
      <c r="B613" s="358"/>
      <c r="C613" s="358"/>
      <c r="D613" s="358"/>
      <c r="E613" s="358"/>
      <c r="F613" s="358"/>
      <c r="G613" s="358"/>
      <c r="H613" s="358"/>
      <c r="I613" s="358"/>
      <c r="J613" s="358"/>
      <c r="K613" s="358"/>
      <c r="L613" s="358"/>
      <c r="M613" s="358"/>
      <c r="N613" s="358"/>
      <c r="O613" s="358"/>
      <c r="P613" s="358"/>
      <c r="Q613" s="358"/>
      <c r="R613" s="358"/>
      <c r="S613" s="358"/>
      <c r="T613" s="358"/>
      <c r="U613" s="358"/>
      <c r="V613" s="358"/>
      <c r="W613" s="358"/>
      <c r="X613" s="358"/>
      <c r="Y613" s="358"/>
      <c r="Z613" s="358"/>
    </row>
    <row r="614" spans="1:26" ht="15.75" customHeight="1" x14ac:dyDescent="0.25">
      <c r="A614" s="358"/>
      <c r="B614" s="358"/>
      <c r="C614" s="358"/>
      <c r="D614" s="358"/>
      <c r="E614" s="358"/>
      <c r="F614" s="358"/>
      <c r="G614" s="358"/>
      <c r="H614" s="358"/>
      <c r="I614" s="358"/>
      <c r="J614" s="358"/>
      <c r="K614" s="358"/>
      <c r="L614" s="358"/>
      <c r="M614" s="358"/>
      <c r="N614" s="358"/>
      <c r="O614" s="358"/>
      <c r="P614" s="358"/>
      <c r="Q614" s="358"/>
      <c r="R614" s="358"/>
      <c r="S614" s="358"/>
      <c r="T614" s="358"/>
      <c r="U614" s="358"/>
      <c r="V614" s="358"/>
      <c r="W614" s="358"/>
      <c r="X614" s="358"/>
      <c r="Y614" s="358"/>
      <c r="Z614" s="358"/>
    </row>
    <row r="615" spans="1:26" ht="15.75" customHeight="1" x14ac:dyDescent="0.25">
      <c r="A615" s="358"/>
      <c r="B615" s="358"/>
      <c r="C615" s="358"/>
      <c r="D615" s="358"/>
      <c r="E615" s="358"/>
      <c r="F615" s="358"/>
      <c r="G615" s="358"/>
      <c r="H615" s="358"/>
      <c r="I615" s="358"/>
      <c r="J615" s="358"/>
      <c r="K615" s="358"/>
      <c r="L615" s="358"/>
      <c r="M615" s="358"/>
      <c r="N615" s="358"/>
      <c r="O615" s="358"/>
      <c r="P615" s="358"/>
      <c r="Q615" s="358"/>
      <c r="R615" s="358"/>
      <c r="S615" s="358"/>
      <c r="T615" s="358"/>
      <c r="U615" s="358"/>
      <c r="V615" s="358"/>
      <c r="W615" s="358"/>
      <c r="X615" s="358"/>
      <c r="Y615" s="358"/>
      <c r="Z615" s="358"/>
    </row>
    <row r="616" spans="1:26" ht="15.75" customHeight="1" x14ac:dyDescent="0.25">
      <c r="A616" s="358"/>
      <c r="B616" s="358"/>
      <c r="C616" s="358"/>
      <c r="D616" s="358"/>
      <c r="E616" s="358"/>
      <c r="F616" s="358"/>
      <c r="G616" s="358"/>
      <c r="H616" s="358"/>
      <c r="I616" s="358"/>
      <c r="J616" s="358"/>
      <c r="K616" s="358"/>
      <c r="L616" s="358"/>
      <c r="M616" s="358"/>
      <c r="N616" s="358"/>
      <c r="O616" s="358"/>
      <c r="P616" s="358"/>
      <c r="Q616" s="358"/>
      <c r="R616" s="358"/>
      <c r="S616" s="358"/>
      <c r="T616" s="358"/>
      <c r="U616" s="358"/>
      <c r="V616" s="358"/>
      <c r="W616" s="358"/>
      <c r="X616" s="358"/>
      <c r="Y616" s="358"/>
      <c r="Z616" s="358"/>
    </row>
    <row r="617" spans="1:26" ht="15.75" customHeight="1" x14ac:dyDescent="0.25">
      <c r="A617" s="358"/>
      <c r="B617" s="358"/>
      <c r="C617" s="358"/>
      <c r="D617" s="358"/>
      <c r="E617" s="358"/>
      <c r="F617" s="358"/>
      <c r="G617" s="358"/>
      <c r="H617" s="358"/>
      <c r="I617" s="358"/>
      <c r="J617" s="358"/>
      <c r="K617" s="358"/>
      <c r="L617" s="358"/>
      <c r="M617" s="358"/>
      <c r="N617" s="358"/>
      <c r="O617" s="358"/>
      <c r="P617" s="358"/>
      <c r="Q617" s="358"/>
      <c r="R617" s="358"/>
      <c r="S617" s="358"/>
      <c r="T617" s="358"/>
      <c r="U617" s="358"/>
      <c r="V617" s="358"/>
      <c r="W617" s="358"/>
      <c r="X617" s="358"/>
      <c r="Y617" s="358"/>
      <c r="Z617" s="358"/>
    </row>
    <row r="618" spans="1:26" ht="15.75" customHeight="1" x14ac:dyDescent="0.25">
      <c r="A618" s="358"/>
      <c r="B618" s="358"/>
      <c r="C618" s="358"/>
      <c r="D618" s="358"/>
      <c r="E618" s="358"/>
      <c r="F618" s="358"/>
      <c r="G618" s="358"/>
      <c r="H618" s="358"/>
      <c r="I618" s="358"/>
      <c r="J618" s="358"/>
      <c r="K618" s="358"/>
      <c r="L618" s="358"/>
      <c r="M618" s="358"/>
      <c r="N618" s="358"/>
      <c r="O618" s="358"/>
      <c r="P618" s="358"/>
      <c r="Q618" s="358"/>
      <c r="R618" s="358"/>
      <c r="S618" s="358"/>
      <c r="T618" s="358"/>
      <c r="U618" s="358"/>
      <c r="V618" s="358"/>
      <c r="W618" s="358"/>
      <c r="X618" s="358"/>
      <c r="Y618" s="358"/>
      <c r="Z618" s="358"/>
    </row>
    <row r="619" spans="1:26" ht="15.75" customHeight="1" x14ac:dyDescent="0.25">
      <c r="A619" s="358"/>
      <c r="B619" s="358"/>
      <c r="C619" s="358"/>
      <c r="D619" s="358"/>
      <c r="E619" s="358"/>
      <c r="F619" s="358"/>
      <c r="G619" s="358"/>
      <c r="H619" s="358"/>
      <c r="I619" s="358"/>
      <c r="J619" s="358"/>
      <c r="K619" s="358"/>
      <c r="L619" s="358"/>
      <c r="M619" s="358"/>
      <c r="N619" s="358"/>
      <c r="O619" s="358"/>
      <c r="P619" s="358"/>
      <c r="Q619" s="358"/>
      <c r="R619" s="358"/>
      <c r="S619" s="358"/>
      <c r="T619" s="358"/>
      <c r="U619" s="358"/>
      <c r="V619" s="358"/>
      <c r="W619" s="358"/>
      <c r="X619" s="358"/>
      <c r="Y619" s="358"/>
      <c r="Z619" s="358"/>
    </row>
    <row r="620" spans="1:26" ht="15.75" customHeight="1" x14ac:dyDescent="0.25">
      <c r="A620" s="358"/>
      <c r="B620" s="358"/>
      <c r="C620" s="358"/>
      <c r="D620" s="358"/>
      <c r="E620" s="358"/>
      <c r="F620" s="358"/>
      <c r="G620" s="358"/>
      <c r="H620" s="358"/>
      <c r="I620" s="358"/>
      <c r="J620" s="358"/>
      <c r="K620" s="358"/>
      <c r="L620" s="358"/>
      <c r="M620" s="358"/>
      <c r="N620" s="358"/>
      <c r="O620" s="358"/>
      <c r="P620" s="358"/>
      <c r="Q620" s="358"/>
      <c r="R620" s="358"/>
      <c r="S620" s="358"/>
      <c r="T620" s="358"/>
      <c r="U620" s="358"/>
      <c r="V620" s="358"/>
      <c r="W620" s="358"/>
      <c r="X620" s="358"/>
      <c r="Y620" s="358"/>
      <c r="Z620" s="358"/>
    </row>
    <row r="621" spans="1:26" ht="15.75" customHeight="1" x14ac:dyDescent="0.25">
      <c r="A621" s="358"/>
      <c r="B621" s="358"/>
      <c r="C621" s="358"/>
      <c r="D621" s="358"/>
      <c r="E621" s="358"/>
      <c r="F621" s="358"/>
      <c r="G621" s="358"/>
      <c r="H621" s="358"/>
      <c r="I621" s="358"/>
      <c r="J621" s="358"/>
      <c r="K621" s="358"/>
      <c r="L621" s="358"/>
      <c r="M621" s="358"/>
      <c r="N621" s="358"/>
      <c r="O621" s="358"/>
      <c r="P621" s="358"/>
      <c r="Q621" s="358"/>
      <c r="R621" s="358"/>
      <c r="S621" s="358"/>
      <c r="T621" s="358"/>
      <c r="U621" s="358"/>
      <c r="V621" s="358"/>
      <c r="W621" s="358"/>
      <c r="X621" s="358"/>
      <c r="Y621" s="358"/>
      <c r="Z621" s="358"/>
    </row>
    <row r="622" spans="1:26" ht="15.75" customHeight="1" x14ac:dyDescent="0.25">
      <c r="A622" s="358"/>
      <c r="B622" s="358"/>
      <c r="C622" s="358"/>
      <c r="D622" s="358"/>
      <c r="E622" s="358"/>
      <c r="F622" s="358"/>
      <c r="G622" s="358"/>
      <c r="H622" s="358"/>
      <c r="I622" s="358"/>
      <c r="J622" s="358"/>
      <c r="K622" s="358"/>
      <c r="L622" s="358"/>
      <c r="M622" s="358"/>
      <c r="N622" s="358"/>
      <c r="O622" s="358"/>
      <c r="P622" s="358"/>
      <c r="Q622" s="358"/>
      <c r="R622" s="358"/>
      <c r="S622" s="358"/>
      <c r="T622" s="358"/>
      <c r="U622" s="358"/>
      <c r="V622" s="358"/>
      <c r="W622" s="358"/>
      <c r="X622" s="358"/>
      <c r="Y622" s="358"/>
      <c r="Z622" s="358"/>
    </row>
    <row r="623" spans="1:26" ht="15.75" customHeight="1" x14ac:dyDescent="0.25">
      <c r="A623" s="358"/>
      <c r="B623" s="358"/>
      <c r="C623" s="358"/>
      <c r="D623" s="358"/>
      <c r="E623" s="358"/>
      <c r="F623" s="358"/>
      <c r="G623" s="358"/>
      <c r="H623" s="358"/>
      <c r="I623" s="358"/>
      <c r="J623" s="358"/>
      <c r="K623" s="358"/>
      <c r="L623" s="358"/>
      <c r="M623" s="358"/>
      <c r="N623" s="358"/>
      <c r="O623" s="358"/>
      <c r="P623" s="358"/>
      <c r="Q623" s="358"/>
      <c r="R623" s="358"/>
      <c r="S623" s="358"/>
      <c r="T623" s="358"/>
      <c r="U623" s="358"/>
      <c r="V623" s="358"/>
      <c r="W623" s="358"/>
      <c r="X623" s="358"/>
      <c r="Y623" s="358"/>
      <c r="Z623" s="358"/>
    </row>
    <row r="624" spans="1:26" ht="15.75" customHeight="1" x14ac:dyDescent="0.25">
      <c r="A624" s="358"/>
      <c r="B624" s="358"/>
      <c r="C624" s="358"/>
      <c r="D624" s="358"/>
      <c r="E624" s="358"/>
      <c r="F624" s="358"/>
      <c r="G624" s="358"/>
      <c r="H624" s="358"/>
      <c r="I624" s="358"/>
      <c r="J624" s="358"/>
      <c r="K624" s="358"/>
      <c r="L624" s="358"/>
      <c r="M624" s="358"/>
      <c r="N624" s="358"/>
      <c r="O624" s="358"/>
      <c r="P624" s="358"/>
      <c r="Q624" s="358"/>
      <c r="R624" s="358"/>
      <c r="S624" s="358"/>
      <c r="T624" s="358"/>
      <c r="U624" s="358"/>
      <c r="V624" s="358"/>
      <c r="W624" s="358"/>
      <c r="X624" s="358"/>
      <c r="Y624" s="358"/>
      <c r="Z624" s="358"/>
    </row>
    <row r="625" spans="1:26" ht="15.75" customHeight="1" x14ac:dyDescent="0.25">
      <c r="A625" s="358"/>
      <c r="B625" s="358"/>
      <c r="C625" s="358"/>
      <c r="D625" s="358"/>
      <c r="E625" s="358"/>
      <c r="F625" s="358"/>
      <c r="G625" s="358"/>
      <c r="H625" s="358"/>
      <c r="I625" s="358"/>
      <c r="J625" s="358"/>
      <c r="K625" s="358"/>
      <c r="L625" s="358"/>
      <c r="M625" s="358"/>
      <c r="N625" s="358"/>
      <c r="O625" s="358"/>
      <c r="P625" s="358"/>
      <c r="Q625" s="358"/>
      <c r="R625" s="358"/>
      <c r="S625" s="358"/>
      <c r="T625" s="358"/>
      <c r="U625" s="358"/>
      <c r="V625" s="358"/>
      <c r="W625" s="358"/>
      <c r="X625" s="358"/>
      <c r="Y625" s="358"/>
      <c r="Z625" s="358"/>
    </row>
    <row r="626" spans="1:26" ht="15.75" customHeight="1" x14ac:dyDescent="0.25">
      <c r="A626" s="358"/>
      <c r="B626" s="358"/>
      <c r="C626" s="358"/>
      <c r="D626" s="358"/>
      <c r="E626" s="358"/>
      <c r="F626" s="358"/>
      <c r="G626" s="358"/>
      <c r="H626" s="358"/>
      <c r="I626" s="358"/>
      <c r="J626" s="358"/>
      <c r="K626" s="358"/>
      <c r="L626" s="358"/>
      <c r="M626" s="358"/>
      <c r="N626" s="358"/>
      <c r="O626" s="358"/>
      <c r="P626" s="358"/>
      <c r="Q626" s="358"/>
      <c r="R626" s="358"/>
      <c r="S626" s="358"/>
      <c r="T626" s="358"/>
      <c r="U626" s="358"/>
      <c r="V626" s="358"/>
      <c r="W626" s="358"/>
      <c r="X626" s="358"/>
      <c r="Y626" s="358"/>
      <c r="Z626" s="358"/>
    </row>
    <row r="627" spans="1:26" ht="15.75" customHeight="1" x14ac:dyDescent="0.25">
      <c r="A627" s="358"/>
      <c r="B627" s="358"/>
      <c r="C627" s="358"/>
      <c r="D627" s="358"/>
      <c r="E627" s="358"/>
      <c r="F627" s="358"/>
      <c r="G627" s="358"/>
      <c r="H627" s="358"/>
      <c r="I627" s="358"/>
      <c r="J627" s="358"/>
      <c r="K627" s="358"/>
      <c r="L627" s="358"/>
      <c r="M627" s="358"/>
      <c r="N627" s="358"/>
      <c r="O627" s="358"/>
      <c r="P627" s="358"/>
      <c r="Q627" s="358"/>
      <c r="R627" s="358"/>
      <c r="S627" s="358"/>
      <c r="T627" s="358"/>
      <c r="U627" s="358"/>
      <c r="V627" s="358"/>
      <c r="W627" s="358"/>
      <c r="X627" s="358"/>
      <c r="Y627" s="358"/>
      <c r="Z627" s="358"/>
    </row>
    <row r="628" spans="1:26" ht="15.75" customHeight="1" x14ac:dyDescent="0.25">
      <c r="A628" s="358"/>
      <c r="B628" s="358"/>
      <c r="C628" s="358"/>
      <c r="D628" s="358"/>
      <c r="E628" s="358"/>
      <c r="F628" s="358"/>
      <c r="G628" s="358"/>
      <c r="H628" s="358"/>
      <c r="I628" s="358"/>
      <c r="J628" s="358"/>
      <c r="K628" s="358"/>
      <c r="L628" s="358"/>
      <c r="M628" s="358"/>
      <c r="N628" s="358"/>
      <c r="O628" s="358"/>
      <c r="P628" s="358"/>
      <c r="Q628" s="358"/>
      <c r="R628" s="358"/>
      <c r="S628" s="358"/>
      <c r="T628" s="358"/>
      <c r="U628" s="358"/>
      <c r="V628" s="358"/>
      <c r="W628" s="358"/>
      <c r="X628" s="358"/>
      <c r="Y628" s="358"/>
      <c r="Z628" s="358"/>
    </row>
    <row r="629" spans="1:26" ht="15.75" customHeight="1" x14ac:dyDescent="0.25">
      <c r="A629" s="358"/>
      <c r="B629" s="358"/>
      <c r="C629" s="358"/>
      <c r="D629" s="358"/>
      <c r="E629" s="358"/>
      <c r="F629" s="358"/>
      <c r="G629" s="358"/>
      <c r="H629" s="358"/>
      <c r="I629" s="358"/>
      <c r="J629" s="358"/>
      <c r="K629" s="358"/>
      <c r="L629" s="358"/>
      <c r="M629" s="358"/>
      <c r="N629" s="358"/>
      <c r="O629" s="358"/>
      <c r="P629" s="358"/>
      <c r="Q629" s="358"/>
      <c r="R629" s="358"/>
      <c r="S629" s="358"/>
      <c r="T629" s="358"/>
      <c r="U629" s="358"/>
      <c r="V629" s="358"/>
      <c r="W629" s="358"/>
      <c r="X629" s="358"/>
      <c r="Y629" s="358"/>
      <c r="Z629" s="358"/>
    </row>
    <row r="630" spans="1:26" ht="15.75" customHeight="1" x14ac:dyDescent="0.25">
      <c r="A630" s="358"/>
      <c r="B630" s="358"/>
      <c r="C630" s="358"/>
      <c r="D630" s="358"/>
      <c r="E630" s="358"/>
      <c r="F630" s="358"/>
      <c r="G630" s="358"/>
      <c r="H630" s="358"/>
      <c r="I630" s="358"/>
      <c r="J630" s="358"/>
      <c r="K630" s="358"/>
      <c r="L630" s="358"/>
      <c r="M630" s="358"/>
      <c r="N630" s="358"/>
      <c r="O630" s="358"/>
      <c r="P630" s="358"/>
      <c r="Q630" s="358"/>
      <c r="R630" s="358"/>
      <c r="S630" s="358"/>
      <c r="T630" s="358"/>
      <c r="U630" s="358"/>
      <c r="V630" s="358"/>
      <c r="W630" s="358"/>
      <c r="X630" s="358"/>
      <c r="Y630" s="358"/>
      <c r="Z630" s="358"/>
    </row>
    <row r="631" spans="1:26" ht="15.75" customHeight="1" x14ac:dyDescent="0.25">
      <c r="A631" s="358"/>
      <c r="B631" s="358"/>
      <c r="C631" s="358"/>
      <c r="D631" s="358"/>
      <c r="E631" s="358"/>
      <c r="F631" s="358"/>
      <c r="G631" s="358"/>
      <c r="H631" s="358"/>
      <c r="I631" s="358"/>
      <c r="J631" s="358"/>
      <c r="K631" s="358"/>
      <c r="L631" s="358"/>
      <c r="M631" s="358"/>
      <c r="N631" s="358"/>
      <c r="O631" s="358"/>
      <c r="P631" s="358"/>
      <c r="Q631" s="358"/>
      <c r="R631" s="358"/>
      <c r="S631" s="358"/>
      <c r="T631" s="358"/>
      <c r="U631" s="358"/>
      <c r="V631" s="358"/>
      <c r="W631" s="358"/>
      <c r="X631" s="358"/>
      <c r="Y631" s="358"/>
      <c r="Z631" s="358"/>
    </row>
    <row r="632" spans="1:26" ht="15.75" customHeight="1" x14ac:dyDescent="0.25">
      <c r="A632" s="358"/>
      <c r="B632" s="358"/>
      <c r="C632" s="358"/>
      <c r="D632" s="358"/>
      <c r="E632" s="358"/>
      <c r="F632" s="358"/>
      <c r="G632" s="358"/>
      <c r="H632" s="358"/>
      <c r="I632" s="358"/>
      <c r="J632" s="358"/>
      <c r="K632" s="358"/>
      <c r="L632" s="358"/>
      <c r="M632" s="358"/>
      <c r="N632" s="358"/>
      <c r="O632" s="358"/>
      <c r="P632" s="358"/>
      <c r="Q632" s="358"/>
      <c r="R632" s="358"/>
      <c r="S632" s="358"/>
      <c r="T632" s="358"/>
      <c r="U632" s="358"/>
      <c r="V632" s="358"/>
      <c r="W632" s="358"/>
      <c r="X632" s="358"/>
      <c r="Y632" s="358"/>
      <c r="Z632" s="358"/>
    </row>
    <row r="633" spans="1:26" ht="15.75" customHeight="1" x14ac:dyDescent="0.25">
      <c r="A633" s="358"/>
      <c r="B633" s="358"/>
      <c r="C633" s="358"/>
      <c r="D633" s="358"/>
      <c r="E633" s="358"/>
      <c r="F633" s="358"/>
      <c r="G633" s="358"/>
      <c r="H633" s="358"/>
      <c r="I633" s="358"/>
      <c r="J633" s="358"/>
      <c r="K633" s="358"/>
      <c r="L633" s="358"/>
      <c r="M633" s="358"/>
      <c r="N633" s="358"/>
      <c r="O633" s="358"/>
      <c r="P633" s="358"/>
      <c r="Q633" s="358"/>
      <c r="R633" s="358"/>
      <c r="S633" s="358"/>
      <c r="T633" s="358"/>
      <c r="U633" s="358"/>
      <c r="V633" s="358"/>
      <c r="W633" s="358"/>
      <c r="X633" s="358"/>
      <c r="Y633" s="358"/>
      <c r="Z633" s="358"/>
    </row>
    <row r="634" spans="1:26" ht="15.75" customHeight="1" x14ac:dyDescent="0.25">
      <c r="A634" s="358"/>
      <c r="B634" s="358"/>
      <c r="C634" s="358"/>
      <c r="D634" s="358"/>
      <c r="E634" s="358"/>
      <c r="F634" s="358"/>
      <c r="G634" s="358"/>
      <c r="H634" s="358"/>
      <c r="I634" s="358"/>
      <c r="J634" s="358"/>
      <c r="K634" s="358"/>
      <c r="L634" s="358"/>
      <c r="M634" s="358"/>
      <c r="N634" s="358"/>
      <c r="O634" s="358"/>
      <c r="P634" s="358"/>
      <c r="Q634" s="358"/>
      <c r="R634" s="358"/>
      <c r="S634" s="358"/>
      <c r="T634" s="358"/>
      <c r="U634" s="358"/>
      <c r="V634" s="358"/>
      <c r="W634" s="358"/>
      <c r="X634" s="358"/>
      <c r="Y634" s="358"/>
      <c r="Z634" s="358"/>
    </row>
    <row r="635" spans="1:26" ht="15.75" customHeight="1" x14ac:dyDescent="0.25">
      <c r="A635" s="358"/>
      <c r="B635" s="358"/>
      <c r="C635" s="358"/>
      <c r="D635" s="358"/>
      <c r="E635" s="358"/>
      <c r="F635" s="358"/>
      <c r="G635" s="358"/>
      <c r="H635" s="358"/>
      <c r="I635" s="358"/>
      <c r="J635" s="358"/>
      <c r="K635" s="358"/>
      <c r="L635" s="358"/>
      <c r="M635" s="358"/>
      <c r="N635" s="358"/>
      <c r="O635" s="358"/>
      <c r="P635" s="358"/>
      <c r="Q635" s="358"/>
      <c r="R635" s="358"/>
      <c r="S635" s="358"/>
      <c r="T635" s="358"/>
      <c r="U635" s="358"/>
      <c r="V635" s="358"/>
      <c r="W635" s="358"/>
      <c r="X635" s="358"/>
      <c r="Y635" s="358"/>
      <c r="Z635" s="358"/>
    </row>
    <row r="636" spans="1:26" ht="15.75" customHeight="1" x14ac:dyDescent="0.25">
      <c r="A636" s="358"/>
      <c r="B636" s="358"/>
      <c r="C636" s="358"/>
      <c r="D636" s="358"/>
      <c r="E636" s="358"/>
      <c r="F636" s="358"/>
      <c r="G636" s="358"/>
      <c r="H636" s="358"/>
      <c r="I636" s="358"/>
      <c r="J636" s="358"/>
      <c r="K636" s="358"/>
      <c r="L636" s="358"/>
      <c r="M636" s="358"/>
      <c r="N636" s="358"/>
      <c r="O636" s="358"/>
      <c r="P636" s="358"/>
      <c r="Q636" s="358"/>
      <c r="R636" s="358"/>
      <c r="S636" s="358"/>
      <c r="T636" s="358"/>
      <c r="U636" s="358"/>
      <c r="V636" s="358"/>
      <c r="W636" s="358"/>
      <c r="X636" s="358"/>
      <c r="Y636" s="358"/>
      <c r="Z636" s="358"/>
    </row>
    <row r="637" spans="1:26" ht="15.75" customHeight="1" x14ac:dyDescent="0.25">
      <c r="A637" s="358"/>
      <c r="B637" s="358"/>
      <c r="C637" s="358"/>
      <c r="D637" s="358"/>
      <c r="E637" s="358"/>
      <c r="F637" s="358"/>
      <c r="G637" s="358"/>
      <c r="H637" s="358"/>
      <c r="I637" s="358"/>
      <c r="J637" s="358"/>
      <c r="K637" s="358"/>
      <c r="L637" s="358"/>
      <c r="M637" s="358"/>
      <c r="N637" s="358"/>
      <c r="O637" s="358"/>
      <c r="P637" s="358"/>
      <c r="Q637" s="358"/>
      <c r="R637" s="358"/>
      <c r="S637" s="358"/>
      <c r="T637" s="358"/>
      <c r="U637" s="358"/>
      <c r="V637" s="358"/>
      <c r="W637" s="358"/>
      <c r="X637" s="358"/>
      <c r="Y637" s="358"/>
      <c r="Z637" s="358"/>
    </row>
    <row r="638" spans="1:26" ht="15.75" customHeight="1" x14ac:dyDescent="0.25">
      <c r="A638" s="358"/>
      <c r="B638" s="358"/>
      <c r="C638" s="358"/>
      <c r="D638" s="358"/>
      <c r="E638" s="358"/>
      <c r="F638" s="358"/>
      <c r="G638" s="358"/>
      <c r="H638" s="358"/>
      <c r="I638" s="358"/>
      <c r="J638" s="358"/>
      <c r="K638" s="358"/>
      <c r="L638" s="358"/>
      <c r="M638" s="358"/>
      <c r="N638" s="358"/>
      <c r="O638" s="358"/>
      <c r="P638" s="358"/>
      <c r="Q638" s="358"/>
      <c r="R638" s="358"/>
      <c r="S638" s="358"/>
      <c r="T638" s="358"/>
      <c r="U638" s="358"/>
      <c r="V638" s="358"/>
      <c r="W638" s="358"/>
      <c r="X638" s="358"/>
      <c r="Y638" s="358"/>
      <c r="Z638" s="358"/>
    </row>
    <row r="639" spans="1:26" ht="15.75" customHeight="1" x14ac:dyDescent="0.25">
      <c r="A639" s="358"/>
      <c r="B639" s="358"/>
      <c r="C639" s="358"/>
      <c r="D639" s="358"/>
      <c r="E639" s="358"/>
      <c r="F639" s="358"/>
      <c r="G639" s="358"/>
      <c r="H639" s="358"/>
      <c r="I639" s="358"/>
      <c r="J639" s="358"/>
      <c r="K639" s="358"/>
      <c r="L639" s="358"/>
      <c r="M639" s="358"/>
      <c r="N639" s="358"/>
      <c r="O639" s="358"/>
      <c r="P639" s="358"/>
      <c r="Q639" s="358"/>
      <c r="R639" s="358"/>
      <c r="S639" s="358"/>
      <c r="T639" s="358"/>
      <c r="U639" s="358"/>
      <c r="V639" s="358"/>
      <c r="W639" s="358"/>
      <c r="X639" s="358"/>
      <c r="Y639" s="358"/>
      <c r="Z639" s="358"/>
    </row>
    <row r="640" spans="1:26" ht="15.75" customHeight="1" x14ac:dyDescent="0.25">
      <c r="A640" s="358"/>
      <c r="B640" s="358"/>
      <c r="C640" s="358"/>
      <c r="D640" s="358"/>
      <c r="E640" s="358"/>
      <c r="F640" s="358"/>
      <c r="G640" s="358"/>
      <c r="H640" s="358"/>
      <c r="I640" s="358"/>
      <c r="J640" s="358"/>
      <c r="K640" s="358"/>
      <c r="L640" s="358"/>
      <c r="M640" s="358"/>
      <c r="N640" s="358"/>
      <c r="O640" s="358"/>
      <c r="P640" s="358"/>
      <c r="Q640" s="358"/>
      <c r="R640" s="358"/>
      <c r="S640" s="358"/>
      <c r="T640" s="358"/>
      <c r="U640" s="358"/>
      <c r="V640" s="358"/>
      <c r="W640" s="358"/>
      <c r="X640" s="358"/>
      <c r="Y640" s="358"/>
      <c r="Z640" s="358"/>
    </row>
    <row r="641" spans="1:26" ht="15.75" customHeight="1" x14ac:dyDescent="0.25">
      <c r="A641" s="358"/>
      <c r="B641" s="358"/>
      <c r="C641" s="358"/>
      <c r="D641" s="358"/>
      <c r="E641" s="358"/>
      <c r="F641" s="358"/>
      <c r="G641" s="358"/>
      <c r="H641" s="358"/>
      <c r="I641" s="358"/>
      <c r="J641" s="358"/>
      <c r="K641" s="358"/>
      <c r="L641" s="358"/>
      <c r="M641" s="358"/>
      <c r="N641" s="358"/>
      <c r="O641" s="358"/>
      <c r="P641" s="358"/>
      <c r="Q641" s="358"/>
      <c r="R641" s="358"/>
      <c r="S641" s="358"/>
      <c r="T641" s="358"/>
      <c r="U641" s="358"/>
      <c r="V641" s="358"/>
      <c r="W641" s="358"/>
      <c r="X641" s="358"/>
      <c r="Y641" s="358"/>
      <c r="Z641" s="358"/>
    </row>
    <row r="642" spans="1:26" ht="15.75" customHeight="1" x14ac:dyDescent="0.25">
      <c r="A642" s="358"/>
      <c r="B642" s="358"/>
      <c r="C642" s="358"/>
      <c r="D642" s="358"/>
      <c r="E642" s="358"/>
      <c r="F642" s="358"/>
      <c r="G642" s="358"/>
      <c r="H642" s="358"/>
      <c r="I642" s="358"/>
      <c r="J642" s="358"/>
      <c r="K642" s="358"/>
      <c r="L642" s="358"/>
      <c r="M642" s="358"/>
      <c r="N642" s="358"/>
      <c r="O642" s="358"/>
      <c r="P642" s="358"/>
      <c r="Q642" s="358"/>
      <c r="R642" s="358"/>
      <c r="S642" s="358"/>
      <c r="T642" s="358"/>
      <c r="U642" s="358"/>
      <c r="V642" s="358"/>
      <c r="W642" s="358"/>
      <c r="X642" s="358"/>
      <c r="Y642" s="358"/>
      <c r="Z642" s="358"/>
    </row>
    <row r="643" spans="1:26" ht="15.75" customHeight="1" x14ac:dyDescent="0.25">
      <c r="A643" s="358"/>
      <c r="B643" s="358"/>
      <c r="C643" s="358"/>
      <c r="D643" s="358"/>
      <c r="E643" s="358"/>
      <c r="F643" s="358"/>
      <c r="G643" s="358"/>
      <c r="H643" s="358"/>
      <c r="I643" s="358"/>
      <c r="J643" s="358"/>
      <c r="K643" s="358"/>
      <c r="L643" s="358"/>
      <c r="M643" s="358"/>
      <c r="N643" s="358"/>
      <c r="O643" s="358"/>
      <c r="P643" s="358"/>
      <c r="Q643" s="358"/>
      <c r="R643" s="358"/>
      <c r="S643" s="358"/>
      <c r="T643" s="358"/>
      <c r="U643" s="358"/>
      <c r="V643" s="358"/>
      <c r="W643" s="358"/>
      <c r="X643" s="358"/>
      <c r="Y643" s="358"/>
      <c r="Z643" s="358"/>
    </row>
    <row r="644" spans="1:26" ht="15.75" customHeight="1" x14ac:dyDescent="0.25">
      <c r="A644" s="358"/>
      <c r="B644" s="358"/>
      <c r="C644" s="358"/>
      <c r="D644" s="358"/>
      <c r="E644" s="358"/>
      <c r="F644" s="358"/>
      <c r="G644" s="358"/>
      <c r="H644" s="358"/>
      <c r="I644" s="358"/>
      <c r="J644" s="358"/>
      <c r="K644" s="358"/>
      <c r="L644" s="358"/>
      <c r="M644" s="358"/>
      <c r="N644" s="358"/>
      <c r="O644" s="358"/>
      <c r="P644" s="358"/>
      <c r="Q644" s="358"/>
      <c r="R644" s="358"/>
      <c r="S644" s="358"/>
      <c r="T644" s="358"/>
      <c r="U644" s="358"/>
      <c r="V644" s="358"/>
      <c r="W644" s="358"/>
      <c r="X644" s="358"/>
      <c r="Y644" s="358"/>
      <c r="Z644" s="358"/>
    </row>
    <row r="645" spans="1:26" ht="15.75" customHeight="1" x14ac:dyDescent="0.25">
      <c r="A645" s="358"/>
      <c r="B645" s="358"/>
      <c r="C645" s="358"/>
      <c r="D645" s="358"/>
      <c r="E645" s="358"/>
      <c r="F645" s="358"/>
      <c r="G645" s="358"/>
      <c r="H645" s="358"/>
      <c r="I645" s="358"/>
      <c r="J645" s="358"/>
      <c r="K645" s="358"/>
      <c r="L645" s="358"/>
      <c r="M645" s="358"/>
      <c r="N645" s="358"/>
      <c r="O645" s="358"/>
      <c r="P645" s="358"/>
      <c r="Q645" s="358"/>
      <c r="R645" s="358"/>
      <c r="S645" s="358"/>
      <c r="T645" s="358"/>
      <c r="U645" s="358"/>
      <c r="V645" s="358"/>
      <c r="W645" s="358"/>
      <c r="X645" s="358"/>
      <c r="Y645" s="358"/>
      <c r="Z645" s="358"/>
    </row>
    <row r="646" spans="1:26" ht="15.75" customHeight="1" x14ac:dyDescent="0.25">
      <c r="A646" s="358"/>
      <c r="B646" s="358"/>
      <c r="C646" s="358"/>
      <c r="D646" s="358"/>
      <c r="E646" s="358"/>
      <c r="F646" s="358"/>
      <c r="G646" s="358"/>
      <c r="H646" s="358"/>
      <c r="I646" s="358"/>
      <c r="J646" s="358"/>
      <c r="K646" s="358"/>
      <c r="L646" s="358"/>
      <c r="M646" s="358"/>
      <c r="N646" s="358"/>
      <c r="O646" s="358"/>
      <c r="P646" s="358"/>
      <c r="Q646" s="358"/>
      <c r="R646" s="358"/>
      <c r="S646" s="358"/>
      <c r="T646" s="358"/>
      <c r="U646" s="358"/>
      <c r="V646" s="358"/>
      <c r="W646" s="358"/>
      <c r="X646" s="358"/>
      <c r="Y646" s="358"/>
      <c r="Z646" s="358"/>
    </row>
    <row r="647" spans="1:26" ht="15.75" customHeight="1" x14ac:dyDescent="0.25">
      <c r="A647" s="358"/>
      <c r="B647" s="358"/>
      <c r="C647" s="358"/>
      <c r="D647" s="358"/>
      <c r="E647" s="358"/>
      <c r="F647" s="358"/>
      <c r="G647" s="358"/>
      <c r="H647" s="358"/>
      <c r="I647" s="358"/>
      <c r="J647" s="358"/>
      <c r="K647" s="358"/>
      <c r="L647" s="358"/>
      <c r="M647" s="358"/>
      <c r="N647" s="358"/>
      <c r="O647" s="358"/>
      <c r="P647" s="358"/>
      <c r="Q647" s="358"/>
      <c r="R647" s="358"/>
      <c r="S647" s="358"/>
      <c r="T647" s="358"/>
      <c r="U647" s="358"/>
      <c r="V647" s="358"/>
      <c r="W647" s="358"/>
      <c r="X647" s="358"/>
      <c r="Y647" s="358"/>
      <c r="Z647" s="358"/>
    </row>
    <row r="648" spans="1:26" ht="15.75" customHeight="1" x14ac:dyDescent="0.25">
      <c r="A648" s="358"/>
      <c r="B648" s="358"/>
      <c r="C648" s="358"/>
      <c r="D648" s="358"/>
      <c r="E648" s="358"/>
      <c r="F648" s="358"/>
      <c r="G648" s="358"/>
      <c r="H648" s="358"/>
      <c r="I648" s="358"/>
      <c r="J648" s="358"/>
      <c r="K648" s="358"/>
      <c r="L648" s="358"/>
      <c r="M648" s="358"/>
      <c r="N648" s="358"/>
      <c r="O648" s="358"/>
      <c r="P648" s="358"/>
      <c r="Q648" s="358"/>
      <c r="R648" s="358"/>
      <c r="S648" s="358"/>
      <c r="T648" s="358"/>
      <c r="U648" s="358"/>
      <c r="V648" s="358"/>
      <c r="W648" s="358"/>
      <c r="X648" s="358"/>
      <c r="Y648" s="358"/>
      <c r="Z648" s="358"/>
    </row>
    <row r="649" spans="1:26" ht="15.75" customHeight="1" x14ac:dyDescent="0.25">
      <c r="A649" s="358"/>
      <c r="B649" s="358"/>
      <c r="C649" s="358"/>
      <c r="D649" s="358"/>
      <c r="E649" s="358"/>
      <c r="F649" s="358"/>
      <c r="G649" s="358"/>
      <c r="H649" s="358"/>
      <c r="I649" s="358"/>
      <c r="J649" s="358"/>
      <c r="K649" s="358"/>
      <c r="L649" s="358"/>
      <c r="M649" s="358"/>
      <c r="N649" s="358"/>
      <c r="O649" s="358"/>
      <c r="P649" s="358"/>
      <c r="Q649" s="358"/>
      <c r="R649" s="358"/>
      <c r="S649" s="358"/>
      <c r="T649" s="358"/>
      <c r="U649" s="358"/>
      <c r="V649" s="358"/>
      <c r="W649" s="358"/>
      <c r="X649" s="358"/>
      <c r="Y649" s="358"/>
      <c r="Z649" s="358"/>
    </row>
    <row r="650" spans="1:26" ht="15.75" customHeight="1" x14ac:dyDescent="0.25">
      <c r="A650" s="358"/>
      <c r="B650" s="358"/>
      <c r="C650" s="358"/>
      <c r="D650" s="358"/>
      <c r="E650" s="358"/>
      <c r="F650" s="358"/>
      <c r="G650" s="358"/>
      <c r="H650" s="358"/>
      <c r="I650" s="358"/>
      <c r="J650" s="358"/>
      <c r="K650" s="358"/>
      <c r="L650" s="358"/>
      <c r="M650" s="358"/>
      <c r="N650" s="358"/>
      <c r="O650" s="358"/>
      <c r="P650" s="358"/>
      <c r="Q650" s="358"/>
      <c r="R650" s="358"/>
      <c r="S650" s="358"/>
      <c r="T650" s="358"/>
      <c r="U650" s="358"/>
      <c r="V650" s="358"/>
      <c r="W650" s="358"/>
      <c r="X650" s="358"/>
      <c r="Y650" s="358"/>
      <c r="Z650" s="358"/>
    </row>
    <row r="651" spans="1:26" ht="15.75" customHeight="1" x14ac:dyDescent="0.25">
      <c r="A651" s="358"/>
      <c r="B651" s="358"/>
      <c r="C651" s="358"/>
      <c r="D651" s="358"/>
      <c r="E651" s="358"/>
      <c r="F651" s="358"/>
      <c r="G651" s="358"/>
      <c r="H651" s="358"/>
      <c r="I651" s="358"/>
      <c r="J651" s="358"/>
      <c r="K651" s="358"/>
      <c r="L651" s="358"/>
      <c r="M651" s="358"/>
      <c r="N651" s="358"/>
      <c r="O651" s="358"/>
      <c r="P651" s="358"/>
      <c r="Q651" s="358"/>
      <c r="R651" s="358"/>
      <c r="S651" s="358"/>
      <c r="T651" s="358"/>
      <c r="U651" s="358"/>
      <c r="V651" s="358"/>
      <c r="W651" s="358"/>
      <c r="X651" s="358"/>
      <c r="Y651" s="358"/>
      <c r="Z651" s="358"/>
    </row>
    <row r="652" spans="1:26" ht="15.75" customHeight="1" x14ac:dyDescent="0.25">
      <c r="A652" s="358"/>
      <c r="B652" s="358"/>
      <c r="C652" s="358"/>
      <c r="D652" s="358"/>
      <c r="E652" s="358"/>
      <c r="F652" s="358"/>
      <c r="G652" s="358"/>
      <c r="H652" s="358"/>
      <c r="I652" s="358"/>
      <c r="J652" s="358"/>
      <c r="K652" s="358"/>
      <c r="L652" s="358"/>
      <c r="M652" s="358"/>
      <c r="N652" s="358"/>
      <c r="O652" s="358"/>
      <c r="P652" s="358"/>
      <c r="Q652" s="358"/>
      <c r="R652" s="358"/>
      <c r="S652" s="358"/>
      <c r="T652" s="358"/>
      <c r="U652" s="358"/>
      <c r="V652" s="358"/>
      <c r="W652" s="358"/>
      <c r="X652" s="358"/>
      <c r="Y652" s="358"/>
      <c r="Z652" s="358"/>
    </row>
    <row r="653" spans="1:26" ht="15.75" customHeight="1" x14ac:dyDescent="0.25">
      <c r="A653" s="358"/>
      <c r="B653" s="358"/>
      <c r="C653" s="358"/>
      <c r="D653" s="358"/>
      <c r="E653" s="358"/>
      <c r="F653" s="358"/>
      <c r="G653" s="358"/>
      <c r="H653" s="358"/>
      <c r="I653" s="358"/>
      <c r="J653" s="358"/>
      <c r="K653" s="358"/>
      <c r="L653" s="358"/>
      <c r="M653" s="358"/>
      <c r="N653" s="358"/>
      <c r="O653" s="358"/>
      <c r="P653" s="358"/>
      <c r="Q653" s="358"/>
      <c r="R653" s="358"/>
      <c r="S653" s="358"/>
      <c r="T653" s="358"/>
      <c r="U653" s="358"/>
      <c r="V653" s="358"/>
      <c r="W653" s="358"/>
      <c r="X653" s="358"/>
      <c r="Y653" s="358"/>
      <c r="Z653" s="358"/>
    </row>
    <row r="654" spans="1:26" ht="15.75" customHeight="1" x14ac:dyDescent="0.25">
      <c r="A654" s="358"/>
      <c r="B654" s="358"/>
      <c r="C654" s="358"/>
      <c r="D654" s="358"/>
      <c r="E654" s="358"/>
      <c r="F654" s="358"/>
      <c r="G654" s="358"/>
      <c r="H654" s="358"/>
      <c r="I654" s="358"/>
      <c r="J654" s="358"/>
      <c r="K654" s="358"/>
      <c r="L654" s="358"/>
      <c r="M654" s="358"/>
      <c r="N654" s="358"/>
      <c r="O654" s="358"/>
      <c r="P654" s="358"/>
      <c r="Q654" s="358"/>
      <c r="R654" s="358"/>
      <c r="S654" s="358"/>
      <c r="T654" s="358"/>
      <c r="U654" s="358"/>
      <c r="V654" s="358"/>
      <c r="W654" s="358"/>
      <c r="X654" s="358"/>
      <c r="Y654" s="358"/>
      <c r="Z654" s="358"/>
    </row>
    <row r="655" spans="1:26" ht="15.75" customHeight="1" x14ac:dyDescent="0.25">
      <c r="A655" s="358"/>
      <c r="B655" s="358"/>
      <c r="C655" s="358"/>
      <c r="D655" s="358"/>
      <c r="E655" s="358"/>
      <c r="F655" s="358"/>
      <c r="G655" s="358"/>
      <c r="H655" s="358"/>
      <c r="I655" s="358"/>
      <c r="J655" s="358"/>
      <c r="K655" s="358"/>
      <c r="L655" s="358"/>
      <c r="M655" s="358"/>
      <c r="N655" s="358"/>
      <c r="O655" s="358"/>
      <c r="P655" s="358"/>
      <c r="Q655" s="358"/>
      <c r="R655" s="358"/>
      <c r="S655" s="358"/>
      <c r="T655" s="358"/>
      <c r="U655" s="358"/>
      <c r="V655" s="358"/>
      <c r="W655" s="358"/>
      <c r="X655" s="358"/>
      <c r="Y655" s="358"/>
      <c r="Z655" s="358"/>
    </row>
    <row r="656" spans="1:26" ht="15.75" customHeight="1" x14ac:dyDescent="0.25">
      <c r="A656" s="358"/>
      <c r="B656" s="358"/>
      <c r="C656" s="358"/>
      <c r="D656" s="358"/>
      <c r="E656" s="358"/>
      <c r="F656" s="358"/>
      <c r="G656" s="358"/>
      <c r="H656" s="358"/>
      <c r="I656" s="358"/>
      <c r="J656" s="358"/>
      <c r="K656" s="358"/>
      <c r="L656" s="358"/>
      <c r="M656" s="358"/>
      <c r="N656" s="358"/>
      <c r="O656" s="358"/>
      <c r="P656" s="358"/>
      <c r="Q656" s="358"/>
      <c r="R656" s="358"/>
      <c r="S656" s="358"/>
      <c r="T656" s="358"/>
      <c r="U656" s="358"/>
      <c r="V656" s="358"/>
      <c r="W656" s="358"/>
      <c r="X656" s="358"/>
      <c r="Y656" s="358"/>
      <c r="Z656" s="358"/>
    </row>
    <row r="657" spans="1:26" ht="15.75" customHeight="1" x14ac:dyDescent="0.25">
      <c r="A657" s="358"/>
      <c r="B657" s="358"/>
      <c r="C657" s="358"/>
      <c r="D657" s="358"/>
      <c r="E657" s="358"/>
      <c r="F657" s="358"/>
      <c r="G657" s="358"/>
      <c r="H657" s="358"/>
      <c r="I657" s="358"/>
      <c r="J657" s="358"/>
      <c r="K657" s="358"/>
      <c r="L657" s="358"/>
      <c r="M657" s="358"/>
      <c r="N657" s="358"/>
      <c r="O657" s="358"/>
      <c r="P657" s="358"/>
      <c r="Q657" s="358"/>
      <c r="R657" s="358"/>
      <c r="S657" s="358"/>
      <c r="T657" s="358"/>
      <c r="U657" s="358"/>
      <c r="V657" s="358"/>
      <c r="W657" s="358"/>
      <c r="X657" s="358"/>
      <c r="Y657" s="358"/>
      <c r="Z657" s="358"/>
    </row>
    <row r="658" spans="1:26" ht="15.75" customHeight="1" x14ac:dyDescent="0.25">
      <c r="A658" s="358"/>
      <c r="B658" s="358"/>
      <c r="C658" s="358"/>
      <c r="D658" s="358"/>
      <c r="E658" s="358"/>
      <c r="F658" s="358"/>
      <c r="G658" s="358"/>
      <c r="H658" s="358"/>
      <c r="I658" s="358"/>
      <c r="J658" s="358"/>
      <c r="K658" s="358"/>
      <c r="L658" s="358"/>
      <c r="M658" s="358"/>
      <c r="N658" s="358"/>
      <c r="O658" s="358"/>
      <c r="P658" s="358"/>
      <c r="Q658" s="358"/>
      <c r="R658" s="358"/>
      <c r="S658" s="358"/>
      <c r="T658" s="358"/>
      <c r="U658" s="358"/>
      <c r="V658" s="358"/>
      <c r="W658" s="358"/>
      <c r="X658" s="358"/>
      <c r="Y658" s="358"/>
      <c r="Z658" s="358"/>
    </row>
    <row r="659" spans="1:26" ht="15.75" customHeight="1" x14ac:dyDescent="0.25">
      <c r="A659" s="358"/>
      <c r="B659" s="358"/>
      <c r="C659" s="358"/>
      <c r="D659" s="358"/>
      <c r="E659" s="358"/>
      <c r="F659" s="358"/>
      <c r="G659" s="358"/>
      <c r="H659" s="358"/>
      <c r="I659" s="358"/>
      <c r="J659" s="358"/>
      <c r="K659" s="358"/>
      <c r="L659" s="358"/>
      <c r="M659" s="358"/>
      <c r="N659" s="358"/>
      <c r="O659" s="358"/>
      <c r="P659" s="358"/>
      <c r="Q659" s="358"/>
      <c r="R659" s="358"/>
      <c r="S659" s="358"/>
      <c r="T659" s="358"/>
      <c r="U659" s="358"/>
      <c r="V659" s="358"/>
      <c r="W659" s="358"/>
      <c r="X659" s="358"/>
      <c r="Y659" s="358"/>
      <c r="Z659" s="358"/>
    </row>
    <row r="660" spans="1:26" ht="15.75" customHeight="1" x14ac:dyDescent="0.25">
      <c r="A660" s="358"/>
      <c r="B660" s="358"/>
      <c r="C660" s="358"/>
      <c r="D660" s="358"/>
      <c r="E660" s="358"/>
      <c r="F660" s="358"/>
      <c r="G660" s="358"/>
      <c r="H660" s="358"/>
      <c r="I660" s="358"/>
      <c r="J660" s="358"/>
      <c r="K660" s="358"/>
      <c r="L660" s="358"/>
      <c r="M660" s="358"/>
      <c r="N660" s="358"/>
      <c r="O660" s="358"/>
      <c r="P660" s="358"/>
      <c r="Q660" s="358"/>
      <c r="R660" s="358"/>
      <c r="S660" s="358"/>
      <c r="T660" s="358"/>
      <c r="U660" s="358"/>
      <c r="V660" s="358"/>
      <c r="W660" s="358"/>
      <c r="X660" s="358"/>
      <c r="Y660" s="358"/>
      <c r="Z660" s="358"/>
    </row>
    <row r="661" spans="1:26" ht="15.75" customHeight="1" x14ac:dyDescent="0.25">
      <c r="A661" s="358"/>
      <c r="B661" s="358"/>
      <c r="C661" s="358"/>
      <c r="D661" s="358"/>
      <c r="E661" s="358"/>
      <c r="F661" s="358"/>
      <c r="G661" s="358"/>
      <c r="H661" s="358"/>
      <c r="I661" s="358"/>
      <c r="J661" s="358"/>
      <c r="K661" s="358"/>
      <c r="L661" s="358"/>
      <c r="M661" s="358"/>
      <c r="N661" s="358"/>
      <c r="O661" s="358"/>
      <c r="P661" s="358"/>
      <c r="Q661" s="358"/>
      <c r="R661" s="358"/>
      <c r="S661" s="358"/>
      <c r="T661" s="358"/>
      <c r="U661" s="358"/>
      <c r="V661" s="358"/>
      <c r="W661" s="358"/>
      <c r="X661" s="358"/>
      <c r="Y661" s="358"/>
      <c r="Z661" s="358"/>
    </row>
    <row r="662" spans="1:26" ht="15.75" customHeight="1" x14ac:dyDescent="0.25">
      <c r="A662" s="358"/>
      <c r="B662" s="358"/>
      <c r="C662" s="358"/>
      <c r="D662" s="358"/>
      <c r="E662" s="358"/>
      <c r="F662" s="358"/>
      <c r="G662" s="358"/>
      <c r="H662" s="358"/>
      <c r="I662" s="358"/>
      <c r="J662" s="358"/>
      <c r="K662" s="358"/>
      <c r="L662" s="358"/>
      <c r="M662" s="358"/>
      <c r="N662" s="358"/>
      <c r="O662" s="358"/>
      <c r="P662" s="358"/>
      <c r="Q662" s="358"/>
      <c r="R662" s="358"/>
      <c r="S662" s="358"/>
      <c r="T662" s="358"/>
      <c r="U662" s="358"/>
      <c r="V662" s="358"/>
      <c r="W662" s="358"/>
      <c r="X662" s="358"/>
      <c r="Y662" s="358"/>
      <c r="Z662" s="358"/>
    </row>
    <row r="663" spans="1:26" ht="15.75" customHeight="1" x14ac:dyDescent="0.25">
      <c r="A663" s="358"/>
      <c r="B663" s="358"/>
      <c r="C663" s="358"/>
      <c r="D663" s="358"/>
      <c r="E663" s="358"/>
      <c r="F663" s="358"/>
      <c r="G663" s="358"/>
      <c r="H663" s="358"/>
      <c r="I663" s="358"/>
      <c r="J663" s="358"/>
      <c r="K663" s="358"/>
      <c r="L663" s="358"/>
      <c r="M663" s="358"/>
      <c r="N663" s="358"/>
      <c r="O663" s="358"/>
      <c r="P663" s="358"/>
      <c r="Q663" s="358"/>
      <c r="R663" s="358"/>
      <c r="S663" s="358"/>
      <c r="T663" s="358"/>
      <c r="U663" s="358"/>
      <c r="V663" s="358"/>
      <c r="W663" s="358"/>
      <c r="X663" s="358"/>
      <c r="Y663" s="358"/>
      <c r="Z663" s="358"/>
    </row>
    <row r="664" spans="1:26" ht="15.75" customHeight="1" x14ac:dyDescent="0.25">
      <c r="A664" s="358"/>
      <c r="B664" s="358"/>
      <c r="C664" s="358"/>
      <c r="D664" s="358"/>
      <c r="E664" s="358"/>
      <c r="F664" s="358"/>
      <c r="G664" s="358"/>
      <c r="H664" s="358"/>
      <c r="I664" s="358"/>
      <c r="J664" s="358"/>
      <c r="K664" s="358"/>
      <c r="L664" s="358"/>
      <c r="M664" s="358"/>
      <c r="N664" s="358"/>
      <c r="O664" s="358"/>
      <c r="P664" s="358"/>
      <c r="Q664" s="358"/>
      <c r="R664" s="358"/>
      <c r="S664" s="358"/>
      <c r="T664" s="358"/>
      <c r="U664" s="358"/>
      <c r="V664" s="358"/>
      <c r="W664" s="358"/>
      <c r="X664" s="358"/>
      <c r="Y664" s="358"/>
      <c r="Z664" s="358"/>
    </row>
    <row r="665" spans="1:26" ht="15.75" customHeight="1" x14ac:dyDescent="0.25">
      <c r="A665" s="358"/>
      <c r="B665" s="358"/>
      <c r="C665" s="358"/>
      <c r="D665" s="358"/>
      <c r="E665" s="358"/>
      <c r="F665" s="358"/>
      <c r="G665" s="358"/>
      <c r="H665" s="358"/>
      <c r="I665" s="358"/>
      <c r="J665" s="358"/>
      <c r="K665" s="358"/>
      <c r="L665" s="358"/>
      <c r="M665" s="358"/>
      <c r="N665" s="358"/>
      <c r="O665" s="358"/>
      <c r="P665" s="358"/>
      <c r="Q665" s="358"/>
      <c r="R665" s="358"/>
      <c r="S665" s="358"/>
      <c r="T665" s="358"/>
      <c r="U665" s="358"/>
      <c r="V665" s="358"/>
      <c r="W665" s="358"/>
      <c r="X665" s="358"/>
      <c r="Y665" s="358"/>
      <c r="Z665" s="358"/>
    </row>
    <row r="666" spans="1:26" ht="15.75" customHeight="1" x14ac:dyDescent="0.25">
      <c r="A666" s="358"/>
      <c r="B666" s="358"/>
      <c r="C666" s="358"/>
      <c r="D666" s="358"/>
      <c r="E666" s="358"/>
      <c r="F666" s="358"/>
      <c r="G666" s="358"/>
      <c r="H666" s="358"/>
      <c r="I666" s="358"/>
      <c r="J666" s="358"/>
      <c r="K666" s="358"/>
      <c r="L666" s="358"/>
      <c r="M666" s="358"/>
      <c r="N666" s="358"/>
      <c r="O666" s="358"/>
      <c r="P666" s="358"/>
      <c r="Q666" s="358"/>
      <c r="R666" s="358"/>
      <c r="S666" s="358"/>
      <c r="T666" s="358"/>
      <c r="U666" s="358"/>
      <c r="V666" s="358"/>
      <c r="W666" s="358"/>
      <c r="X666" s="358"/>
      <c r="Y666" s="358"/>
      <c r="Z666" s="358"/>
    </row>
    <row r="667" spans="1:26" ht="15.75" customHeight="1" x14ac:dyDescent="0.25">
      <c r="A667" s="358"/>
      <c r="B667" s="358"/>
      <c r="C667" s="358"/>
      <c r="D667" s="358"/>
      <c r="E667" s="358"/>
      <c r="F667" s="358"/>
      <c r="G667" s="358"/>
      <c r="H667" s="358"/>
      <c r="I667" s="358"/>
      <c r="J667" s="358"/>
      <c r="K667" s="358"/>
      <c r="L667" s="358"/>
      <c r="M667" s="358"/>
      <c r="N667" s="358"/>
      <c r="O667" s="358"/>
      <c r="P667" s="358"/>
      <c r="Q667" s="358"/>
      <c r="R667" s="358"/>
      <c r="S667" s="358"/>
      <c r="T667" s="358"/>
      <c r="U667" s="358"/>
      <c r="V667" s="358"/>
      <c r="W667" s="358"/>
      <c r="X667" s="358"/>
      <c r="Y667" s="358"/>
      <c r="Z667" s="358"/>
    </row>
    <row r="668" spans="1:26" ht="15.75" customHeight="1" x14ac:dyDescent="0.25">
      <c r="A668" s="358"/>
      <c r="B668" s="358"/>
      <c r="C668" s="358"/>
      <c r="D668" s="358"/>
      <c r="E668" s="358"/>
      <c r="F668" s="358"/>
      <c r="G668" s="358"/>
      <c r="H668" s="358"/>
      <c r="I668" s="358"/>
      <c r="J668" s="358"/>
      <c r="K668" s="358"/>
      <c r="L668" s="358"/>
      <c r="M668" s="358"/>
      <c r="N668" s="358"/>
      <c r="O668" s="358"/>
      <c r="P668" s="358"/>
      <c r="Q668" s="358"/>
      <c r="R668" s="358"/>
      <c r="S668" s="358"/>
      <c r="T668" s="358"/>
      <c r="U668" s="358"/>
      <c r="V668" s="358"/>
      <c r="W668" s="358"/>
      <c r="X668" s="358"/>
      <c r="Y668" s="358"/>
      <c r="Z668" s="358"/>
    </row>
    <row r="669" spans="1:26" ht="15.75" customHeight="1" x14ac:dyDescent="0.25">
      <c r="A669" s="358"/>
      <c r="B669" s="358"/>
      <c r="C669" s="358"/>
      <c r="D669" s="358"/>
      <c r="E669" s="358"/>
      <c r="F669" s="358"/>
      <c r="G669" s="358"/>
      <c r="H669" s="358"/>
      <c r="I669" s="358"/>
      <c r="J669" s="358"/>
      <c r="K669" s="358"/>
      <c r="L669" s="358"/>
      <c r="M669" s="358"/>
      <c r="N669" s="358"/>
      <c r="O669" s="358"/>
      <c r="P669" s="358"/>
      <c r="Q669" s="358"/>
      <c r="R669" s="358"/>
      <c r="S669" s="358"/>
      <c r="T669" s="358"/>
      <c r="U669" s="358"/>
      <c r="V669" s="358"/>
      <c r="W669" s="358"/>
      <c r="X669" s="358"/>
      <c r="Y669" s="358"/>
      <c r="Z669" s="358"/>
    </row>
    <row r="670" spans="1:26" ht="15.75" customHeight="1" x14ac:dyDescent="0.25">
      <c r="A670" s="358"/>
      <c r="B670" s="358"/>
      <c r="C670" s="358"/>
      <c r="D670" s="358"/>
      <c r="E670" s="358"/>
      <c r="F670" s="358"/>
      <c r="G670" s="358"/>
      <c r="H670" s="358"/>
      <c r="I670" s="358"/>
      <c r="J670" s="358"/>
      <c r="K670" s="358"/>
      <c r="L670" s="358"/>
      <c r="M670" s="358"/>
      <c r="N670" s="358"/>
      <c r="O670" s="358"/>
      <c r="P670" s="358"/>
      <c r="Q670" s="358"/>
      <c r="R670" s="358"/>
      <c r="S670" s="358"/>
      <c r="T670" s="358"/>
      <c r="U670" s="358"/>
      <c r="V670" s="358"/>
      <c r="W670" s="358"/>
      <c r="X670" s="358"/>
      <c r="Y670" s="358"/>
      <c r="Z670" s="358"/>
    </row>
    <row r="671" spans="1:26" ht="15.75" customHeight="1" x14ac:dyDescent="0.25">
      <c r="A671" s="358"/>
      <c r="B671" s="358"/>
      <c r="C671" s="358"/>
      <c r="D671" s="358"/>
      <c r="E671" s="358"/>
      <c r="F671" s="358"/>
      <c r="G671" s="358"/>
      <c r="H671" s="358"/>
      <c r="I671" s="358"/>
      <c r="J671" s="358"/>
      <c r="K671" s="358"/>
      <c r="L671" s="358"/>
      <c r="M671" s="358"/>
      <c r="N671" s="358"/>
      <c r="O671" s="358"/>
      <c r="P671" s="358"/>
      <c r="Q671" s="358"/>
      <c r="R671" s="358"/>
      <c r="S671" s="358"/>
      <c r="T671" s="358"/>
      <c r="U671" s="358"/>
      <c r="V671" s="358"/>
      <c r="W671" s="358"/>
      <c r="X671" s="358"/>
      <c r="Y671" s="358"/>
      <c r="Z671" s="358"/>
    </row>
    <row r="672" spans="1:26" ht="15.75" customHeight="1" x14ac:dyDescent="0.25">
      <c r="A672" s="358"/>
      <c r="B672" s="358"/>
      <c r="C672" s="358"/>
      <c r="D672" s="358"/>
      <c r="E672" s="358"/>
      <c r="F672" s="358"/>
      <c r="G672" s="358"/>
      <c r="H672" s="358"/>
      <c r="I672" s="358"/>
      <c r="J672" s="358"/>
      <c r="K672" s="358"/>
      <c r="L672" s="358"/>
      <c r="M672" s="358"/>
      <c r="N672" s="358"/>
      <c r="O672" s="358"/>
      <c r="P672" s="358"/>
      <c r="Q672" s="358"/>
      <c r="R672" s="358"/>
      <c r="S672" s="358"/>
      <c r="T672" s="358"/>
      <c r="U672" s="358"/>
      <c r="V672" s="358"/>
      <c r="W672" s="358"/>
      <c r="X672" s="358"/>
      <c r="Y672" s="358"/>
      <c r="Z672" s="358"/>
    </row>
    <row r="673" spans="1:26" ht="15.75" customHeight="1" x14ac:dyDescent="0.25">
      <c r="A673" s="358"/>
      <c r="B673" s="358"/>
      <c r="C673" s="358"/>
      <c r="D673" s="358"/>
      <c r="E673" s="358"/>
      <c r="F673" s="358"/>
      <c r="G673" s="358"/>
      <c r="H673" s="358"/>
      <c r="I673" s="358"/>
      <c r="J673" s="358"/>
      <c r="K673" s="358"/>
      <c r="L673" s="358"/>
      <c r="M673" s="358"/>
      <c r="N673" s="358"/>
      <c r="O673" s="358"/>
      <c r="P673" s="358"/>
      <c r="Q673" s="358"/>
      <c r="R673" s="358"/>
      <c r="S673" s="358"/>
      <c r="T673" s="358"/>
      <c r="U673" s="358"/>
      <c r="V673" s="358"/>
      <c r="W673" s="358"/>
      <c r="X673" s="358"/>
      <c r="Y673" s="358"/>
      <c r="Z673" s="358"/>
    </row>
    <row r="674" spans="1:26" ht="15.75" customHeight="1" x14ac:dyDescent="0.25">
      <c r="A674" s="358"/>
      <c r="B674" s="358"/>
      <c r="C674" s="358"/>
      <c r="D674" s="358"/>
      <c r="E674" s="358"/>
      <c r="F674" s="358"/>
      <c r="G674" s="358"/>
      <c r="H674" s="358"/>
      <c r="I674" s="358"/>
      <c r="J674" s="358"/>
      <c r="K674" s="358"/>
      <c r="L674" s="358"/>
      <c r="M674" s="358"/>
      <c r="N674" s="358"/>
      <c r="O674" s="358"/>
      <c r="P674" s="358"/>
      <c r="Q674" s="358"/>
      <c r="R674" s="358"/>
      <c r="S674" s="358"/>
      <c r="T674" s="358"/>
      <c r="U674" s="358"/>
      <c r="V674" s="358"/>
      <c r="W674" s="358"/>
      <c r="X674" s="358"/>
      <c r="Y674" s="358"/>
      <c r="Z674" s="358"/>
    </row>
    <row r="675" spans="1:26" ht="15.75" customHeight="1" x14ac:dyDescent="0.25">
      <c r="A675" s="358"/>
      <c r="B675" s="358"/>
      <c r="C675" s="358"/>
      <c r="D675" s="358"/>
      <c r="E675" s="358"/>
      <c r="F675" s="358"/>
      <c r="G675" s="358"/>
      <c r="H675" s="358"/>
      <c r="I675" s="358"/>
      <c r="J675" s="358"/>
      <c r="K675" s="358"/>
      <c r="L675" s="358"/>
      <c r="M675" s="358"/>
      <c r="N675" s="358"/>
      <c r="O675" s="358"/>
      <c r="P675" s="358"/>
      <c r="Q675" s="358"/>
      <c r="R675" s="358"/>
      <c r="S675" s="358"/>
      <c r="T675" s="358"/>
      <c r="U675" s="358"/>
      <c r="V675" s="358"/>
      <c r="W675" s="358"/>
      <c r="X675" s="358"/>
      <c r="Y675" s="358"/>
      <c r="Z675" s="358"/>
    </row>
    <row r="676" spans="1:26" ht="15.75" customHeight="1" x14ac:dyDescent="0.25">
      <c r="A676" s="358"/>
      <c r="B676" s="358"/>
      <c r="C676" s="358"/>
      <c r="D676" s="358"/>
      <c r="E676" s="358"/>
      <c r="F676" s="358"/>
      <c r="G676" s="358"/>
      <c r="H676" s="358"/>
      <c r="I676" s="358"/>
      <c r="J676" s="358"/>
      <c r="K676" s="358"/>
      <c r="L676" s="358"/>
      <c r="M676" s="358"/>
      <c r="N676" s="358"/>
      <c r="O676" s="358"/>
      <c r="P676" s="358"/>
      <c r="Q676" s="358"/>
      <c r="R676" s="358"/>
      <c r="S676" s="358"/>
      <c r="T676" s="358"/>
      <c r="U676" s="358"/>
      <c r="V676" s="358"/>
      <c r="W676" s="358"/>
      <c r="X676" s="358"/>
      <c r="Y676" s="358"/>
      <c r="Z676" s="358"/>
    </row>
    <row r="677" spans="1:26" ht="15.75" customHeight="1" x14ac:dyDescent="0.25">
      <c r="A677" s="358"/>
      <c r="B677" s="358"/>
      <c r="C677" s="358"/>
      <c r="D677" s="358"/>
      <c r="E677" s="358"/>
      <c r="F677" s="358"/>
      <c r="G677" s="358"/>
      <c r="H677" s="358"/>
      <c r="I677" s="358"/>
      <c r="J677" s="358"/>
      <c r="K677" s="358"/>
      <c r="L677" s="358"/>
      <c r="M677" s="358"/>
      <c r="N677" s="358"/>
      <c r="O677" s="358"/>
      <c r="P677" s="358"/>
      <c r="Q677" s="358"/>
      <c r="R677" s="358"/>
      <c r="S677" s="358"/>
      <c r="T677" s="358"/>
      <c r="U677" s="358"/>
      <c r="V677" s="358"/>
      <c r="W677" s="358"/>
      <c r="X677" s="358"/>
      <c r="Y677" s="358"/>
      <c r="Z677" s="358"/>
    </row>
    <row r="678" spans="1:26" ht="15.75" customHeight="1" x14ac:dyDescent="0.25">
      <c r="A678" s="358"/>
      <c r="B678" s="358"/>
      <c r="C678" s="358"/>
      <c r="D678" s="358"/>
      <c r="E678" s="358"/>
      <c r="F678" s="358"/>
      <c r="G678" s="358"/>
      <c r="H678" s="358"/>
      <c r="I678" s="358"/>
      <c r="J678" s="358"/>
      <c r="K678" s="358"/>
      <c r="L678" s="358"/>
      <c r="M678" s="358"/>
      <c r="N678" s="358"/>
      <c r="O678" s="358"/>
      <c r="P678" s="358"/>
      <c r="Q678" s="358"/>
      <c r="R678" s="358"/>
      <c r="S678" s="358"/>
      <c r="T678" s="358"/>
      <c r="U678" s="358"/>
      <c r="V678" s="358"/>
      <c r="W678" s="358"/>
      <c r="X678" s="358"/>
      <c r="Y678" s="358"/>
      <c r="Z678" s="358"/>
    </row>
    <row r="679" spans="1:26" ht="15.75" customHeight="1" x14ac:dyDescent="0.25">
      <c r="A679" s="358"/>
      <c r="B679" s="358"/>
      <c r="C679" s="358"/>
      <c r="D679" s="358"/>
      <c r="E679" s="358"/>
      <c r="F679" s="358"/>
      <c r="G679" s="358"/>
      <c r="H679" s="358"/>
      <c r="I679" s="358"/>
      <c r="J679" s="358"/>
      <c r="K679" s="358"/>
      <c r="L679" s="358"/>
      <c r="M679" s="358"/>
      <c r="N679" s="358"/>
      <c r="O679" s="358"/>
      <c r="P679" s="358"/>
      <c r="Q679" s="358"/>
      <c r="R679" s="358"/>
      <c r="S679" s="358"/>
      <c r="T679" s="358"/>
      <c r="U679" s="358"/>
      <c r="V679" s="358"/>
      <c r="W679" s="358"/>
      <c r="X679" s="358"/>
      <c r="Y679" s="358"/>
      <c r="Z679" s="358"/>
    </row>
    <row r="680" spans="1:26" ht="15.75" customHeight="1" x14ac:dyDescent="0.25">
      <c r="A680" s="358"/>
      <c r="B680" s="358"/>
      <c r="C680" s="358"/>
      <c r="D680" s="358"/>
      <c r="E680" s="358"/>
      <c r="F680" s="358"/>
      <c r="G680" s="358"/>
      <c r="H680" s="358"/>
      <c r="I680" s="358"/>
      <c r="J680" s="358"/>
      <c r="K680" s="358"/>
      <c r="L680" s="358"/>
      <c r="M680" s="358"/>
      <c r="N680" s="358"/>
      <c r="O680" s="358"/>
      <c r="P680" s="358"/>
      <c r="Q680" s="358"/>
      <c r="R680" s="358"/>
      <c r="S680" s="358"/>
      <c r="T680" s="358"/>
      <c r="U680" s="358"/>
      <c r="V680" s="358"/>
      <c r="W680" s="358"/>
      <c r="X680" s="358"/>
      <c r="Y680" s="358"/>
      <c r="Z680" s="358"/>
    </row>
    <row r="681" spans="1:26" ht="15.75" customHeight="1" x14ac:dyDescent="0.25">
      <c r="A681" s="358"/>
      <c r="B681" s="358"/>
      <c r="C681" s="358"/>
      <c r="D681" s="358"/>
      <c r="E681" s="358"/>
      <c r="F681" s="358"/>
      <c r="G681" s="358"/>
      <c r="H681" s="358"/>
      <c r="I681" s="358"/>
      <c r="J681" s="358"/>
      <c r="K681" s="358"/>
      <c r="L681" s="358"/>
      <c r="M681" s="358"/>
      <c r="N681" s="358"/>
      <c r="O681" s="358"/>
      <c r="P681" s="358"/>
      <c r="Q681" s="358"/>
      <c r="R681" s="358"/>
      <c r="S681" s="358"/>
      <c r="T681" s="358"/>
      <c r="U681" s="358"/>
      <c r="V681" s="358"/>
      <c r="W681" s="358"/>
      <c r="X681" s="358"/>
      <c r="Y681" s="358"/>
      <c r="Z681" s="358"/>
    </row>
    <row r="682" spans="1:26" ht="15.75" customHeight="1" x14ac:dyDescent="0.25">
      <c r="A682" s="358"/>
      <c r="B682" s="358"/>
      <c r="C682" s="358"/>
      <c r="D682" s="358"/>
      <c r="E682" s="358"/>
      <c r="F682" s="358"/>
      <c r="G682" s="358"/>
      <c r="H682" s="358"/>
      <c r="I682" s="358"/>
      <c r="J682" s="358"/>
      <c r="K682" s="358"/>
      <c r="L682" s="358"/>
      <c r="M682" s="358"/>
      <c r="N682" s="358"/>
      <c r="O682" s="358"/>
      <c r="P682" s="358"/>
      <c r="Q682" s="358"/>
      <c r="R682" s="358"/>
      <c r="S682" s="358"/>
      <c r="T682" s="358"/>
      <c r="U682" s="358"/>
      <c r="V682" s="358"/>
      <c r="W682" s="358"/>
      <c r="X682" s="358"/>
      <c r="Y682" s="358"/>
      <c r="Z682" s="358"/>
    </row>
    <row r="683" spans="1:26" ht="15.75" customHeight="1" x14ac:dyDescent="0.25">
      <c r="A683" s="358"/>
      <c r="B683" s="358"/>
      <c r="C683" s="358"/>
      <c r="D683" s="358"/>
      <c r="E683" s="358"/>
      <c r="F683" s="358"/>
      <c r="G683" s="358"/>
      <c r="H683" s="358"/>
      <c r="I683" s="358"/>
      <c r="J683" s="358"/>
      <c r="K683" s="358"/>
      <c r="L683" s="358"/>
      <c r="M683" s="358"/>
      <c r="N683" s="358"/>
      <c r="O683" s="358"/>
      <c r="P683" s="358"/>
      <c r="Q683" s="358"/>
      <c r="R683" s="358"/>
      <c r="S683" s="358"/>
      <c r="T683" s="358"/>
      <c r="U683" s="358"/>
      <c r="V683" s="358"/>
      <c r="W683" s="358"/>
      <c r="X683" s="358"/>
      <c r="Y683" s="358"/>
      <c r="Z683" s="358"/>
    </row>
    <row r="684" spans="1:26" ht="15.75" customHeight="1" x14ac:dyDescent="0.25">
      <c r="A684" s="358"/>
      <c r="B684" s="358"/>
      <c r="C684" s="358"/>
      <c r="D684" s="358"/>
      <c r="E684" s="358"/>
      <c r="F684" s="358"/>
      <c r="G684" s="358"/>
      <c r="H684" s="358"/>
      <c r="I684" s="358"/>
      <c r="J684" s="358"/>
      <c r="K684" s="358"/>
      <c r="L684" s="358"/>
      <c r="M684" s="358"/>
      <c r="N684" s="358"/>
      <c r="O684" s="358"/>
      <c r="P684" s="358"/>
      <c r="Q684" s="358"/>
      <c r="R684" s="358"/>
      <c r="S684" s="358"/>
      <c r="T684" s="358"/>
      <c r="U684" s="358"/>
      <c r="V684" s="358"/>
      <c r="W684" s="358"/>
      <c r="X684" s="358"/>
      <c r="Y684" s="358"/>
      <c r="Z684" s="358"/>
    </row>
    <row r="685" spans="1:26" ht="15.75" customHeight="1" x14ac:dyDescent="0.25">
      <c r="A685" s="358"/>
      <c r="B685" s="358"/>
      <c r="C685" s="358"/>
      <c r="D685" s="358"/>
      <c r="E685" s="358"/>
      <c r="F685" s="358"/>
      <c r="G685" s="358"/>
      <c r="H685" s="358"/>
      <c r="I685" s="358"/>
      <c r="J685" s="358"/>
      <c r="K685" s="358"/>
      <c r="L685" s="358"/>
      <c r="M685" s="358"/>
      <c r="N685" s="358"/>
      <c r="O685" s="358"/>
      <c r="P685" s="358"/>
      <c r="Q685" s="358"/>
      <c r="R685" s="358"/>
      <c r="S685" s="358"/>
      <c r="T685" s="358"/>
      <c r="U685" s="358"/>
      <c r="V685" s="358"/>
      <c r="W685" s="358"/>
      <c r="X685" s="358"/>
      <c r="Y685" s="358"/>
      <c r="Z685" s="358"/>
    </row>
    <row r="686" spans="1:26" ht="15.75" customHeight="1" x14ac:dyDescent="0.25">
      <c r="A686" s="358"/>
      <c r="B686" s="358"/>
      <c r="C686" s="358"/>
      <c r="D686" s="358"/>
      <c r="E686" s="358"/>
      <c r="F686" s="358"/>
      <c r="G686" s="358"/>
      <c r="H686" s="358"/>
      <c r="I686" s="358"/>
      <c r="J686" s="358"/>
      <c r="K686" s="358"/>
      <c r="L686" s="358"/>
      <c r="M686" s="358"/>
      <c r="N686" s="358"/>
      <c r="O686" s="358"/>
      <c r="P686" s="358"/>
      <c r="Q686" s="358"/>
      <c r="R686" s="358"/>
      <c r="S686" s="358"/>
      <c r="T686" s="358"/>
      <c r="U686" s="358"/>
      <c r="V686" s="358"/>
      <c r="W686" s="358"/>
      <c r="X686" s="358"/>
      <c r="Y686" s="358"/>
      <c r="Z686" s="358"/>
    </row>
    <row r="687" spans="1:26" ht="15.75" customHeight="1" x14ac:dyDescent="0.25">
      <c r="A687" s="358"/>
      <c r="B687" s="358"/>
      <c r="C687" s="358"/>
      <c r="D687" s="358"/>
      <c r="E687" s="358"/>
      <c r="F687" s="358"/>
      <c r="G687" s="358"/>
      <c r="H687" s="358"/>
      <c r="I687" s="358"/>
      <c r="J687" s="358"/>
      <c r="K687" s="358"/>
      <c r="L687" s="358"/>
      <c r="M687" s="358"/>
      <c r="N687" s="358"/>
      <c r="O687" s="358"/>
      <c r="P687" s="358"/>
      <c r="Q687" s="358"/>
      <c r="R687" s="358"/>
      <c r="S687" s="358"/>
      <c r="T687" s="358"/>
      <c r="U687" s="358"/>
      <c r="V687" s="358"/>
      <c r="W687" s="358"/>
      <c r="X687" s="358"/>
      <c r="Y687" s="358"/>
      <c r="Z687" s="358"/>
    </row>
    <row r="688" spans="1:26" ht="15.75" customHeight="1" x14ac:dyDescent="0.25">
      <c r="A688" s="358"/>
      <c r="B688" s="358"/>
      <c r="C688" s="358"/>
      <c r="D688" s="358"/>
      <c r="E688" s="358"/>
      <c r="F688" s="358"/>
      <c r="G688" s="358"/>
      <c r="H688" s="358"/>
      <c r="I688" s="358"/>
      <c r="J688" s="358"/>
      <c r="K688" s="358"/>
      <c r="L688" s="358"/>
      <c r="M688" s="358"/>
      <c r="N688" s="358"/>
      <c r="O688" s="358"/>
      <c r="P688" s="358"/>
      <c r="Q688" s="358"/>
      <c r="R688" s="358"/>
      <c r="S688" s="358"/>
      <c r="T688" s="358"/>
      <c r="U688" s="358"/>
      <c r="V688" s="358"/>
      <c r="W688" s="358"/>
      <c r="X688" s="358"/>
      <c r="Y688" s="358"/>
      <c r="Z688" s="358"/>
    </row>
    <row r="689" spans="1:26" ht="15.75" customHeight="1" x14ac:dyDescent="0.25">
      <c r="A689" s="358"/>
      <c r="B689" s="358"/>
      <c r="C689" s="358"/>
      <c r="D689" s="358"/>
      <c r="E689" s="358"/>
      <c r="F689" s="358"/>
      <c r="G689" s="358"/>
      <c r="H689" s="358"/>
      <c r="I689" s="358"/>
      <c r="J689" s="358"/>
      <c r="K689" s="358"/>
      <c r="L689" s="358"/>
      <c r="M689" s="358"/>
      <c r="N689" s="358"/>
      <c r="O689" s="358"/>
      <c r="P689" s="358"/>
      <c r="Q689" s="358"/>
      <c r="R689" s="358"/>
      <c r="S689" s="358"/>
      <c r="T689" s="358"/>
      <c r="U689" s="358"/>
      <c r="V689" s="358"/>
      <c r="W689" s="358"/>
      <c r="X689" s="358"/>
      <c r="Y689" s="358"/>
      <c r="Z689" s="358"/>
    </row>
    <row r="690" spans="1:26" ht="15.75" customHeight="1" x14ac:dyDescent="0.25">
      <c r="A690" s="358"/>
      <c r="B690" s="358"/>
      <c r="C690" s="358"/>
      <c r="D690" s="358"/>
      <c r="E690" s="358"/>
      <c r="F690" s="358"/>
      <c r="G690" s="358"/>
      <c r="H690" s="358"/>
      <c r="I690" s="358"/>
      <c r="J690" s="358"/>
      <c r="K690" s="358"/>
      <c r="L690" s="358"/>
      <c r="M690" s="358"/>
      <c r="N690" s="358"/>
      <c r="O690" s="358"/>
      <c r="P690" s="358"/>
      <c r="Q690" s="358"/>
      <c r="R690" s="358"/>
      <c r="S690" s="358"/>
      <c r="T690" s="358"/>
      <c r="U690" s="358"/>
      <c r="V690" s="358"/>
      <c r="W690" s="358"/>
      <c r="X690" s="358"/>
      <c r="Y690" s="358"/>
      <c r="Z690" s="358"/>
    </row>
    <row r="691" spans="1:26" ht="15.75" customHeight="1" x14ac:dyDescent="0.25">
      <c r="A691" s="358"/>
      <c r="B691" s="358"/>
      <c r="C691" s="358"/>
      <c r="D691" s="358"/>
      <c r="E691" s="358"/>
      <c r="F691" s="358"/>
      <c r="G691" s="358"/>
      <c r="H691" s="358"/>
      <c r="I691" s="358"/>
      <c r="J691" s="358"/>
      <c r="K691" s="358"/>
      <c r="L691" s="358"/>
      <c r="M691" s="358"/>
      <c r="N691" s="358"/>
      <c r="O691" s="358"/>
      <c r="P691" s="358"/>
      <c r="Q691" s="358"/>
      <c r="R691" s="358"/>
      <c r="S691" s="358"/>
      <c r="T691" s="358"/>
      <c r="U691" s="358"/>
      <c r="V691" s="358"/>
      <c r="W691" s="358"/>
      <c r="X691" s="358"/>
      <c r="Y691" s="358"/>
      <c r="Z691" s="358"/>
    </row>
    <row r="692" spans="1:26" ht="15.75" customHeight="1" x14ac:dyDescent="0.25">
      <c r="A692" s="358"/>
      <c r="B692" s="358"/>
      <c r="C692" s="358"/>
      <c r="D692" s="358"/>
      <c r="E692" s="358"/>
      <c r="F692" s="358"/>
      <c r="G692" s="358"/>
      <c r="H692" s="358"/>
      <c r="I692" s="358"/>
      <c r="J692" s="358"/>
      <c r="K692" s="358"/>
      <c r="L692" s="358"/>
      <c r="M692" s="358"/>
      <c r="N692" s="358"/>
      <c r="O692" s="358"/>
      <c r="P692" s="358"/>
      <c r="Q692" s="358"/>
      <c r="R692" s="358"/>
      <c r="S692" s="358"/>
      <c r="T692" s="358"/>
      <c r="U692" s="358"/>
      <c r="V692" s="358"/>
      <c r="W692" s="358"/>
      <c r="X692" s="358"/>
      <c r="Y692" s="358"/>
      <c r="Z692" s="358"/>
    </row>
    <row r="693" spans="1:26" ht="15.75" customHeight="1" x14ac:dyDescent="0.25">
      <c r="A693" s="358"/>
      <c r="B693" s="358"/>
      <c r="C693" s="358"/>
      <c r="D693" s="358"/>
      <c r="E693" s="358"/>
      <c r="F693" s="358"/>
      <c r="G693" s="358"/>
      <c r="H693" s="358"/>
      <c r="I693" s="358"/>
      <c r="J693" s="358"/>
      <c r="K693" s="358"/>
      <c r="L693" s="358"/>
      <c r="M693" s="358"/>
      <c r="N693" s="358"/>
      <c r="O693" s="358"/>
      <c r="P693" s="358"/>
      <c r="Q693" s="358"/>
      <c r="R693" s="358"/>
      <c r="S693" s="358"/>
      <c r="T693" s="358"/>
      <c r="U693" s="358"/>
      <c r="V693" s="358"/>
      <c r="W693" s="358"/>
      <c r="X693" s="358"/>
      <c r="Y693" s="358"/>
      <c r="Z693" s="358"/>
    </row>
    <row r="694" spans="1:26" ht="15.75" customHeight="1" x14ac:dyDescent="0.25">
      <c r="A694" s="358"/>
      <c r="B694" s="358"/>
      <c r="C694" s="358"/>
      <c r="D694" s="358"/>
      <c r="E694" s="358"/>
      <c r="F694" s="358"/>
      <c r="G694" s="358"/>
      <c r="H694" s="358"/>
      <c r="I694" s="358"/>
      <c r="J694" s="358"/>
      <c r="K694" s="358"/>
      <c r="L694" s="358"/>
      <c r="M694" s="358"/>
      <c r="N694" s="358"/>
      <c r="O694" s="358"/>
      <c r="P694" s="358"/>
      <c r="Q694" s="358"/>
      <c r="R694" s="358"/>
      <c r="S694" s="358"/>
      <c r="T694" s="358"/>
      <c r="U694" s="358"/>
      <c r="V694" s="358"/>
      <c r="W694" s="358"/>
      <c r="X694" s="358"/>
      <c r="Y694" s="358"/>
      <c r="Z694" s="358"/>
    </row>
    <row r="695" spans="1:26" ht="15.75" customHeight="1" x14ac:dyDescent="0.25">
      <c r="A695" s="358"/>
      <c r="B695" s="358"/>
      <c r="C695" s="358"/>
      <c r="D695" s="358"/>
      <c r="E695" s="358"/>
      <c r="F695" s="358"/>
      <c r="G695" s="358"/>
      <c r="H695" s="358"/>
      <c r="I695" s="358"/>
      <c r="J695" s="358"/>
      <c r="K695" s="358"/>
      <c r="L695" s="358"/>
      <c r="M695" s="358"/>
      <c r="N695" s="358"/>
      <c r="O695" s="358"/>
      <c r="P695" s="358"/>
      <c r="Q695" s="358"/>
      <c r="R695" s="358"/>
      <c r="S695" s="358"/>
      <c r="T695" s="358"/>
      <c r="U695" s="358"/>
      <c r="V695" s="358"/>
      <c r="W695" s="358"/>
      <c r="X695" s="358"/>
      <c r="Y695" s="358"/>
      <c r="Z695" s="358"/>
    </row>
    <row r="696" spans="1:26" ht="15.75" customHeight="1" x14ac:dyDescent="0.25">
      <c r="A696" s="358"/>
      <c r="B696" s="358"/>
      <c r="C696" s="358"/>
      <c r="D696" s="358"/>
      <c r="E696" s="358"/>
      <c r="F696" s="358"/>
      <c r="G696" s="358"/>
      <c r="H696" s="358"/>
      <c r="I696" s="358"/>
      <c r="J696" s="358"/>
      <c r="K696" s="358"/>
      <c r="L696" s="358"/>
      <c r="M696" s="358"/>
      <c r="N696" s="358"/>
      <c r="O696" s="358"/>
      <c r="P696" s="358"/>
      <c r="Q696" s="358"/>
      <c r="R696" s="358"/>
      <c r="S696" s="358"/>
      <c r="T696" s="358"/>
      <c r="U696" s="358"/>
      <c r="V696" s="358"/>
      <c r="W696" s="358"/>
      <c r="X696" s="358"/>
      <c r="Y696" s="358"/>
      <c r="Z696" s="358"/>
    </row>
    <row r="697" spans="1:26" ht="15.75" customHeight="1" x14ac:dyDescent="0.25">
      <c r="A697" s="358"/>
      <c r="B697" s="358"/>
      <c r="C697" s="358"/>
      <c r="D697" s="358"/>
      <c r="E697" s="358"/>
      <c r="F697" s="358"/>
      <c r="G697" s="358"/>
      <c r="H697" s="358"/>
      <c r="I697" s="358"/>
      <c r="J697" s="358"/>
      <c r="K697" s="358"/>
      <c r="L697" s="358"/>
      <c r="M697" s="358"/>
      <c r="N697" s="358"/>
      <c r="O697" s="358"/>
      <c r="P697" s="358"/>
      <c r="Q697" s="358"/>
      <c r="R697" s="358"/>
      <c r="S697" s="358"/>
      <c r="T697" s="358"/>
      <c r="U697" s="358"/>
      <c r="V697" s="358"/>
      <c r="W697" s="358"/>
      <c r="X697" s="358"/>
      <c r="Y697" s="358"/>
      <c r="Z697" s="358"/>
    </row>
    <row r="698" spans="1:26" ht="15.75" customHeight="1" x14ac:dyDescent="0.25">
      <c r="A698" s="358"/>
      <c r="B698" s="358"/>
      <c r="C698" s="358"/>
      <c r="D698" s="358"/>
      <c r="E698" s="358"/>
      <c r="F698" s="358"/>
      <c r="G698" s="358"/>
      <c r="H698" s="358"/>
      <c r="I698" s="358"/>
      <c r="J698" s="358"/>
      <c r="K698" s="358"/>
      <c r="L698" s="358"/>
      <c r="M698" s="358"/>
      <c r="N698" s="358"/>
      <c r="O698" s="358"/>
      <c r="P698" s="358"/>
      <c r="Q698" s="358"/>
      <c r="R698" s="358"/>
      <c r="S698" s="358"/>
      <c r="T698" s="358"/>
      <c r="U698" s="358"/>
      <c r="V698" s="358"/>
      <c r="W698" s="358"/>
      <c r="X698" s="358"/>
      <c r="Y698" s="358"/>
      <c r="Z698" s="358"/>
    </row>
    <row r="699" spans="1:26" ht="15.75" customHeight="1" x14ac:dyDescent="0.25">
      <c r="A699" s="358"/>
      <c r="B699" s="358"/>
      <c r="C699" s="358"/>
      <c r="D699" s="358"/>
      <c r="E699" s="358"/>
      <c r="F699" s="358"/>
      <c r="G699" s="358"/>
      <c r="H699" s="358"/>
      <c r="I699" s="358"/>
      <c r="J699" s="358"/>
      <c r="K699" s="358"/>
      <c r="L699" s="358"/>
      <c r="M699" s="358"/>
      <c r="N699" s="358"/>
      <c r="O699" s="358"/>
      <c r="P699" s="358"/>
      <c r="Q699" s="358"/>
      <c r="R699" s="358"/>
      <c r="S699" s="358"/>
      <c r="T699" s="358"/>
      <c r="U699" s="358"/>
      <c r="V699" s="358"/>
      <c r="W699" s="358"/>
      <c r="X699" s="358"/>
      <c r="Y699" s="358"/>
      <c r="Z699" s="358"/>
    </row>
    <row r="700" spans="1:26" ht="15.75" customHeight="1" x14ac:dyDescent="0.25">
      <c r="A700" s="358"/>
      <c r="B700" s="358"/>
      <c r="C700" s="358"/>
      <c r="D700" s="358"/>
      <c r="E700" s="358"/>
      <c r="F700" s="358"/>
      <c r="G700" s="358"/>
      <c r="H700" s="358"/>
      <c r="I700" s="358"/>
      <c r="J700" s="358"/>
      <c r="K700" s="358"/>
      <c r="L700" s="358"/>
      <c r="M700" s="358"/>
      <c r="N700" s="358"/>
      <c r="O700" s="358"/>
      <c r="P700" s="358"/>
      <c r="Q700" s="358"/>
      <c r="R700" s="358"/>
      <c r="S700" s="358"/>
      <c r="T700" s="358"/>
      <c r="U700" s="358"/>
      <c r="V700" s="358"/>
      <c r="W700" s="358"/>
      <c r="X700" s="358"/>
      <c r="Y700" s="358"/>
      <c r="Z700" s="358"/>
    </row>
    <row r="701" spans="1:26" ht="15.75" customHeight="1" x14ac:dyDescent="0.25">
      <c r="A701" s="358"/>
      <c r="B701" s="358"/>
      <c r="C701" s="358"/>
      <c r="D701" s="358"/>
      <c r="E701" s="358"/>
      <c r="F701" s="358"/>
      <c r="G701" s="358"/>
      <c r="H701" s="358"/>
      <c r="I701" s="358"/>
      <c r="J701" s="358"/>
      <c r="K701" s="358"/>
      <c r="L701" s="358"/>
      <c r="M701" s="358"/>
      <c r="N701" s="358"/>
      <c r="O701" s="358"/>
      <c r="P701" s="358"/>
      <c r="Q701" s="358"/>
      <c r="R701" s="358"/>
      <c r="S701" s="358"/>
      <c r="T701" s="358"/>
      <c r="U701" s="358"/>
      <c r="V701" s="358"/>
      <c r="W701" s="358"/>
      <c r="X701" s="358"/>
      <c r="Y701" s="358"/>
      <c r="Z701" s="358"/>
    </row>
    <row r="702" spans="1:26" ht="15.75" customHeight="1" x14ac:dyDescent="0.25">
      <c r="A702" s="358"/>
      <c r="B702" s="358"/>
      <c r="C702" s="358"/>
      <c r="D702" s="358"/>
      <c r="E702" s="358"/>
      <c r="F702" s="358"/>
      <c r="G702" s="358"/>
      <c r="H702" s="358"/>
      <c r="I702" s="358"/>
      <c r="J702" s="358"/>
      <c r="K702" s="358"/>
      <c r="L702" s="358"/>
      <c r="M702" s="358"/>
      <c r="N702" s="358"/>
      <c r="O702" s="358"/>
      <c r="P702" s="358"/>
      <c r="Q702" s="358"/>
      <c r="R702" s="358"/>
      <c r="S702" s="358"/>
      <c r="T702" s="358"/>
      <c r="U702" s="358"/>
      <c r="V702" s="358"/>
      <c r="W702" s="358"/>
      <c r="X702" s="358"/>
      <c r="Y702" s="358"/>
      <c r="Z702" s="358"/>
    </row>
    <row r="703" spans="1:26" ht="15.75" customHeight="1" x14ac:dyDescent="0.25">
      <c r="A703" s="358"/>
      <c r="B703" s="358"/>
      <c r="C703" s="358"/>
      <c r="D703" s="358"/>
      <c r="E703" s="358"/>
      <c r="F703" s="358"/>
      <c r="G703" s="358"/>
      <c r="H703" s="358"/>
      <c r="I703" s="358"/>
      <c r="J703" s="358"/>
      <c r="K703" s="358"/>
      <c r="L703" s="358"/>
      <c r="M703" s="358"/>
      <c r="N703" s="358"/>
      <c r="O703" s="358"/>
      <c r="P703" s="358"/>
      <c r="Q703" s="358"/>
      <c r="R703" s="358"/>
      <c r="S703" s="358"/>
      <c r="T703" s="358"/>
      <c r="U703" s="358"/>
      <c r="V703" s="358"/>
      <c r="W703" s="358"/>
      <c r="X703" s="358"/>
      <c r="Y703" s="358"/>
      <c r="Z703" s="358"/>
    </row>
    <row r="704" spans="1:26" ht="15.75" customHeight="1" x14ac:dyDescent="0.25">
      <c r="A704" s="358"/>
      <c r="B704" s="358"/>
      <c r="C704" s="358"/>
      <c r="D704" s="358"/>
      <c r="E704" s="358"/>
      <c r="F704" s="358"/>
      <c r="G704" s="358"/>
      <c r="H704" s="358"/>
      <c r="I704" s="358"/>
      <c r="J704" s="358"/>
      <c r="K704" s="358"/>
      <c r="L704" s="358"/>
      <c r="M704" s="358"/>
      <c r="N704" s="358"/>
      <c r="O704" s="358"/>
      <c r="P704" s="358"/>
      <c r="Q704" s="358"/>
      <c r="R704" s="358"/>
      <c r="S704" s="358"/>
      <c r="T704" s="358"/>
      <c r="U704" s="358"/>
      <c r="V704" s="358"/>
      <c r="W704" s="358"/>
      <c r="X704" s="358"/>
      <c r="Y704" s="358"/>
      <c r="Z704" s="358"/>
    </row>
    <row r="705" spans="1:26" ht="15.75" customHeight="1" x14ac:dyDescent="0.25">
      <c r="A705" s="358"/>
      <c r="B705" s="358"/>
      <c r="C705" s="358"/>
      <c r="D705" s="358"/>
      <c r="E705" s="358"/>
      <c r="F705" s="358"/>
      <c r="G705" s="358"/>
      <c r="H705" s="358"/>
      <c r="I705" s="358"/>
      <c r="J705" s="358"/>
      <c r="K705" s="358"/>
      <c r="L705" s="358"/>
      <c r="M705" s="358"/>
      <c r="N705" s="358"/>
      <c r="O705" s="358"/>
      <c r="P705" s="358"/>
      <c r="Q705" s="358"/>
      <c r="R705" s="358"/>
      <c r="S705" s="358"/>
      <c r="T705" s="358"/>
      <c r="U705" s="358"/>
      <c r="V705" s="358"/>
      <c r="W705" s="358"/>
      <c r="X705" s="358"/>
      <c r="Y705" s="358"/>
      <c r="Z705" s="358"/>
    </row>
    <row r="706" spans="1:26" ht="15.75" customHeight="1" x14ac:dyDescent="0.25">
      <c r="A706" s="358"/>
      <c r="B706" s="358"/>
      <c r="C706" s="358"/>
      <c r="D706" s="358"/>
      <c r="E706" s="358"/>
      <c r="F706" s="358"/>
      <c r="G706" s="358"/>
      <c r="H706" s="358"/>
      <c r="I706" s="358"/>
      <c r="J706" s="358"/>
      <c r="K706" s="358"/>
      <c r="L706" s="358"/>
      <c r="M706" s="358"/>
      <c r="N706" s="358"/>
      <c r="O706" s="358"/>
      <c r="P706" s="358"/>
      <c r="Q706" s="358"/>
      <c r="R706" s="358"/>
      <c r="S706" s="358"/>
      <c r="T706" s="358"/>
      <c r="U706" s="358"/>
      <c r="V706" s="358"/>
      <c r="W706" s="358"/>
      <c r="X706" s="358"/>
      <c r="Y706" s="358"/>
      <c r="Z706" s="358"/>
    </row>
    <row r="707" spans="1:26" ht="15.75" customHeight="1" x14ac:dyDescent="0.25">
      <c r="A707" s="358"/>
      <c r="B707" s="358"/>
      <c r="C707" s="358"/>
      <c r="D707" s="358"/>
      <c r="E707" s="358"/>
      <c r="F707" s="358"/>
      <c r="G707" s="358"/>
      <c r="H707" s="358"/>
      <c r="I707" s="358"/>
      <c r="J707" s="358"/>
      <c r="K707" s="358"/>
      <c r="L707" s="358"/>
      <c r="M707" s="358"/>
      <c r="N707" s="358"/>
      <c r="O707" s="358"/>
      <c r="P707" s="358"/>
      <c r="Q707" s="358"/>
      <c r="R707" s="358"/>
      <c r="S707" s="358"/>
      <c r="T707" s="358"/>
      <c r="U707" s="358"/>
      <c r="V707" s="358"/>
      <c r="W707" s="358"/>
      <c r="X707" s="358"/>
      <c r="Y707" s="358"/>
      <c r="Z707" s="358"/>
    </row>
    <row r="708" spans="1:26" ht="15.75" customHeight="1" x14ac:dyDescent="0.25">
      <c r="A708" s="358"/>
      <c r="B708" s="358"/>
      <c r="C708" s="358"/>
      <c r="D708" s="358"/>
      <c r="E708" s="358"/>
      <c r="F708" s="358"/>
      <c r="G708" s="358"/>
      <c r="H708" s="358"/>
      <c r="I708" s="358"/>
      <c r="J708" s="358"/>
      <c r="K708" s="358"/>
      <c r="L708" s="358"/>
      <c r="M708" s="358"/>
      <c r="N708" s="358"/>
      <c r="O708" s="358"/>
      <c r="P708" s="358"/>
      <c r="Q708" s="358"/>
      <c r="R708" s="358"/>
      <c r="S708" s="358"/>
      <c r="T708" s="358"/>
      <c r="U708" s="358"/>
      <c r="V708" s="358"/>
      <c r="W708" s="358"/>
      <c r="X708" s="358"/>
      <c r="Y708" s="358"/>
      <c r="Z708" s="358"/>
    </row>
    <row r="709" spans="1:26" ht="15.75" customHeight="1" x14ac:dyDescent="0.25">
      <c r="A709" s="358"/>
      <c r="B709" s="358"/>
      <c r="C709" s="358"/>
      <c r="D709" s="358"/>
      <c r="E709" s="358"/>
      <c r="F709" s="358"/>
      <c r="G709" s="358"/>
      <c r="H709" s="358"/>
      <c r="I709" s="358"/>
      <c r="J709" s="358"/>
      <c r="K709" s="358"/>
      <c r="L709" s="358"/>
      <c r="M709" s="358"/>
      <c r="N709" s="358"/>
      <c r="O709" s="358"/>
      <c r="P709" s="358"/>
      <c r="Q709" s="358"/>
      <c r="R709" s="358"/>
      <c r="S709" s="358"/>
      <c r="T709" s="358"/>
      <c r="U709" s="358"/>
      <c r="V709" s="358"/>
      <c r="W709" s="358"/>
      <c r="X709" s="358"/>
      <c r="Y709" s="358"/>
      <c r="Z709" s="358"/>
    </row>
    <row r="710" spans="1:26" ht="15.75" customHeight="1" x14ac:dyDescent="0.25">
      <c r="A710" s="358"/>
      <c r="B710" s="358"/>
      <c r="C710" s="358"/>
      <c r="D710" s="358"/>
      <c r="E710" s="358"/>
      <c r="F710" s="358"/>
      <c r="G710" s="358"/>
      <c r="H710" s="358"/>
      <c r="I710" s="358"/>
      <c r="J710" s="358"/>
      <c r="K710" s="358"/>
      <c r="L710" s="358"/>
      <c r="M710" s="358"/>
      <c r="N710" s="358"/>
      <c r="O710" s="358"/>
      <c r="P710" s="358"/>
      <c r="Q710" s="358"/>
      <c r="R710" s="358"/>
      <c r="S710" s="358"/>
      <c r="T710" s="358"/>
      <c r="U710" s="358"/>
      <c r="V710" s="358"/>
      <c r="W710" s="358"/>
      <c r="X710" s="358"/>
      <c r="Y710" s="358"/>
      <c r="Z710" s="358"/>
    </row>
    <row r="711" spans="1:26" ht="15.75" customHeight="1" x14ac:dyDescent="0.25">
      <c r="A711" s="358"/>
      <c r="B711" s="358"/>
      <c r="C711" s="358"/>
      <c r="D711" s="358"/>
      <c r="E711" s="358"/>
      <c r="F711" s="358"/>
      <c r="G711" s="358"/>
      <c r="H711" s="358"/>
      <c r="I711" s="358"/>
      <c r="J711" s="358"/>
      <c r="K711" s="358"/>
      <c r="L711" s="358"/>
      <c r="M711" s="358"/>
      <c r="N711" s="358"/>
      <c r="O711" s="358"/>
      <c r="P711" s="358"/>
      <c r="Q711" s="358"/>
      <c r="R711" s="358"/>
      <c r="S711" s="358"/>
      <c r="T711" s="358"/>
      <c r="U711" s="358"/>
      <c r="V711" s="358"/>
      <c r="W711" s="358"/>
      <c r="X711" s="358"/>
      <c r="Y711" s="358"/>
      <c r="Z711" s="358"/>
    </row>
    <row r="712" spans="1:26" ht="15.75" customHeight="1" x14ac:dyDescent="0.25">
      <c r="A712" s="358"/>
      <c r="B712" s="358"/>
      <c r="C712" s="358"/>
      <c r="D712" s="358"/>
      <c r="E712" s="358"/>
      <c r="F712" s="358"/>
      <c r="G712" s="358"/>
      <c r="H712" s="358"/>
      <c r="I712" s="358"/>
      <c r="J712" s="358"/>
      <c r="K712" s="358"/>
      <c r="L712" s="358"/>
      <c r="M712" s="358"/>
      <c r="N712" s="358"/>
      <c r="O712" s="358"/>
      <c r="P712" s="358"/>
      <c r="Q712" s="358"/>
      <c r="R712" s="358"/>
      <c r="S712" s="358"/>
      <c r="T712" s="358"/>
      <c r="U712" s="358"/>
      <c r="V712" s="358"/>
      <c r="W712" s="358"/>
      <c r="X712" s="358"/>
      <c r="Y712" s="358"/>
      <c r="Z712" s="358"/>
    </row>
    <row r="713" spans="1:26" ht="15.75" customHeight="1" x14ac:dyDescent="0.25">
      <c r="A713" s="358"/>
      <c r="B713" s="358"/>
      <c r="C713" s="358"/>
      <c r="D713" s="358"/>
      <c r="E713" s="358"/>
      <c r="F713" s="358"/>
      <c r="G713" s="358"/>
      <c r="H713" s="358"/>
      <c r="I713" s="358"/>
      <c r="J713" s="358"/>
      <c r="K713" s="358"/>
      <c r="L713" s="358"/>
      <c r="M713" s="358"/>
      <c r="N713" s="358"/>
      <c r="O713" s="358"/>
      <c r="P713" s="358"/>
      <c r="Q713" s="358"/>
      <c r="R713" s="358"/>
      <c r="S713" s="358"/>
      <c r="T713" s="358"/>
      <c r="U713" s="358"/>
      <c r="V713" s="358"/>
      <c r="W713" s="358"/>
      <c r="X713" s="358"/>
      <c r="Y713" s="358"/>
      <c r="Z713" s="358"/>
    </row>
    <row r="714" spans="1:26" ht="15.75" customHeight="1" x14ac:dyDescent="0.25">
      <c r="A714" s="358"/>
      <c r="B714" s="358"/>
      <c r="C714" s="358"/>
      <c r="D714" s="358"/>
      <c r="E714" s="358"/>
      <c r="F714" s="358"/>
      <c r="G714" s="358"/>
      <c r="H714" s="358"/>
      <c r="I714" s="358"/>
      <c r="J714" s="358"/>
      <c r="K714" s="358"/>
      <c r="L714" s="358"/>
      <c r="M714" s="358"/>
      <c r="N714" s="358"/>
      <c r="O714" s="358"/>
      <c r="P714" s="358"/>
      <c r="Q714" s="358"/>
      <c r="R714" s="358"/>
      <c r="S714" s="358"/>
      <c r="T714" s="358"/>
      <c r="U714" s="358"/>
      <c r="V714" s="358"/>
      <c r="W714" s="358"/>
      <c r="X714" s="358"/>
      <c r="Y714" s="358"/>
      <c r="Z714" s="358"/>
    </row>
    <row r="715" spans="1:26" ht="15.75" customHeight="1" x14ac:dyDescent="0.25">
      <c r="A715" s="358"/>
      <c r="B715" s="358"/>
      <c r="C715" s="358"/>
      <c r="D715" s="358"/>
      <c r="E715" s="358"/>
      <c r="F715" s="358"/>
      <c r="G715" s="358"/>
      <c r="H715" s="358"/>
      <c r="I715" s="358"/>
      <c r="J715" s="358"/>
      <c r="K715" s="358"/>
      <c r="L715" s="358"/>
      <c r="M715" s="358"/>
      <c r="N715" s="358"/>
      <c r="O715" s="358"/>
      <c r="P715" s="358"/>
      <c r="Q715" s="358"/>
      <c r="R715" s="358"/>
      <c r="S715" s="358"/>
      <c r="T715" s="358"/>
      <c r="U715" s="358"/>
      <c r="V715" s="358"/>
      <c r="W715" s="358"/>
      <c r="X715" s="358"/>
      <c r="Y715" s="358"/>
      <c r="Z715" s="358"/>
    </row>
    <row r="716" spans="1:26" ht="15.75" customHeight="1" x14ac:dyDescent="0.25">
      <c r="A716" s="358"/>
      <c r="B716" s="358"/>
      <c r="C716" s="358"/>
      <c r="D716" s="358"/>
      <c r="E716" s="358"/>
      <c r="F716" s="358"/>
      <c r="G716" s="358"/>
      <c r="H716" s="358"/>
      <c r="I716" s="358"/>
      <c r="J716" s="358"/>
      <c r="K716" s="358"/>
      <c r="L716" s="358"/>
      <c r="M716" s="358"/>
      <c r="N716" s="358"/>
      <c r="O716" s="358"/>
      <c r="P716" s="358"/>
      <c r="Q716" s="358"/>
      <c r="R716" s="358"/>
      <c r="S716" s="358"/>
      <c r="T716" s="358"/>
      <c r="U716" s="358"/>
      <c r="V716" s="358"/>
      <c r="W716" s="358"/>
      <c r="X716" s="358"/>
      <c r="Y716" s="358"/>
      <c r="Z716" s="358"/>
    </row>
    <row r="717" spans="1:26" ht="15.75" customHeight="1" x14ac:dyDescent="0.25">
      <c r="A717" s="358"/>
      <c r="B717" s="358"/>
      <c r="C717" s="358"/>
      <c r="D717" s="358"/>
      <c r="E717" s="358"/>
      <c r="F717" s="358"/>
      <c r="G717" s="358"/>
      <c r="H717" s="358"/>
      <c r="I717" s="358"/>
      <c r="J717" s="358"/>
      <c r="K717" s="358"/>
      <c r="L717" s="358"/>
      <c r="M717" s="358"/>
      <c r="N717" s="358"/>
      <c r="O717" s="358"/>
      <c r="P717" s="358"/>
      <c r="Q717" s="358"/>
      <c r="R717" s="358"/>
      <c r="S717" s="358"/>
      <c r="T717" s="358"/>
      <c r="U717" s="358"/>
      <c r="V717" s="358"/>
      <c r="W717" s="358"/>
      <c r="X717" s="358"/>
      <c r="Y717" s="358"/>
      <c r="Z717" s="358"/>
    </row>
    <row r="718" spans="1:26" ht="15.75" customHeight="1" x14ac:dyDescent="0.25">
      <c r="A718" s="358"/>
      <c r="B718" s="358"/>
      <c r="C718" s="358"/>
      <c r="D718" s="358"/>
      <c r="E718" s="358"/>
      <c r="F718" s="358"/>
      <c r="G718" s="358"/>
      <c r="H718" s="358"/>
      <c r="I718" s="358"/>
      <c r="J718" s="358"/>
      <c r="K718" s="358"/>
      <c r="L718" s="358"/>
      <c r="M718" s="358"/>
      <c r="N718" s="358"/>
      <c r="O718" s="358"/>
      <c r="P718" s="358"/>
      <c r="Q718" s="358"/>
      <c r="R718" s="358"/>
      <c r="S718" s="358"/>
      <c r="T718" s="358"/>
      <c r="U718" s="358"/>
      <c r="V718" s="358"/>
      <c r="W718" s="358"/>
      <c r="X718" s="358"/>
      <c r="Y718" s="358"/>
      <c r="Z718" s="358"/>
    </row>
    <row r="719" spans="1:26" ht="15.75" customHeight="1" x14ac:dyDescent="0.25">
      <c r="A719" s="358"/>
      <c r="B719" s="358"/>
      <c r="C719" s="358"/>
      <c r="D719" s="358"/>
      <c r="E719" s="358"/>
      <c r="F719" s="358"/>
      <c r="G719" s="358"/>
      <c r="H719" s="358"/>
      <c r="I719" s="358"/>
      <c r="J719" s="358"/>
      <c r="K719" s="358"/>
      <c r="L719" s="358"/>
      <c r="M719" s="358"/>
      <c r="N719" s="358"/>
      <c r="O719" s="358"/>
      <c r="P719" s="358"/>
      <c r="Q719" s="358"/>
      <c r="R719" s="358"/>
      <c r="S719" s="358"/>
      <c r="T719" s="358"/>
      <c r="U719" s="358"/>
      <c r="V719" s="358"/>
      <c r="W719" s="358"/>
      <c r="X719" s="358"/>
      <c r="Y719" s="358"/>
      <c r="Z719" s="358"/>
    </row>
    <row r="720" spans="1:26" ht="15.75" customHeight="1" x14ac:dyDescent="0.25">
      <c r="A720" s="358"/>
      <c r="B720" s="358"/>
      <c r="C720" s="358"/>
      <c r="D720" s="358"/>
      <c r="E720" s="358"/>
      <c r="F720" s="358"/>
      <c r="G720" s="358"/>
      <c r="H720" s="358"/>
      <c r="I720" s="358"/>
      <c r="J720" s="358"/>
      <c r="K720" s="358"/>
      <c r="L720" s="358"/>
      <c r="M720" s="358"/>
      <c r="N720" s="358"/>
      <c r="O720" s="358"/>
      <c r="P720" s="358"/>
      <c r="Q720" s="358"/>
      <c r="R720" s="358"/>
      <c r="S720" s="358"/>
      <c r="T720" s="358"/>
      <c r="U720" s="358"/>
      <c r="V720" s="358"/>
      <c r="W720" s="358"/>
      <c r="X720" s="358"/>
      <c r="Y720" s="358"/>
      <c r="Z720" s="358"/>
    </row>
    <row r="721" spans="1:26" ht="15.75" customHeight="1" x14ac:dyDescent="0.25">
      <c r="A721" s="358"/>
      <c r="B721" s="358"/>
      <c r="C721" s="358"/>
      <c r="D721" s="358"/>
      <c r="E721" s="358"/>
      <c r="F721" s="358"/>
      <c r="G721" s="358"/>
      <c r="H721" s="358"/>
      <c r="I721" s="358"/>
      <c r="J721" s="358"/>
      <c r="K721" s="358"/>
      <c r="L721" s="358"/>
      <c r="M721" s="358"/>
      <c r="N721" s="358"/>
      <c r="O721" s="358"/>
      <c r="P721" s="358"/>
      <c r="Q721" s="358"/>
      <c r="R721" s="358"/>
      <c r="S721" s="358"/>
      <c r="T721" s="358"/>
      <c r="U721" s="358"/>
      <c r="V721" s="358"/>
      <c r="W721" s="358"/>
      <c r="X721" s="358"/>
      <c r="Y721" s="358"/>
      <c r="Z721" s="358"/>
    </row>
    <row r="722" spans="1:26" ht="15.75" customHeight="1" x14ac:dyDescent="0.25">
      <c r="A722" s="358"/>
      <c r="B722" s="358"/>
      <c r="C722" s="358"/>
      <c r="D722" s="358"/>
      <c r="E722" s="358"/>
      <c r="F722" s="358"/>
      <c r="G722" s="358"/>
      <c r="H722" s="358"/>
      <c r="I722" s="358"/>
      <c r="J722" s="358"/>
      <c r="K722" s="358"/>
      <c r="L722" s="358"/>
      <c r="M722" s="358"/>
      <c r="N722" s="358"/>
      <c r="O722" s="358"/>
      <c r="P722" s="358"/>
      <c r="Q722" s="358"/>
      <c r="R722" s="358"/>
      <c r="S722" s="358"/>
      <c r="T722" s="358"/>
      <c r="U722" s="358"/>
      <c r="V722" s="358"/>
      <c r="W722" s="358"/>
      <c r="X722" s="358"/>
      <c r="Y722" s="358"/>
      <c r="Z722" s="358"/>
    </row>
    <row r="723" spans="1:26" ht="15.75" customHeight="1" x14ac:dyDescent="0.25">
      <c r="A723" s="358"/>
      <c r="B723" s="358"/>
      <c r="C723" s="358"/>
      <c r="D723" s="358"/>
      <c r="E723" s="358"/>
      <c r="F723" s="358"/>
      <c r="G723" s="358"/>
      <c r="H723" s="358"/>
      <c r="I723" s="358"/>
      <c r="J723" s="358"/>
      <c r="K723" s="358"/>
      <c r="L723" s="358"/>
      <c r="M723" s="358"/>
      <c r="N723" s="358"/>
      <c r="O723" s="358"/>
      <c r="P723" s="358"/>
      <c r="Q723" s="358"/>
      <c r="R723" s="358"/>
      <c r="S723" s="358"/>
      <c r="T723" s="358"/>
      <c r="U723" s="358"/>
      <c r="V723" s="358"/>
      <c r="W723" s="358"/>
      <c r="X723" s="358"/>
      <c r="Y723" s="358"/>
      <c r="Z723" s="358"/>
    </row>
    <row r="724" spans="1:26" ht="15.75" customHeight="1" x14ac:dyDescent="0.25">
      <c r="A724" s="358"/>
      <c r="B724" s="358"/>
      <c r="C724" s="358"/>
      <c r="D724" s="358"/>
      <c r="E724" s="358"/>
      <c r="F724" s="358"/>
      <c r="G724" s="358"/>
      <c r="H724" s="358"/>
      <c r="I724" s="358"/>
      <c r="J724" s="358"/>
      <c r="K724" s="358"/>
      <c r="L724" s="358"/>
      <c r="M724" s="358"/>
      <c r="N724" s="358"/>
      <c r="O724" s="358"/>
      <c r="P724" s="358"/>
      <c r="Q724" s="358"/>
      <c r="R724" s="358"/>
      <c r="S724" s="358"/>
      <c r="T724" s="358"/>
      <c r="U724" s="358"/>
      <c r="V724" s="358"/>
      <c r="W724" s="358"/>
      <c r="X724" s="358"/>
      <c r="Y724" s="358"/>
      <c r="Z724" s="358"/>
    </row>
    <row r="725" spans="1:26" ht="15.75" customHeight="1" x14ac:dyDescent="0.25">
      <c r="A725" s="358"/>
      <c r="B725" s="358"/>
      <c r="C725" s="358"/>
      <c r="D725" s="358"/>
      <c r="E725" s="358"/>
      <c r="F725" s="358"/>
      <c r="G725" s="358"/>
      <c r="H725" s="358"/>
      <c r="I725" s="358"/>
      <c r="J725" s="358"/>
      <c r="K725" s="358"/>
      <c r="L725" s="358"/>
      <c r="M725" s="358"/>
      <c r="N725" s="358"/>
      <c r="O725" s="358"/>
      <c r="P725" s="358"/>
      <c r="Q725" s="358"/>
      <c r="R725" s="358"/>
      <c r="S725" s="358"/>
      <c r="T725" s="358"/>
      <c r="U725" s="358"/>
      <c r="V725" s="358"/>
      <c r="W725" s="358"/>
      <c r="X725" s="358"/>
      <c r="Y725" s="358"/>
      <c r="Z725" s="358"/>
    </row>
    <row r="726" spans="1:26" ht="15.75" customHeight="1" x14ac:dyDescent="0.25">
      <c r="A726" s="358"/>
      <c r="B726" s="358"/>
      <c r="C726" s="358"/>
      <c r="D726" s="358"/>
      <c r="E726" s="358"/>
      <c r="F726" s="358"/>
      <c r="G726" s="358"/>
      <c r="H726" s="358"/>
      <c r="I726" s="358"/>
      <c r="J726" s="358"/>
      <c r="K726" s="358"/>
      <c r="L726" s="358"/>
      <c r="M726" s="358"/>
      <c r="N726" s="358"/>
      <c r="O726" s="358"/>
      <c r="P726" s="358"/>
      <c r="Q726" s="358"/>
      <c r="R726" s="358"/>
      <c r="S726" s="358"/>
      <c r="T726" s="358"/>
      <c r="U726" s="358"/>
      <c r="V726" s="358"/>
      <c r="W726" s="358"/>
      <c r="X726" s="358"/>
      <c r="Y726" s="358"/>
      <c r="Z726" s="358"/>
    </row>
    <row r="727" spans="1:26" ht="15.75" customHeight="1" x14ac:dyDescent="0.25">
      <c r="A727" s="358"/>
      <c r="B727" s="358"/>
      <c r="C727" s="358"/>
      <c r="D727" s="358"/>
      <c r="E727" s="358"/>
      <c r="F727" s="358"/>
      <c r="G727" s="358"/>
      <c r="H727" s="358"/>
      <c r="I727" s="358"/>
      <c r="J727" s="358"/>
      <c r="K727" s="358"/>
      <c r="L727" s="358"/>
      <c r="M727" s="358"/>
      <c r="N727" s="358"/>
      <c r="O727" s="358"/>
      <c r="P727" s="358"/>
      <c r="Q727" s="358"/>
      <c r="R727" s="358"/>
      <c r="S727" s="358"/>
      <c r="T727" s="358"/>
      <c r="U727" s="358"/>
      <c r="V727" s="358"/>
      <c r="W727" s="358"/>
      <c r="X727" s="358"/>
      <c r="Y727" s="358"/>
      <c r="Z727" s="358"/>
    </row>
    <row r="728" spans="1:26" ht="15.75" customHeight="1" x14ac:dyDescent="0.25">
      <c r="A728" s="358"/>
      <c r="B728" s="358"/>
      <c r="C728" s="358"/>
      <c r="D728" s="358"/>
      <c r="E728" s="358"/>
      <c r="F728" s="358"/>
      <c r="G728" s="358"/>
      <c r="H728" s="358"/>
      <c r="I728" s="358"/>
      <c r="J728" s="358"/>
      <c r="K728" s="358"/>
      <c r="L728" s="358"/>
      <c r="M728" s="358"/>
      <c r="N728" s="358"/>
      <c r="O728" s="358"/>
      <c r="P728" s="358"/>
      <c r="Q728" s="358"/>
      <c r="R728" s="358"/>
      <c r="S728" s="358"/>
      <c r="T728" s="358"/>
      <c r="U728" s="358"/>
      <c r="V728" s="358"/>
      <c r="W728" s="358"/>
      <c r="X728" s="358"/>
      <c r="Y728" s="358"/>
      <c r="Z728" s="358"/>
    </row>
    <row r="729" spans="1:26" ht="15.75" customHeight="1" x14ac:dyDescent="0.25">
      <c r="A729" s="358"/>
      <c r="B729" s="358"/>
      <c r="C729" s="358"/>
      <c r="D729" s="358"/>
      <c r="E729" s="358"/>
      <c r="F729" s="358"/>
      <c r="G729" s="358"/>
      <c r="H729" s="358"/>
      <c r="I729" s="358"/>
      <c r="J729" s="358"/>
      <c r="K729" s="358"/>
      <c r="L729" s="358"/>
      <c r="M729" s="358"/>
      <c r="N729" s="358"/>
      <c r="O729" s="358"/>
      <c r="P729" s="358"/>
      <c r="Q729" s="358"/>
      <c r="R729" s="358"/>
      <c r="S729" s="358"/>
      <c r="T729" s="358"/>
      <c r="U729" s="358"/>
      <c r="V729" s="358"/>
      <c r="W729" s="358"/>
      <c r="X729" s="358"/>
      <c r="Y729" s="358"/>
      <c r="Z729" s="358"/>
    </row>
    <row r="730" spans="1:26" ht="15.75" customHeight="1" x14ac:dyDescent="0.25">
      <c r="A730" s="358"/>
      <c r="B730" s="358"/>
      <c r="C730" s="358"/>
      <c r="D730" s="358"/>
      <c r="E730" s="358"/>
      <c r="F730" s="358"/>
      <c r="G730" s="358"/>
      <c r="H730" s="358"/>
      <c r="I730" s="358"/>
      <c r="J730" s="358"/>
      <c r="K730" s="358"/>
      <c r="L730" s="358"/>
      <c r="M730" s="358"/>
      <c r="N730" s="358"/>
      <c r="O730" s="358"/>
      <c r="P730" s="358"/>
      <c r="Q730" s="358"/>
      <c r="R730" s="358"/>
      <c r="S730" s="358"/>
      <c r="T730" s="358"/>
      <c r="U730" s="358"/>
      <c r="V730" s="358"/>
      <c r="W730" s="358"/>
      <c r="X730" s="358"/>
      <c r="Y730" s="358"/>
      <c r="Z730" s="358"/>
    </row>
    <row r="731" spans="1:26" ht="15.75" customHeight="1" x14ac:dyDescent="0.25">
      <c r="A731" s="358"/>
      <c r="B731" s="358"/>
      <c r="C731" s="358"/>
      <c r="D731" s="358"/>
      <c r="E731" s="358"/>
      <c r="F731" s="358"/>
      <c r="G731" s="358"/>
      <c r="H731" s="358"/>
      <c r="I731" s="358"/>
      <c r="J731" s="358"/>
      <c r="K731" s="358"/>
      <c r="L731" s="358"/>
      <c r="M731" s="358"/>
      <c r="N731" s="358"/>
      <c r="O731" s="358"/>
      <c r="P731" s="358"/>
      <c r="Q731" s="358"/>
      <c r="R731" s="358"/>
      <c r="S731" s="358"/>
      <c r="T731" s="358"/>
      <c r="U731" s="358"/>
      <c r="V731" s="358"/>
      <c r="W731" s="358"/>
      <c r="X731" s="358"/>
      <c r="Y731" s="358"/>
      <c r="Z731" s="358"/>
    </row>
    <row r="732" spans="1:26" ht="15.75" customHeight="1" x14ac:dyDescent="0.25">
      <c r="A732" s="358"/>
      <c r="B732" s="358"/>
      <c r="C732" s="358"/>
      <c r="D732" s="358"/>
      <c r="E732" s="358"/>
      <c r="F732" s="358"/>
      <c r="G732" s="358"/>
      <c r="H732" s="358"/>
      <c r="I732" s="358"/>
      <c r="J732" s="358"/>
      <c r="K732" s="358"/>
      <c r="L732" s="358"/>
      <c r="M732" s="358"/>
      <c r="N732" s="358"/>
      <c r="O732" s="358"/>
      <c r="P732" s="358"/>
      <c r="Q732" s="358"/>
      <c r="R732" s="358"/>
      <c r="S732" s="358"/>
      <c r="T732" s="358"/>
      <c r="U732" s="358"/>
      <c r="V732" s="358"/>
      <c r="W732" s="358"/>
      <c r="X732" s="358"/>
      <c r="Y732" s="358"/>
      <c r="Z732" s="358"/>
    </row>
    <row r="733" spans="1:26" ht="15.75" customHeight="1" x14ac:dyDescent="0.25">
      <c r="A733" s="358"/>
      <c r="B733" s="358"/>
      <c r="C733" s="358"/>
      <c r="D733" s="358"/>
      <c r="E733" s="358"/>
      <c r="F733" s="358"/>
      <c r="G733" s="358"/>
      <c r="H733" s="358"/>
      <c r="I733" s="358"/>
      <c r="J733" s="358"/>
      <c r="K733" s="358"/>
      <c r="L733" s="358"/>
      <c r="M733" s="358"/>
      <c r="N733" s="358"/>
      <c r="O733" s="358"/>
      <c r="P733" s="358"/>
      <c r="Q733" s="358"/>
      <c r="R733" s="358"/>
      <c r="S733" s="358"/>
      <c r="T733" s="358"/>
      <c r="U733" s="358"/>
      <c r="V733" s="358"/>
      <c r="W733" s="358"/>
      <c r="X733" s="358"/>
      <c r="Y733" s="358"/>
      <c r="Z733" s="358"/>
    </row>
    <row r="734" spans="1:26" ht="15.75" customHeight="1" x14ac:dyDescent="0.25">
      <c r="A734" s="358"/>
      <c r="B734" s="358"/>
      <c r="C734" s="358"/>
      <c r="D734" s="358"/>
      <c r="E734" s="358"/>
      <c r="F734" s="358"/>
      <c r="G734" s="358"/>
      <c r="H734" s="358"/>
      <c r="I734" s="358"/>
      <c r="J734" s="358"/>
      <c r="K734" s="358"/>
      <c r="L734" s="358"/>
      <c r="M734" s="358"/>
      <c r="N734" s="358"/>
      <c r="O734" s="358"/>
      <c r="P734" s="358"/>
      <c r="Q734" s="358"/>
      <c r="R734" s="358"/>
      <c r="S734" s="358"/>
      <c r="T734" s="358"/>
      <c r="U734" s="358"/>
      <c r="V734" s="358"/>
      <c r="W734" s="358"/>
      <c r="X734" s="358"/>
      <c r="Y734" s="358"/>
      <c r="Z734" s="358"/>
    </row>
    <row r="735" spans="1:26" ht="15.75" customHeight="1" x14ac:dyDescent="0.25">
      <c r="A735" s="358"/>
      <c r="B735" s="358"/>
      <c r="C735" s="358"/>
      <c r="D735" s="358"/>
      <c r="E735" s="358"/>
      <c r="F735" s="358"/>
      <c r="G735" s="358"/>
      <c r="H735" s="358"/>
      <c r="I735" s="358"/>
      <c r="J735" s="358"/>
      <c r="K735" s="358"/>
      <c r="L735" s="358"/>
      <c r="M735" s="358"/>
      <c r="N735" s="358"/>
      <c r="O735" s="358"/>
      <c r="P735" s="358"/>
      <c r="Q735" s="358"/>
      <c r="R735" s="358"/>
      <c r="S735" s="358"/>
      <c r="T735" s="358"/>
      <c r="U735" s="358"/>
      <c r="V735" s="358"/>
      <c r="W735" s="358"/>
      <c r="X735" s="358"/>
      <c r="Y735" s="358"/>
      <c r="Z735" s="358"/>
    </row>
    <row r="736" spans="1:26" ht="15.75" customHeight="1" x14ac:dyDescent="0.25">
      <c r="A736" s="358"/>
      <c r="B736" s="358"/>
      <c r="C736" s="358"/>
      <c r="D736" s="358"/>
      <c r="E736" s="358"/>
      <c r="F736" s="358"/>
      <c r="G736" s="358"/>
      <c r="H736" s="358"/>
      <c r="I736" s="358"/>
      <c r="J736" s="358"/>
      <c r="K736" s="358"/>
      <c r="L736" s="358"/>
      <c r="M736" s="358"/>
      <c r="N736" s="358"/>
      <c r="O736" s="358"/>
      <c r="P736" s="358"/>
      <c r="Q736" s="358"/>
      <c r="R736" s="358"/>
      <c r="S736" s="358"/>
      <c r="T736" s="358"/>
      <c r="U736" s="358"/>
      <c r="V736" s="358"/>
      <c r="W736" s="358"/>
      <c r="X736" s="358"/>
      <c r="Y736" s="358"/>
      <c r="Z736" s="358"/>
    </row>
    <row r="737" spans="1:26" ht="15.75" customHeight="1" x14ac:dyDescent="0.25">
      <c r="A737" s="358"/>
      <c r="B737" s="358"/>
      <c r="C737" s="358"/>
      <c r="D737" s="358"/>
      <c r="E737" s="358"/>
      <c r="F737" s="358"/>
      <c r="G737" s="358"/>
      <c r="H737" s="358"/>
      <c r="I737" s="358"/>
      <c r="J737" s="358"/>
      <c r="K737" s="358"/>
      <c r="L737" s="358"/>
      <c r="M737" s="358"/>
      <c r="N737" s="358"/>
      <c r="O737" s="358"/>
      <c r="P737" s="358"/>
      <c r="Q737" s="358"/>
      <c r="R737" s="358"/>
      <c r="S737" s="358"/>
      <c r="T737" s="358"/>
      <c r="U737" s="358"/>
      <c r="V737" s="358"/>
      <c r="W737" s="358"/>
      <c r="X737" s="358"/>
      <c r="Y737" s="358"/>
      <c r="Z737" s="358"/>
    </row>
    <row r="738" spans="1:26" ht="15.75" customHeight="1" x14ac:dyDescent="0.25">
      <c r="A738" s="358"/>
      <c r="B738" s="358"/>
      <c r="C738" s="358"/>
      <c r="D738" s="358"/>
      <c r="E738" s="358"/>
      <c r="F738" s="358"/>
      <c r="G738" s="358"/>
      <c r="H738" s="358"/>
      <c r="I738" s="358"/>
      <c r="J738" s="358"/>
      <c r="K738" s="358"/>
      <c r="L738" s="358"/>
      <c r="M738" s="358"/>
      <c r="N738" s="358"/>
      <c r="O738" s="358"/>
      <c r="P738" s="358"/>
      <c r="Q738" s="358"/>
      <c r="R738" s="358"/>
      <c r="S738" s="358"/>
      <c r="T738" s="358"/>
      <c r="U738" s="358"/>
      <c r="V738" s="358"/>
      <c r="W738" s="358"/>
      <c r="X738" s="358"/>
      <c r="Y738" s="358"/>
      <c r="Z738" s="358"/>
    </row>
    <row r="739" spans="1:26" ht="15.75" customHeight="1" x14ac:dyDescent="0.25">
      <c r="A739" s="358"/>
      <c r="B739" s="358"/>
      <c r="C739" s="358"/>
      <c r="D739" s="358"/>
      <c r="E739" s="358"/>
      <c r="F739" s="358"/>
      <c r="G739" s="358"/>
      <c r="H739" s="358"/>
      <c r="I739" s="358"/>
      <c r="J739" s="358"/>
      <c r="K739" s="358"/>
      <c r="L739" s="358"/>
      <c r="M739" s="358"/>
      <c r="N739" s="358"/>
      <c r="O739" s="358"/>
      <c r="P739" s="358"/>
      <c r="Q739" s="358"/>
      <c r="R739" s="358"/>
      <c r="S739" s="358"/>
      <c r="T739" s="358"/>
      <c r="U739" s="358"/>
      <c r="V739" s="358"/>
      <c r="W739" s="358"/>
      <c r="X739" s="358"/>
      <c r="Y739" s="358"/>
      <c r="Z739" s="358"/>
    </row>
    <row r="740" spans="1:26" ht="15.75" customHeight="1" x14ac:dyDescent="0.25">
      <c r="A740" s="358"/>
      <c r="B740" s="358"/>
      <c r="C740" s="358"/>
      <c r="D740" s="358"/>
      <c r="E740" s="358"/>
      <c r="F740" s="358"/>
      <c r="G740" s="358"/>
      <c r="H740" s="358"/>
      <c r="I740" s="358"/>
      <c r="J740" s="358"/>
      <c r="K740" s="358"/>
      <c r="L740" s="358"/>
      <c r="M740" s="358"/>
      <c r="N740" s="358"/>
      <c r="O740" s="358"/>
      <c r="P740" s="358"/>
      <c r="Q740" s="358"/>
      <c r="R740" s="358"/>
      <c r="S740" s="358"/>
      <c r="T740" s="358"/>
      <c r="U740" s="358"/>
      <c r="V740" s="358"/>
      <c r="W740" s="358"/>
      <c r="X740" s="358"/>
      <c r="Y740" s="358"/>
      <c r="Z740" s="358"/>
    </row>
    <row r="741" spans="1:26" ht="15.75" customHeight="1" x14ac:dyDescent="0.25">
      <c r="A741" s="358"/>
      <c r="B741" s="358"/>
      <c r="C741" s="358"/>
      <c r="D741" s="358"/>
      <c r="E741" s="358"/>
      <c r="F741" s="358"/>
      <c r="G741" s="358"/>
      <c r="H741" s="358"/>
      <c r="I741" s="358"/>
      <c r="J741" s="358"/>
      <c r="K741" s="358"/>
      <c r="L741" s="358"/>
      <c r="M741" s="358"/>
      <c r="N741" s="358"/>
      <c r="O741" s="358"/>
      <c r="P741" s="358"/>
      <c r="Q741" s="358"/>
      <c r="R741" s="358"/>
      <c r="S741" s="358"/>
      <c r="T741" s="358"/>
      <c r="U741" s="358"/>
      <c r="V741" s="358"/>
      <c r="W741" s="358"/>
      <c r="X741" s="358"/>
      <c r="Y741" s="358"/>
      <c r="Z741" s="358"/>
    </row>
    <row r="742" spans="1:26" ht="15.75" customHeight="1" x14ac:dyDescent="0.25">
      <c r="A742" s="358"/>
      <c r="B742" s="358"/>
      <c r="C742" s="358"/>
      <c r="D742" s="358"/>
      <c r="E742" s="358"/>
      <c r="F742" s="358"/>
      <c r="G742" s="358"/>
      <c r="H742" s="358"/>
      <c r="I742" s="358"/>
      <c r="J742" s="358"/>
      <c r="K742" s="358"/>
      <c r="L742" s="358"/>
      <c r="M742" s="358"/>
      <c r="N742" s="358"/>
      <c r="O742" s="358"/>
      <c r="P742" s="358"/>
      <c r="Q742" s="358"/>
      <c r="R742" s="358"/>
      <c r="S742" s="358"/>
      <c r="T742" s="358"/>
      <c r="U742" s="358"/>
      <c r="V742" s="358"/>
      <c r="W742" s="358"/>
      <c r="X742" s="358"/>
      <c r="Y742" s="358"/>
      <c r="Z742" s="358"/>
    </row>
    <row r="743" spans="1:26" ht="15.75" customHeight="1" x14ac:dyDescent="0.25">
      <c r="A743" s="358"/>
      <c r="B743" s="358"/>
      <c r="C743" s="358"/>
      <c r="D743" s="358"/>
      <c r="E743" s="358"/>
      <c r="F743" s="358"/>
      <c r="G743" s="358"/>
      <c r="H743" s="358"/>
      <c r="I743" s="358"/>
      <c r="J743" s="358"/>
      <c r="K743" s="358"/>
      <c r="L743" s="358"/>
      <c r="M743" s="358"/>
      <c r="N743" s="358"/>
      <c r="O743" s="358"/>
      <c r="P743" s="358"/>
      <c r="Q743" s="358"/>
      <c r="R743" s="358"/>
      <c r="S743" s="358"/>
      <c r="T743" s="358"/>
      <c r="U743" s="358"/>
      <c r="V743" s="358"/>
      <c r="W743" s="358"/>
      <c r="X743" s="358"/>
      <c r="Y743" s="358"/>
      <c r="Z743" s="358"/>
    </row>
    <row r="744" spans="1:26" ht="15.75" customHeight="1" x14ac:dyDescent="0.25">
      <c r="A744" s="358"/>
      <c r="B744" s="358"/>
      <c r="C744" s="358"/>
      <c r="D744" s="358"/>
      <c r="E744" s="358"/>
      <c r="F744" s="358"/>
      <c r="G744" s="358"/>
      <c r="H744" s="358"/>
      <c r="I744" s="358"/>
      <c r="J744" s="358"/>
      <c r="K744" s="358"/>
      <c r="L744" s="358"/>
      <c r="M744" s="358"/>
      <c r="N744" s="358"/>
      <c r="O744" s="358"/>
      <c r="P744" s="358"/>
      <c r="Q744" s="358"/>
      <c r="R744" s="358"/>
      <c r="S744" s="358"/>
      <c r="T744" s="358"/>
      <c r="U744" s="358"/>
      <c r="V744" s="358"/>
      <c r="W744" s="358"/>
      <c r="X744" s="358"/>
      <c r="Y744" s="358"/>
      <c r="Z744" s="358"/>
    </row>
    <row r="745" spans="1:26" ht="15.75" customHeight="1" x14ac:dyDescent="0.25">
      <c r="A745" s="358"/>
      <c r="B745" s="358"/>
      <c r="C745" s="358"/>
      <c r="D745" s="358"/>
      <c r="E745" s="358"/>
      <c r="F745" s="358"/>
      <c r="G745" s="358"/>
      <c r="H745" s="358"/>
      <c r="I745" s="358"/>
      <c r="J745" s="358"/>
      <c r="K745" s="358"/>
      <c r="L745" s="358"/>
      <c r="M745" s="358"/>
      <c r="N745" s="358"/>
      <c r="O745" s="358"/>
      <c r="P745" s="358"/>
      <c r="Q745" s="358"/>
      <c r="R745" s="358"/>
      <c r="S745" s="358"/>
      <c r="T745" s="358"/>
      <c r="U745" s="358"/>
      <c r="V745" s="358"/>
      <c r="W745" s="358"/>
      <c r="X745" s="358"/>
      <c r="Y745" s="358"/>
      <c r="Z745" s="358"/>
    </row>
    <row r="746" spans="1:26" ht="15.75" customHeight="1" x14ac:dyDescent="0.25">
      <c r="A746" s="358"/>
      <c r="B746" s="358"/>
      <c r="C746" s="358"/>
      <c r="D746" s="358"/>
      <c r="E746" s="358"/>
      <c r="F746" s="358"/>
      <c r="G746" s="358"/>
      <c r="H746" s="358"/>
      <c r="I746" s="358"/>
      <c r="J746" s="358"/>
      <c r="K746" s="358"/>
      <c r="L746" s="358"/>
      <c r="M746" s="358"/>
      <c r="N746" s="358"/>
      <c r="O746" s="358"/>
      <c r="P746" s="358"/>
      <c r="Q746" s="358"/>
      <c r="R746" s="358"/>
      <c r="S746" s="358"/>
      <c r="T746" s="358"/>
      <c r="U746" s="358"/>
      <c r="V746" s="358"/>
      <c r="W746" s="358"/>
      <c r="X746" s="358"/>
      <c r="Y746" s="358"/>
      <c r="Z746" s="358"/>
    </row>
    <row r="747" spans="1:26" ht="15.75" customHeight="1" x14ac:dyDescent="0.25">
      <c r="A747" s="358"/>
      <c r="B747" s="358"/>
      <c r="C747" s="358"/>
      <c r="D747" s="358"/>
      <c r="E747" s="358"/>
      <c r="F747" s="358"/>
      <c r="G747" s="358"/>
      <c r="H747" s="358"/>
      <c r="I747" s="358"/>
      <c r="J747" s="358"/>
      <c r="K747" s="358"/>
      <c r="L747" s="358"/>
      <c r="M747" s="358"/>
      <c r="N747" s="358"/>
      <c r="O747" s="358"/>
      <c r="P747" s="358"/>
      <c r="Q747" s="358"/>
      <c r="R747" s="358"/>
      <c r="S747" s="358"/>
      <c r="T747" s="358"/>
      <c r="U747" s="358"/>
      <c r="V747" s="358"/>
      <c r="W747" s="358"/>
      <c r="X747" s="358"/>
      <c r="Y747" s="358"/>
      <c r="Z747" s="358"/>
    </row>
    <row r="748" spans="1:26" ht="15.75" customHeight="1" x14ac:dyDescent="0.25">
      <c r="A748" s="358"/>
      <c r="B748" s="358"/>
      <c r="C748" s="358"/>
      <c r="D748" s="358"/>
      <c r="E748" s="358"/>
      <c r="F748" s="358"/>
      <c r="G748" s="358"/>
      <c r="H748" s="358"/>
      <c r="I748" s="358"/>
      <c r="J748" s="358"/>
      <c r="K748" s="358"/>
      <c r="L748" s="358"/>
      <c r="M748" s="358"/>
      <c r="N748" s="358"/>
      <c r="O748" s="358"/>
      <c r="P748" s="358"/>
      <c r="Q748" s="358"/>
      <c r="R748" s="358"/>
      <c r="S748" s="358"/>
      <c r="T748" s="358"/>
      <c r="U748" s="358"/>
      <c r="V748" s="358"/>
      <c r="W748" s="358"/>
      <c r="X748" s="358"/>
      <c r="Y748" s="358"/>
      <c r="Z748" s="358"/>
    </row>
    <row r="749" spans="1:26" ht="15.75" customHeight="1" x14ac:dyDescent="0.25">
      <c r="A749" s="358"/>
      <c r="B749" s="358"/>
      <c r="C749" s="358"/>
      <c r="D749" s="358"/>
      <c r="E749" s="358"/>
      <c r="F749" s="358"/>
      <c r="G749" s="358"/>
      <c r="H749" s="358"/>
      <c r="I749" s="358"/>
      <c r="J749" s="358"/>
      <c r="K749" s="358"/>
      <c r="L749" s="358"/>
      <c r="M749" s="358"/>
      <c r="N749" s="358"/>
      <c r="O749" s="358"/>
      <c r="P749" s="358"/>
      <c r="Q749" s="358"/>
      <c r="R749" s="358"/>
      <c r="S749" s="358"/>
      <c r="T749" s="358"/>
      <c r="U749" s="358"/>
      <c r="V749" s="358"/>
      <c r="W749" s="358"/>
      <c r="X749" s="358"/>
      <c r="Y749" s="358"/>
      <c r="Z749" s="358"/>
    </row>
    <row r="750" spans="1:26" ht="15.75" customHeight="1" x14ac:dyDescent="0.25">
      <c r="A750" s="358"/>
      <c r="B750" s="358"/>
      <c r="C750" s="358"/>
      <c r="D750" s="358"/>
      <c r="E750" s="358"/>
      <c r="F750" s="358"/>
      <c r="G750" s="358"/>
      <c r="H750" s="358"/>
      <c r="I750" s="358"/>
      <c r="J750" s="358"/>
      <c r="K750" s="358"/>
      <c r="L750" s="358"/>
      <c r="M750" s="358"/>
      <c r="N750" s="358"/>
      <c r="O750" s="358"/>
      <c r="P750" s="358"/>
      <c r="Q750" s="358"/>
      <c r="R750" s="358"/>
      <c r="S750" s="358"/>
      <c r="T750" s="358"/>
      <c r="U750" s="358"/>
      <c r="V750" s="358"/>
      <c r="W750" s="358"/>
      <c r="X750" s="358"/>
      <c r="Y750" s="358"/>
      <c r="Z750" s="358"/>
    </row>
    <row r="751" spans="1:26" ht="15.75" customHeight="1" x14ac:dyDescent="0.25">
      <c r="A751" s="358"/>
      <c r="B751" s="358"/>
      <c r="C751" s="358"/>
      <c r="D751" s="358"/>
      <c r="E751" s="358"/>
      <c r="F751" s="358"/>
      <c r="G751" s="358"/>
      <c r="H751" s="358"/>
      <c r="I751" s="358"/>
      <c r="J751" s="358"/>
      <c r="K751" s="358"/>
      <c r="L751" s="358"/>
      <c r="M751" s="358"/>
      <c r="N751" s="358"/>
      <c r="O751" s="358"/>
      <c r="P751" s="358"/>
      <c r="Q751" s="358"/>
      <c r="R751" s="358"/>
      <c r="S751" s="358"/>
      <c r="T751" s="358"/>
      <c r="U751" s="358"/>
      <c r="V751" s="358"/>
      <c r="W751" s="358"/>
      <c r="X751" s="358"/>
      <c r="Y751" s="358"/>
      <c r="Z751" s="358"/>
    </row>
    <row r="752" spans="1:26" ht="15.75" customHeight="1" x14ac:dyDescent="0.25">
      <c r="A752" s="358"/>
      <c r="B752" s="358"/>
      <c r="C752" s="358"/>
      <c r="D752" s="358"/>
      <c r="E752" s="358"/>
      <c r="F752" s="358"/>
      <c r="G752" s="358"/>
      <c r="H752" s="358"/>
      <c r="I752" s="358"/>
      <c r="J752" s="358"/>
      <c r="K752" s="358"/>
      <c r="L752" s="358"/>
      <c r="M752" s="358"/>
      <c r="N752" s="358"/>
      <c r="O752" s="358"/>
      <c r="P752" s="358"/>
      <c r="Q752" s="358"/>
      <c r="R752" s="358"/>
      <c r="S752" s="358"/>
      <c r="T752" s="358"/>
      <c r="U752" s="358"/>
      <c r="V752" s="358"/>
      <c r="W752" s="358"/>
      <c r="X752" s="358"/>
      <c r="Y752" s="358"/>
      <c r="Z752" s="358"/>
    </row>
    <row r="753" spans="1:26" ht="15.75" customHeight="1" x14ac:dyDescent="0.25">
      <c r="A753" s="358"/>
      <c r="B753" s="358"/>
      <c r="C753" s="358"/>
      <c r="D753" s="358"/>
      <c r="E753" s="358"/>
      <c r="F753" s="358"/>
      <c r="G753" s="358"/>
      <c r="H753" s="358"/>
      <c r="I753" s="358"/>
      <c r="J753" s="358"/>
      <c r="K753" s="358"/>
      <c r="L753" s="358"/>
      <c r="M753" s="358"/>
      <c r="N753" s="358"/>
      <c r="O753" s="358"/>
      <c r="P753" s="358"/>
      <c r="Q753" s="358"/>
      <c r="R753" s="358"/>
      <c r="S753" s="358"/>
      <c r="T753" s="358"/>
      <c r="U753" s="358"/>
      <c r="V753" s="358"/>
      <c r="W753" s="358"/>
      <c r="X753" s="358"/>
      <c r="Y753" s="358"/>
      <c r="Z753" s="358"/>
    </row>
    <row r="754" spans="1:26" ht="15.75" customHeight="1" x14ac:dyDescent="0.25">
      <c r="A754" s="358"/>
      <c r="B754" s="358"/>
      <c r="C754" s="358"/>
      <c r="D754" s="358"/>
      <c r="E754" s="358"/>
      <c r="F754" s="358"/>
      <c r="G754" s="358"/>
      <c r="H754" s="358"/>
      <c r="I754" s="358"/>
      <c r="J754" s="358"/>
      <c r="K754" s="358"/>
      <c r="L754" s="358"/>
      <c r="M754" s="358"/>
      <c r="N754" s="358"/>
      <c r="O754" s="358"/>
      <c r="P754" s="358"/>
      <c r="Q754" s="358"/>
      <c r="R754" s="358"/>
      <c r="S754" s="358"/>
      <c r="T754" s="358"/>
      <c r="U754" s="358"/>
      <c r="V754" s="358"/>
      <c r="W754" s="358"/>
      <c r="X754" s="358"/>
      <c r="Y754" s="358"/>
      <c r="Z754" s="358"/>
    </row>
    <row r="755" spans="1:26" ht="15.75" customHeight="1" x14ac:dyDescent="0.25">
      <c r="A755" s="358"/>
      <c r="B755" s="358"/>
      <c r="C755" s="358"/>
      <c r="D755" s="358"/>
      <c r="E755" s="358"/>
      <c r="F755" s="358"/>
      <c r="G755" s="358"/>
      <c r="H755" s="358"/>
      <c r="I755" s="358"/>
      <c r="J755" s="358"/>
      <c r="K755" s="358"/>
      <c r="L755" s="358"/>
      <c r="M755" s="358"/>
      <c r="N755" s="358"/>
      <c r="O755" s="358"/>
      <c r="P755" s="358"/>
      <c r="Q755" s="358"/>
      <c r="R755" s="358"/>
      <c r="S755" s="358"/>
      <c r="T755" s="358"/>
      <c r="U755" s="358"/>
      <c r="V755" s="358"/>
      <c r="W755" s="358"/>
      <c r="X755" s="358"/>
      <c r="Y755" s="358"/>
      <c r="Z755" s="358"/>
    </row>
    <row r="756" spans="1:26" ht="15.75" customHeight="1" x14ac:dyDescent="0.25">
      <c r="A756" s="358"/>
      <c r="B756" s="358"/>
      <c r="C756" s="358"/>
      <c r="D756" s="358"/>
      <c r="E756" s="358"/>
      <c r="F756" s="358"/>
      <c r="G756" s="358"/>
      <c r="H756" s="358"/>
      <c r="I756" s="358"/>
      <c r="J756" s="358"/>
      <c r="K756" s="358"/>
      <c r="L756" s="358"/>
      <c r="M756" s="358"/>
      <c r="N756" s="358"/>
      <c r="O756" s="358"/>
      <c r="P756" s="358"/>
      <c r="Q756" s="358"/>
      <c r="R756" s="358"/>
      <c r="S756" s="358"/>
      <c r="T756" s="358"/>
      <c r="U756" s="358"/>
      <c r="V756" s="358"/>
      <c r="W756" s="358"/>
      <c r="X756" s="358"/>
      <c r="Y756" s="358"/>
      <c r="Z756" s="358"/>
    </row>
    <row r="757" spans="1:26" ht="15.75" customHeight="1" x14ac:dyDescent="0.25">
      <c r="A757" s="358"/>
      <c r="B757" s="358"/>
      <c r="C757" s="358"/>
      <c r="D757" s="358"/>
      <c r="E757" s="358"/>
      <c r="F757" s="358"/>
      <c r="G757" s="358"/>
      <c r="H757" s="358"/>
      <c r="I757" s="358"/>
      <c r="J757" s="358"/>
      <c r="K757" s="358"/>
      <c r="L757" s="358"/>
      <c r="M757" s="358"/>
      <c r="N757" s="358"/>
      <c r="O757" s="358"/>
      <c r="P757" s="358"/>
      <c r="Q757" s="358"/>
      <c r="R757" s="358"/>
      <c r="S757" s="358"/>
      <c r="T757" s="358"/>
      <c r="U757" s="358"/>
      <c r="V757" s="358"/>
      <c r="W757" s="358"/>
      <c r="X757" s="358"/>
      <c r="Y757" s="358"/>
      <c r="Z757" s="358"/>
    </row>
    <row r="758" spans="1:26" ht="15.75" customHeight="1" x14ac:dyDescent="0.25">
      <c r="A758" s="358"/>
      <c r="B758" s="358"/>
      <c r="C758" s="358"/>
      <c r="D758" s="358"/>
      <c r="E758" s="358"/>
      <c r="F758" s="358"/>
      <c r="G758" s="358"/>
      <c r="H758" s="358"/>
      <c r="I758" s="358"/>
      <c r="J758" s="358"/>
      <c r="K758" s="358"/>
      <c r="L758" s="358"/>
      <c r="M758" s="358"/>
      <c r="N758" s="358"/>
      <c r="O758" s="358"/>
      <c r="P758" s="358"/>
      <c r="Q758" s="358"/>
      <c r="R758" s="358"/>
      <c r="S758" s="358"/>
      <c r="T758" s="358"/>
      <c r="U758" s="358"/>
      <c r="V758" s="358"/>
      <c r="W758" s="358"/>
      <c r="X758" s="358"/>
      <c r="Y758" s="358"/>
      <c r="Z758" s="358"/>
    </row>
    <row r="759" spans="1:26" ht="15.75" customHeight="1" x14ac:dyDescent="0.25">
      <c r="A759" s="358"/>
      <c r="B759" s="358"/>
      <c r="C759" s="358"/>
      <c r="D759" s="358"/>
      <c r="E759" s="358"/>
      <c r="F759" s="358"/>
      <c r="G759" s="358"/>
      <c r="H759" s="358"/>
      <c r="I759" s="358"/>
      <c r="J759" s="358"/>
      <c r="K759" s="358"/>
      <c r="L759" s="358"/>
      <c r="M759" s="358"/>
      <c r="N759" s="358"/>
      <c r="O759" s="358"/>
      <c r="P759" s="358"/>
      <c r="Q759" s="358"/>
      <c r="R759" s="358"/>
      <c r="S759" s="358"/>
      <c r="T759" s="358"/>
      <c r="U759" s="358"/>
      <c r="V759" s="358"/>
      <c r="W759" s="358"/>
      <c r="X759" s="358"/>
      <c r="Y759" s="358"/>
      <c r="Z759" s="358"/>
    </row>
    <row r="760" spans="1:26" ht="15.75" customHeight="1" x14ac:dyDescent="0.25">
      <c r="A760" s="358"/>
      <c r="B760" s="358"/>
      <c r="C760" s="358"/>
      <c r="D760" s="358"/>
      <c r="E760" s="358"/>
      <c r="F760" s="358"/>
      <c r="G760" s="358"/>
      <c r="H760" s="358"/>
      <c r="I760" s="358"/>
      <c r="J760" s="358"/>
      <c r="K760" s="358"/>
      <c r="L760" s="358"/>
      <c r="M760" s="358"/>
      <c r="N760" s="358"/>
      <c r="O760" s="358"/>
      <c r="P760" s="358"/>
      <c r="Q760" s="358"/>
      <c r="R760" s="358"/>
      <c r="S760" s="358"/>
      <c r="T760" s="358"/>
      <c r="U760" s="358"/>
      <c r="V760" s="358"/>
      <c r="W760" s="358"/>
      <c r="X760" s="358"/>
      <c r="Y760" s="358"/>
      <c r="Z760" s="358"/>
    </row>
    <row r="761" spans="1:26" ht="15.75" customHeight="1" x14ac:dyDescent="0.25">
      <c r="A761" s="358"/>
      <c r="B761" s="358"/>
      <c r="C761" s="358"/>
      <c r="D761" s="358"/>
      <c r="E761" s="358"/>
      <c r="F761" s="358"/>
      <c r="G761" s="358"/>
      <c r="H761" s="358"/>
      <c r="I761" s="358"/>
      <c r="J761" s="358"/>
      <c r="K761" s="358"/>
      <c r="L761" s="358"/>
      <c r="M761" s="358"/>
      <c r="N761" s="358"/>
      <c r="O761" s="358"/>
      <c r="P761" s="358"/>
      <c r="Q761" s="358"/>
      <c r="R761" s="358"/>
      <c r="S761" s="358"/>
      <c r="T761" s="358"/>
      <c r="U761" s="358"/>
      <c r="V761" s="358"/>
      <c r="W761" s="358"/>
      <c r="X761" s="358"/>
      <c r="Y761" s="358"/>
      <c r="Z761" s="358"/>
    </row>
    <row r="762" spans="1:26" ht="15.75" customHeight="1" x14ac:dyDescent="0.25">
      <c r="A762" s="358"/>
      <c r="B762" s="358"/>
      <c r="C762" s="358"/>
      <c r="D762" s="358"/>
      <c r="E762" s="358"/>
      <c r="F762" s="358"/>
      <c r="G762" s="358"/>
      <c r="H762" s="358"/>
      <c r="I762" s="358"/>
      <c r="J762" s="358"/>
      <c r="K762" s="358"/>
      <c r="L762" s="358"/>
      <c r="M762" s="358"/>
      <c r="N762" s="358"/>
      <c r="O762" s="358"/>
      <c r="P762" s="358"/>
      <c r="Q762" s="358"/>
      <c r="R762" s="358"/>
      <c r="S762" s="358"/>
      <c r="T762" s="358"/>
      <c r="U762" s="358"/>
      <c r="V762" s="358"/>
      <c r="W762" s="358"/>
      <c r="X762" s="358"/>
      <c r="Y762" s="358"/>
      <c r="Z762" s="358"/>
    </row>
    <row r="763" spans="1:26" ht="15.75" customHeight="1" x14ac:dyDescent="0.25">
      <c r="A763" s="358"/>
      <c r="B763" s="358"/>
      <c r="C763" s="358"/>
      <c r="D763" s="358"/>
      <c r="E763" s="358"/>
      <c r="F763" s="358"/>
      <c r="G763" s="358"/>
      <c r="H763" s="358"/>
      <c r="I763" s="358"/>
      <c r="J763" s="358"/>
      <c r="K763" s="358"/>
      <c r="L763" s="358"/>
      <c r="M763" s="358"/>
      <c r="N763" s="358"/>
      <c r="O763" s="358"/>
      <c r="P763" s="358"/>
      <c r="Q763" s="358"/>
      <c r="R763" s="358"/>
      <c r="S763" s="358"/>
      <c r="T763" s="358"/>
      <c r="U763" s="358"/>
      <c r="V763" s="358"/>
      <c r="W763" s="358"/>
      <c r="X763" s="358"/>
      <c r="Y763" s="358"/>
      <c r="Z763" s="358"/>
    </row>
    <row r="764" spans="1:26" ht="15.75" customHeight="1" x14ac:dyDescent="0.25">
      <c r="A764" s="358"/>
      <c r="B764" s="358"/>
      <c r="C764" s="358"/>
      <c r="D764" s="358"/>
      <c r="E764" s="358"/>
      <c r="F764" s="358"/>
      <c r="G764" s="358"/>
      <c r="H764" s="358"/>
      <c r="I764" s="358"/>
      <c r="J764" s="358"/>
      <c r="K764" s="358"/>
      <c r="L764" s="358"/>
      <c r="M764" s="358"/>
      <c r="N764" s="358"/>
      <c r="O764" s="358"/>
      <c r="P764" s="358"/>
      <c r="Q764" s="358"/>
      <c r="R764" s="358"/>
      <c r="S764" s="358"/>
      <c r="T764" s="358"/>
      <c r="U764" s="358"/>
      <c r="V764" s="358"/>
      <c r="W764" s="358"/>
      <c r="X764" s="358"/>
      <c r="Y764" s="358"/>
      <c r="Z764" s="358"/>
    </row>
    <row r="765" spans="1:26" ht="15.75" customHeight="1" x14ac:dyDescent="0.25">
      <c r="A765" s="358"/>
      <c r="B765" s="358"/>
      <c r="C765" s="358"/>
      <c r="D765" s="358"/>
      <c r="E765" s="358"/>
      <c r="F765" s="358"/>
      <c r="G765" s="358"/>
      <c r="H765" s="358"/>
      <c r="I765" s="358"/>
      <c r="J765" s="358"/>
      <c r="K765" s="358"/>
      <c r="L765" s="358"/>
      <c r="M765" s="358"/>
      <c r="N765" s="358"/>
      <c r="O765" s="358"/>
      <c r="P765" s="358"/>
      <c r="Q765" s="358"/>
      <c r="R765" s="358"/>
      <c r="S765" s="358"/>
      <c r="T765" s="358"/>
      <c r="U765" s="358"/>
      <c r="V765" s="358"/>
      <c r="W765" s="358"/>
      <c r="X765" s="358"/>
      <c r="Y765" s="358"/>
      <c r="Z765" s="358"/>
    </row>
    <row r="766" spans="1:26" ht="15.75" customHeight="1" x14ac:dyDescent="0.25">
      <c r="A766" s="358"/>
      <c r="B766" s="358"/>
      <c r="C766" s="358"/>
      <c r="D766" s="358"/>
      <c r="E766" s="358"/>
      <c r="F766" s="358"/>
      <c r="G766" s="358"/>
      <c r="H766" s="358"/>
      <c r="I766" s="358"/>
      <c r="J766" s="358"/>
      <c r="K766" s="358"/>
      <c r="L766" s="358"/>
      <c r="M766" s="358"/>
      <c r="N766" s="358"/>
      <c r="O766" s="358"/>
      <c r="P766" s="358"/>
      <c r="Q766" s="358"/>
      <c r="R766" s="358"/>
      <c r="S766" s="358"/>
      <c r="T766" s="358"/>
      <c r="U766" s="358"/>
      <c r="V766" s="358"/>
      <c r="W766" s="358"/>
      <c r="X766" s="358"/>
      <c r="Y766" s="358"/>
      <c r="Z766" s="358"/>
    </row>
    <row r="767" spans="1:26" ht="15.75" customHeight="1" x14ac:dyDescent="0.25">
      <c r="A767" s="358"/>
      <c r="B767" s="358"/>
      <c r="C767" s="358"/>
      <c r="D767" s="358"/>
      <c r="E767" s="358"/>
      <c r="F767" s="358"/>
      <c r="G767" s="358"/>
      <c r="H767" s="358"/>
      <c r="I767" s="358"/>
      <c r="J767" s="358"/>
      <c r="K767" s="358"/>
      <c r="L767" s="358"/>
      <c r="M767" s="358"/>
      <c r="N767" s="358"/>
      <c r="O767" s="358"/>
      <c r="P767" s="358"/>
      <c r="Q767" s="358"/>
      <c r="R767" s="358"/>
      <c r="S767" s="358"/>
      <c r="T767" s="358"/>
      <c r="U767" s="358"/>
      <c r="V767" s="358"/>
      <c r="W767" s="358"/>
      <c r="X767" s="358"/>
      <c r="Y767" s="358"/>
      <c r="Z767" s="358"/>
    </row>
    <row r="768" spans="1:26" ht="15.75" customHeight="1" x14ac:dyDescent="0.25">
      <c r="A768" s="358"/>
      <c r="B768" s="358"/>
      <c r="C768" s="358"/>
      <c r="D768" s="358"/>
      <c r="E768" s="358"/>
      <c r="F768" s="358"/>
      <c r="G768" s="358"/>
      <c r="H768" s="358"/>
      <c r="I768" s="358"/>
      <c r="J768" s="358"/>
      <c r="K768" s="358"/>
      <c r="L768" s="358"/>
      <c r="M768" s="358"/>
      <c r="N768" s="358"/>
      <c r="O768" s="358"/>
      <c r="P768" s="358"/>
      <c r="Q768" s="358"/>
      <c r="R768" s="358"/>
      <c r="S768" s="358"/>
      <c r="T768" s="358"/>
      <c r="U768" s="358"/>
      <c r="V768" s="358"/>
      <c r="W768" s="358"/>
      <c r="X768" s="358"/>
      <c r="Y768" s="358"/>
      <c r="Z768" s="358"/>
    </row>
    <row r="769" spans="1:26" ht="15.75" customHeight="1" x14ac:dyDescent="0.25">
      <c r="A769" s="358"/>
      <c r="B769" s="358"/>
      <c r="C769" s="358"/>
      <c r="D769" s="358"/>
      <c r="E769" s="358"/>
      <c r="F769" s="358"/>
      <c r="G769" s="358"/>
      <c r="H769" s="358"/>
      <c r="I769" s="358"/>
      <c r="J769" s="358"/>
      <c r="K769" s="358"/>
      <c r="L769" s="358"/>
      <c r="M769" s="358"/>
      <c r="N769" s="358"/>
      <c r="O769" s="358"/>
      <c r="P769" s="358"/>
      <c r="Q769" s="358"/>
      <c r="R769" s="358"/>
      <c r="S769" s="358"/>
      <c r="T769" s="358"/>
      <c r="U769" s="358"/>
      <c r="V769" s="358"/>
      <c r="W769" s="358"/>
      <c r="X769" s="358"/>
      <c r="Y769" s="358"/>
      <c r="Z769" s="358"/>
    </row>
    <row r="770" spans="1:26" ht="15.75" customHeight="1" x14ac:dyDescent="0.25">
      <c r="A770" s="358"/>
      <c r="B770" s="358"/>
      <c r="C770" s="358"/>
      <c r="D770" s="358"/>
      <c r="E770" s="358"/>
      <c r="F770" s="358"/>
      <c r="G770" s="358"/>
      <c r="H770" s="358"/>
      <c r="I770" s="358"/>
      <c r="J770" s="358"/>
      <c r="K770" s="358"/>
      <c r="L770" s="358"/>
      <c r="M770" s="358"/>
      <c r="N770" s="358"/>
      <c r="O770" s="358"/>
      <c r="P770" s="358"/>
      <c r="Q770" s="358"/>
      <c r="R770" s="358"/>
      <c r="S770" s="358"/>
      <c r="T770" s="358"/>
      <c r="U770" s="358"/>
      <c r="V770" s="358"/>
      <c r="W770" s="358"/>
      <c r="X770" s="358"/>
      <c r="Y770" s="358"/>
      <c r="Z770" s="358"/>
    </row>
    <row r="771" spans="1:26" ht="15.75" customHeight="1" x14ac:dyDescent="0.25">
      <c r="A771" s="358"/>
      <c r="B771" s="358"/>
      <c r="C771" s="358"/>
      <c r="D771" s="358"/>
      <c r="E771" s="358"/>
      <c r="F771" s="358"/>
      <c r="G771" s="358"/>
      <c r="H771" s="358"/>
      <c r="I771" s="358"/>
      <c r="J771" s="358"/>
      <c r="K771" s="358"/>
      <c r="L771" s="358"/>
      <c r="M771" s="358"/>
      <c r="N771" s="358"/>
      <c r="O771" s="358"/>
      <c r="P771" s="358"/>
      <c r="Q771" s="358"/>
      <c r="R771" s="358"/>
      <c r="S771" s="358"/>
      <c r="T771" s="358"/>
      <c r="U771" s="358"/>
      <c r="V771" s="358"/>
      <c r="W771" s="358"/>
      <c r="X771" s="358"/>
      <c r="Y771" s="358"/>
      <c r="Z771" s="358"/>
    </row>
    <row r="772" spans="1:26" ht="15.75" customHeight="1" x14ac:dyDescent="0.25">
      <c r="A772" s="358"/>
      <c r="B772" s="358"/>
      <c r="C772" s="358"/>
      <c r="D772" s="358"/>
      <c r="E772" s="358"/>
      <c r="F772" s="358"/>
      <c r="G772" s="358"/>
      <c r="H772" s="358"/>
      <c r="I772" s="358"/>
      <c r="J772" s="358"/>
      <c r="K772" s="358"/>
      <c r="L772" s="358"/>
      <c r="M772" s="358"/>
      <c r="N772" s="358"/>
      <c r="O772" s="358"/>
      <c r="P772" s="358"/>
      <c r="Q772" s="358"/>
      <c r="R772" s="358"/>
      <c r="S772" s="358"/>
      <c r="T772" s="358"/>
      <c r="U772" s="358"/>
      <c r="V772" s="358"/>
      <c r="W772" s="358"/>
      <c r="X772" s="358"/>
      <c r="Y772" s="358"/>
      <c r="Z772" s="358"/>
    </row>
    <row r="773" spans="1:26" ht="15.75" customHeight="1" x14ac:dyDescent="0.25">
      <c r="A773" s="358"/>
      <c r="B773" s="358"/>
      <c r="C773" s="358"/>
      <c r="D773" s="358"/>
      <c r="E773" s="358"/>
      <c r="F773" s="358"/>
      <c r="G773" s="358"/>
      <c r="H773" s="358"/>
      <c r="I773" s="358"/>
      <c r="J773" s="358"/>
      <c r="K773" s="358"/>
      <c r="L773" s="358"/>
      <c r="M773" s="358"/>
      <c r="N773" s="358"/>
      <c r="O773" s="358"/>
      <c r="P773" s="358"/>
      <c r="Q773" s="358"/>
      <c r="R773" s="358"/>
      <c r="S773" s="358"/>
      <c r="T773" s="358"/>
      <c r="U773" s="358"/>
      <c r="V773" s="358"/>
      <c r="W773" s="358"/>
      <c r="X773" s="358"/>
      <c r="Y773" s="358"/>
      <c r="Z773" s="358"/>
    </row>
    <row r="774" spans="1:26" ht="15.75" customHeight="1" x14ac:dyDescent="0.25">
      <c r="A774" s="358"/>
      <c r="B774" s="358"/>
      <c r="C774" s="358"/>
      <c r="D774" s="358"/>
      <c r="E774" s="358"/>
      <c r="F774" s="358"/>
      <c r="G774" s="358"/>
      <c r="H774" s="358"/>
      <c r="I774" s="358"/>
      <c r="J774" s="358"/>
      <c r="K774" s="358"/>
      <c r="L774" s="358"/>
      <c r="M774" s="358"/>
      <c r="N774" s="358"/>
      <c r="O774" s="358"/>
      <c r="P774" s="358"/>
      <c r="Q774" s="358"/>
      <c r="R774" s="358"/>
      <c r="S774" s="358"/>
      <c r="T774" s="358"/>
      <c r="U774" s="358"/>
      <c r="V774" s="358"/>
      <c r="W774" s="358"/>
      <c r="X774" s="358"/>
      <c r="Y774" s="358"/>
      <c r="Z774" s="358"/>
    </row>
    <row r="775" spans="1:26" ht="15.75" customHeight="1" x14ac:dyDescent="0.25">
      <c r="A775" s="358"/>
      <c r="B775" s="358"/>
      <c r="C775" s="358"/>
      <c r="D775" s="358"/>
      <c r="E775" s="358"/>
      <c r="F775" s="358"/>
      <c r="G775" s="358"/>
      <c r="H775" s="358"/>
      <c r="I775" s="358"/>
      <c r="J775" s="358"/>
      <c r="K775" s="358"/>
      <c r="L775" s="358"/>
      <c r="M775" s="358"/>
      <c r="N775" s="358"/>
      <c r="O775" s="358"/>
      <c r="P775" s="358"/>
      <c r="Q775" s="358"/>
      <c r="R775" s="358"/>
      <c r="S775" s="358"/>
      <c r="T775" s="358"/>
      <c r="U775" s="358"/>
      <c r="V775" s="358"/>
      <c r="W775" s="358"/>
      <c r="X775" s="358"/>
      <c r="Y775" s="358"/>
      <c r="Z775" s="358"/>
    </row>
    <row r="776" spans="1:26" ht="15.75" customHeight="1" x14ac:dyDescent="0.25">
      <c r="A776" s="358"/>
      <c r="B776" s="358"/>
      <c r="C776" s="358"/>
      <c r="D776" s="358"/>
      <c r="E776" s="358"/>
      <c r="F776" s="358"/>
      <c r="G776" s="358"/>
      <c r="H776" s="358"/>
      <c r="I776" s="358"/>
      <c r="J776" s="358"/>
      <c r="K776" s="358"/>
      <c r="L776" s="358"/>
      <c r="M776" s="358"/>
      <c r="N776" s="358"/>
      <c r="O776" s="358"/>
      <c r="P776" s="358"/>
      <c r="Q776" s="358"/>
      <c r="R776" s="358"/>
      <c r="S776" s="358"/>
      <c r="T776" s="358"/>
      <c r="U776" s="358"/>
      <c r="V776" s="358"/>
      <c r="W776" s="358"/>
      <c r="X776" s="358"/>
      <c r="Y776" s="358"/>
      <c r="Z776" s="358"/>
    </row>
    <row r="777" spans="1:26" ht="15.75" customHeight="1" x14ac:dyDescent="0.25">
      <c r="A777" s="358"/>
      <c r="B777" s="358"/>
      <c r="C777" s="358"/>
      <c r="D777" s="358"/>
      <c r="E777" s="358"/>
      <c r="F777" s="358"/>
      <c r="G777" s="358"/>
      <c r="H777" s="358"/>
      <c r="I777" s="358"/>
      <c r="J777" s="358"/>
      <c r="K777" s="358"/>
      <c r="L777" s="358"/>
      <c r="M777" s="358"/>
      <c r="N777" s="358"/>
      <c r="O777" s="358"/>
      <c r="P777" s="358"/>
      <c r="Q777" s="358"/>
      <c r="R777" s="358"/>
      <c r="S777" s="358"/>
      <c r="T777" s="358"/>
      <c r="U777" s="358"/>
      <c r="V777" s="358"/>
      <c r="W777" s="358"/>
      <c r="X777" s="358"/>
      <c r="Y777" s="358"/>
      <c r="Z777" s="358"/>
    </row>
    <row r="778" spans="1:26" ht="15.75" customHeight="1" x14ac:dyDescent="0.25">
      <c r="A778" s="358"/>
      <c r="B778" s="358"/>
      <c r="C778" s="358"/>
      <c r="D778" s="358"/>
      <c r="E778" s="358"/>
      <c r="F778" s="358"/>
      <c r="G778" s="358"/>
      <c r="H778" s="358"/>
      <c r="I778" s="358"/>
      <c r="J778" s="358"/>
      <c r="K778" s="358"/>
      <c r="L778" s="358"/>
      <c r="M778" s="358"/>
      <c r="N778" s="358"/>
      <c r="O778" s="358"/>
      <c r="P778" s="358"/>
      <c r="Q778" s="358"/>
      <c r="R778" s="358"/>
      <c r="S778" s="358"/>
      <c r="T778" s="358"/>
      <c r="U778" s="358"/>
      <c r="V778" s="358"/>
      <c r="W778" s="358"/>
      <c r="X778" s="358"/>
      <c r="Y778" s="358"/>
      <c r="Z778" s="358"/>
    </row>
    <row r="779" spans="1:26" ht="15.75" customHeight="1" x14ac:dyDescent="0.25">
      <c r="A779" s="358"/>
      <c r="B779" s="358"/>
      <c r="C779" s="358"/>
      <c r="D779" s="358"/>
      <c r="E779" s="358"/>
      <c r="F779" s="358"/>
      <c r="G779" s="358"/>
      <c r="H779" s="358"/>
      <c r="I779" s="358"/>
      <c r="J779" s="358"/>
      <c r="K779" s="358"/>
      <c r="L779" s="358"/>
      <c r="M779" s="358"/>
      <c r="N779" s="358"/>
      <c r="O779" s="358"/>
      <c r="P779" s="358"/>
      <c r="Q779" s="358"/>
      <c r="R779" s="358"/>
      <c r="S779" s="358"/>
      <c r="T779" s="358"/>
      <c r="U779" s="358"/>
      <c r="V779" s="358"/>
      <c r="W779" s="358"/>
      <c r="X779" s="358"/>
      <c r="Y779" s="358"/>
      <c r="Z779" s="358"/>
    </row>
    <row r="780" spans="1:26" ht="15.75" customHeight="1" x14ac:dyDescent="0.25">
      <c r="A780" s="358"/>
      <c r="B780" s="358"/>
      <c r="C780" s="358"/>
      <c r="D780" s="358"/>
      <c r="E780" s="358"/>
      <c r="F780" s="358"/>
      <c r="G780" s="358"/>
      <c r="H780" s="358"/>
      <c r="I780" s="358"/>
      <c r="J780" s="358"/>
      <c r="K780" s="358"/>
      <c r="L780" s="358"/>
      <c r="M780" s="358"/>
      <c r="N780" s="358"/>
      <c r="O780" s="358"/>
      <c r="P780" s="358"/>
      <c r="Q780" s="358"/>
      <c r="R780" s="358"/>
      <c r="S780" s="358"/>
      <c r="T780" s="358"/>
      <c r="U780" s="358"/>
      <c r="V780" s="358"/>
      <c r="W780" s="358"/>
      <c r="X780" s="358"/>
      <c r="Y780" s="358"/>
      <c r="Z780" s="358"/>
    </row>
    <row r="781" spans="1:26" ht="15.75" customHeight="1" x14ac:dyDescent="0.25">
      <c r="A781" s="358"/>
      <c r="B781" s="358"/>
      <c r="C781" s="358"/>
      <c r="D781" s="358"/>
      <c r="E781" s="358"/>
      <c r="F781" s="358"/>
      <c r="G781" s="358"/>
      <c r="H781" s="358"/>
      <c r="I781" s="358"/>
      <c r="J781" s="358"/>
      <c r="K781" s="358"/>
      <c r="L781" s="358"/>
      <c r="M781" s="358"/>
      <c r="N781" s="358"/>
      <c r="O781" s="358"/>
      <c r="P781" s="358"/>
      <c r="Q781" s="358"/>
      <c r="R781" s="358"/>
      <c r="S781" s="358"/>
      <c r="T781" s="358"/>
      <c r="U781" s="358"/>
      <c r="V781" s="358"/>
      <c r="W781" s="358"/>
      <c r="X781" s="358"/>
      <c r="Y781" s="358"/>
      <c r="Z781" s="358"/>
    </row>
    <row r="782" spans="1:26" ht="15.75" customHeight="1" x14ac:dyDescent="0.25">
      <c r="A782" s="358"/>
      <c r="B782" s="358"/>
      <c r="C782" s="358"/>
      <c r="D782" s="358"/>
      <c r="E782" s="358"/>
      <c r="F782" s="358"/>
      <c r="G782" s="358"/>
      <c r="H782" s="358"/>
      <c r="I782" s="358"/>
      <c r="J782" s="358"/>
      <c r="K782" s="358"/>
      <c r="L782" s="358"/>
      <c r="M782" s="358"/>
      <c r="N782" s="358"/>
      <c r="O782" s="358"/>
      <c r="P782" s="358"/>
      <c r="Q782" s="358"/>
      <c r="R782" s="358"/>
      <c r="S782" s="358"/>
      <c r="T782" s="358"/>
      <c r="U782" s="358"/>
      <c r="V782" s="358"/>
      <c r="W782" s="358"/>
      <c r="X782" s="358"/>
      <c r="Y782" s="358"/>
      <c r="Z782" s="358"/>
    </row>
    <row r="783" spans="1:26" ht="15.75" customHeight="1" x14ac:dyDescent="0.25">
      <c r="A783" s="358"/>
      <c r="B783" s="358"/>
      <c r="C783" s="358"/>
      <c r="D783" s="358"/>
      <c r="E783" s="358"/>
      <c r="F783" s="358"/>
      <c r="G783" s="358"/>
      <c r="H783" s="358"/>
      <c r="I783" s="358"/>
      <c r="J783" s="358"/>
      <c r="K783" s="358"/>
      <c r="L783" s="358"/>
      <c r="M783" s="358"/>
      <c r="N783" s="358"/>
      <c r="O783" s="358"/>
      <c r="P783" s="358"/>
      <c r="Q783" s="358"/>
      <c r="R783" s="358"/>
      <c r="S783" s="358"/>
      <c r="T783" s="358"/>
      <c r="U783" s="358"/>
      <c r="V783" s="358"/>
      <c r="W783" s="358"/>
      <c r="X783" s="358"/>
      <c r="Y783" s="358"/>
      <c r="Z783" s="358"/>
    </row>
    <row r="784" spans="1:26" ht="15.75" customHeight="1" x14ac:dyDescent="0.25">
      <c r="A784" s="358"/>
      <c r="B784" s="358"/>
      <c r="C784" s="358"/>
      <c r="D784" s="358"/>
      <c r="E784" s="358"/>
      <c r="F784" s="358"/>
      <c r="G784" s="358"/>
      <c r="H784" s="358"/>
      <c r="I784" s="358"/>
      <c r="J784" s="358"/>
      <c r="K784" s="358"/>
      <c r="L784" s="358"/>
      <c r="M784" s="358"/>
      <c r="N784" s="358"/>
      <c r="O784" s="358"/>
      <c r="P784" s="358"/>
      <c r="Q784" s="358"/>
      <c r="R784" s="358"/>
      <c r="S784" s="358"/>
      <c r="T784" s="358"/>
      <c r="U784" s="358"/>
      <c r="V784" s="358"/>
      <c r="W784" s="358"/>
      <c r="X784" s="358"/>
      <c r="Y784" s="358"/>
      <c r="Z784" s="358"/>
    </row>
    <row r="785" spans="1:26" ht="15.75" customHeight="1" x14ac:dyDescent="0.25">
      <c r="A785" s="358"/>
      <c r="B785" s="358"/>
      <c r="C785" s="358"/>
      <c r="D785" s="358"/>
      <c r="E785" s="358"/>
      <c r="F785" s="358"/>
      <c r="G785" s="358"/>
      <c r="H785" s="358"/>
      <c r="I785" s="358"/>
      <c r="J785" s="358"/>
      <c r="K785" s="358"/>
      <c r="L785" s="358"/>
      <c r="M785" s="358"/>
      <c r="N785" s="358"/>
      <c r="O785" s="358"/>
      <c r="P785" s="358"/>
      <c r="Q785" s="358"/>
      <c r="R785" s="358"/>
      <c r="S785" s="358"/>
      <c r="T785" s="358"/>
      <c r="U785" s="358"/>
      <c r="V785" s="358"/>
      <c r="W785" s="358"/>
      <c r="X785" s="358"/>
      <c r="Y785" s="358"/>
      <c r="Z785" s="358"/>
    </row>
    <row r="786" spans="1:26" ht="15.75" customHeight="1" x14ac:dyDescent="0.25">
      <c r="A786" s="358"/>
      <c r="B786" s="358"/>
      <c r="C786" s="358"/>
      <c r="D786" s="358"/>
      <c r="E786" s="358"/>
      <c r="F786" s="358"/>
      <c r="G786" s="358"/>
      <c r="H786" s="358"/>
      <c r="I786" s="358"/>
      <c r="J786" s="358"/>
      <c r="K786" s="358"/>
      <c r="L786" s="358"/>
      <c r="M786" s="358"/>
      <c r="N786" s="358"/>
      <c r="O786" s="358"/>
      <c r="P786" s="358"/>
      <c r="Q786" s="358"/>
      <c r="R786" s="358"/>
      <c r="S786" s="358"/>
      <c r="T786" s="358"/>
      <c r="U786" s="358"/>
      <c r="V786" s="358"/>
      <c r="W786" s="358"/>
      <c r="X786" s="358"/>
      <c r="Y786" s="358"/>
      <c r="Z786" s="358"/>
    </row>
    <row r="787" spans="1:26" ht="15.75" customHeight="1" x14ac:dyDescent="0.25">
      <c r="A787" s="358"/>
      <c r="B787" s="358"/>
      <c r="C787" s="358"/>
      <c r="D787" s="358"/>
      <c r="E787" s="358"/>
      <c r="F787" s="358"/>
      <c r="G787" s="358"/>
      <c r="H787" s="358"/>
      <c r="I787" s="358"/>
      <c r="J787" s="358"/>
      <c r="K787" s="358"/>
      <c r="L787" s="358"/>
      <c r="M787" s="358"/>
      <c r="N787" s="358"/>
      <c r="O787" s="358"/>
      <c r="P787" s="358"/>
      <c r="Q787" s="358"/>
      <c r="R787" s="358"/>
      <c r="S787" s="358"/>
      <c r="T787" s="358"/>
      <c r="U787" s="358"/>
      <c r="V787" s="358"/>
      <c r="W787" s="358"/>
      <c r="X787" s="358"/>
      <c r="Y787" s="358"/>
      <c r="Z787" s="358"/>
    </row>
    <row r="788" spans="1:26" ht="15.75" customHeight="1" x14ac:dyDescent="0.25">
      <c r="A788" s="358"/>
      <c r="B788" s="358"/>
      <c r="C788" s="358"/>
      <c r="D788" s="358"/>
      <c r="E788" s="358"/>
      <c r="F788" s="358"/>
      <c r="G788" s="358"/>
      <c r="H788" s="358"/>
      <c r="I788" s="358"/>
      <c r="J788" s="358"/>
      <c r="K788" s="358"/>
      <c r="L788" s="358"/>
      <c r="M788" s="358"/>
      <c r="N788" s="358"/>
      <c r="O788" s="358"/>
      <c r="P788" s="358"/>
      <c r="Q788" s="358"/>
      <c r="R788" s="358"/>
      <c r="S788" s="358"/>
      <c r="T788" s="358"/>
      <c r="U788" s="358"/>
      <c r="V788" s="358"/>
      <c r="W788" s="358"/>
      <c r="X788" s="358"/>
      <c r="Y788" s="358"/>
      <c r="Z788" s="358"/>
    </row>
    <row r="789" spans="1:26" ht="15.75" customHeight="1" x14ac:dyDescent="0.25">
      <c r="A789" s="358"/>
      <c r="B789" s="358"/>
      <c r="C789" s="358"/>
      <c r="D789" s="358"/>
      <c r="E789" s="358"/>
      <c r="F789" s="358"/>
      <c r="G789" s="358"/>
      <c r="H789" s="358"/>
      <c r="I789" s="358"/>
      <c r="J789" s="358"/>
      <c r="K789" s="358"/>
      <c r="L789" s="358"/>
      <c r="M789" s="358"/>
      <c r="N789" s="358"/>
      <c r="O789" s="358"/>
      <c r="P789" s="358"/>
      <c r="Q789" s="358"/>
      <c r="R789" s="358"/>
      <c r="S789" s="358"/>
      <c r="T789" s="358"/>
      <c r="U789" s="358"/>
      <c r="V789" s="358"/>
      <c r="W789" s="358"/>
      <c r="X789" s="358"/>
      <c r="Y789" s="358"/>
      <c r="Z789" s="358"/>
    </row>
    <row r="790" spans="1:26" ht="15.75" customHeight="1" x14ac:dyDescent="0.25">
      <c r="A790" s="358"/>
      <c r="B790" s="358"/>
      <c r="C790" s="358"/>
      <c r="D790" s="358"/>
      <c r="E790" s="358"/>
      <c r="F790" s="358"/>
      <c r="G790" s="358"/>
      <c r="H790" s="358"/>
      <c r="I790" s="358"/>
      <c r="J790" s="358"/>
      <c r="K790" s="358"/>
      <c r="L790" s="358"/>
      <c r="M790" s="358"/>
      <c r="N790" s="358"/>
      <c r="O790" s="358"/>
      <c r="P790" s="358"/>
      <c r="Q790" s="358"/>
      <c r="R790" s="358"/>
      <c r="S790" s="358"/>
      <c r="T790" s="358"/>
      <c r="U790" s="358"/>
      <c r="V790" s="358"/>
      <c r="W790" s="358"/>
      <c r="X790" s="358"/>
      <c r="Y790" s="358"/>
      <c r="Z790" s="358"/>
    </row>
    <row r="791" spans="1:26" ht="15.75" customHeight="1" x14ac:dyDescent="0.25">
      <c r="A791" s="358"/>
      <c r="B791" s="358"/>
      <c r="C791" s="358"/>
      <c r="D791" s="358"/>
      <c r="E791" s="358"/>
      <c r="F791" s="358"/>
      <c r="G791" s="358"/>
      <c r="H791" s="358"/>
      <c r="I791" s="358"/>
      <c r="J791" s="358"/>
      <c r="K791" s="358"/>
      <c r="L791" s="358"/>
      <c r="M791" s="358"/>
      <c r="N791" s="358"/>
      <c r="O791" s="358"/>
      <c r="P791" s="358"/>
      <c r="Q791" s="358"/>
      <c r="R791" s="358"/>
      <c r="S791" s="358"/>
      <c r="T791" s="358"/>
      <c r="U791" s="358"/>
      <c r="V791" s="358"/>
      <c r="W791" s="358"/>
      <c r="X791" s="358"/>
      <c r="Y791" s="358"/>
      <c r="Z791" s="358"/>
    </row>
    <row r="792" spans="1:26" ht="15.75" customHeight="1" x14ac:dyDescent="0.25">
      <c r="A792" s="358"/>
      <c r="B792" s="358"/>
      <c r="C792" s="358"/>
      <c r="D792" s="358"/>
      <c r="E792" s="358"/>
      <c r="F792" s="358"/>
      <c r="G792" s="358"/>
      <c r="H792" s="358"/>
      <c r="I792" s="358"/>
      <c r="J792" s="358"/>
      <c r="K792" s="358"/>
      <c r="L792" s="358"/>
      <c r="M792" s="358"/>
      <c r="N792" s="358"/>
      <c r="O792" s="358"/>
      <c r="P792" s="358"/>
      <c r="Q792" s="358"/>
      <c r="R792" s="358"/>
      <c r="S792" s="358"/>
      <c r="T792" s="358"/>
      <c r="U792" s="358"/>
      <c r="V792" s="358"/>
      <c r="W792" s="358"/>
      <c r="X792" s="358"/>
      <c r="Y792" s="358"/>
      <c r="Z792" s="358"/>
    </row>
    <row r="793" spans="1:26" ht="15.75" customHeight="1" x14ac:dyDescent="0.25">
      <c r="A793" s="358"/>
      <c r="B793" s="358"/>
      <c r="C793" s="358"/>
      <c r="D793" s="358"/>
      <c r="E793" s="358"/>
      <c r="F793" s="358"/>
      <c r="G793" s="358"/>
      <c r="H793" s="358"/>
      <c r="I793" s="358"/>
      <c r="J793" s="358"/>
      <c r="K793" s="358"/>
      <c r="L793" s="358"/>
      <c r="M793" s="358"/>
      <c r="N793" s="358"/>
      <c r="O793" s="358"/>
      <c r="P793" s="358"/>
      <c r="Q793" s="358"/>
      <c r="R793" s="358"/>
      <c r="S793" s="358"/>
      <c r="T793" s="358"/>
      <c r="U793" s="358"/>
      <c r="V793" s="358"/>
      <c r="W793" s="358"/>
      <c r="X793" s="358"/>
      <c r="Y793" s="358"/>
      <c r="Z793" s="358"/>
    </row>
    <row r="794" spans="1:26" ht="15.75" customHeight="1" x14ac:dyDescent="0.25">
      <c r="A794" s="358"/>
      <c r="B794" s="358"/>
      <c r="C794" s="358"/>
      <c r="D794" s="358"/>
      <c r="E794" s="358"/>
      <c r="F794" s="358"/>
      <c r="G794" s="358"/>
      <c r="H794" s="358"/>
      <c r="I794" s="358"/>
      <c r="J794" s="358"/>
      <c r="K794" s="358"/>
      <c r="L794" s="358"/>
      <c r="M794" s="358"/>
      <c r="N794" s="358"/>
      <c r="O794" s="358"/>
      <c r="P794" s="358"/>
      <c r="Q794" s="358"/>
      <c r="R794" s="358"/>
      <c r="S794" s="358"/>
      <c r="T794" s="358"/>
      <c r="U794" s="358"/>
      <c r="V794" s="358"/>
      <c r="W794" s="358"/>
      <c r="X794" s="358"/>
      <c r="Y794" s="358"/>
      <c r="Z794" s="358"/>
    </row>
    <row r="795" spans="1:26" ht="15.75" customHeight="1" x14ac:dyDescent="0.25">
      <c r="A795" s="358"/>
      <c r="B795" s="358"/>
      <c r="C795" s="358"/>
      <c r="D795" s="358"/>
      <c r="E795" s="358"/>
      <c r="F795" s="358"/>
      <c r="G795" s="358"/>
      <c r="H795" s="358"/>
      <c r="I795" s="358"/>
      <c r="J795" s="358"/>
      <c r="K795" s="358"/>
      <c r="L795" s="358"/>
      <c r="M795" s="358"/>
      <c r="N795" s="358"/>
      <c r="O795" s="358"/>
      <c r="P795" s="358"/>
      <c r="Q795" s="358"/>
      <c r="R795" s="358"/>
      <c r="S795" s="358"/>
      <c r="T795" s="358"/>
      <c r="U795" s="358"/>
      <c r="V795" s="358"/>
      <c r="W795" s="358"/>
      <c r="X795" s="358"/>
      <c r="Y795" s="358"/>
      <c r="Z795" s="358"/>
    </row>
    <row r="796" spans="1:26" ht="15.75" customHeight="1" x14ac:dyDescent="0.25">
      <c r="A796" s="358"/>
      <c r="B796" s="358"/>
      <c r="C796" s="358"/>
      <c r="D796" s="358"/>
      <c r="E796" s="358"/>
      <c r="F796" s="358"/>
      <c r="G796" s="358"/>
      <c r="H796" s="358"/>
      <c r="I796" s="358"/>
      <c r="J796" s="358"/>
      <c r="K796" s="358"/>
      <c r="L796" s="358"/>
      <c r="M796" s="358"/>
      <c r="N796" s="358"/>
      <c r="O796" s="358"/>
      <c r="P796" s="358"/>
      <c r="Q796" s="358"/>
      <c r="R796" s="358"/>
      <c r="S796" s="358"/>
      <c r="T796" s="358"/>
      <c r="U796" s="358"/>
      <c r="V796" s="358"/>
      <c r="W796" s="358"/>
      <c r="X796" s="358"/>
      <c r="Y796" s="358"/>
      <c r="Z796" s="358"/>
    </row>
    <row r="797" spans="1:26" ht="15.75" customHeight="1" x14ac:dyDescent="0.25">
      <c r="A797" s="358"/>
      <c r="B797" s="358"/>
      <c r="C797" s="358"/>
      <c r="D797" s="358"/>
      <c r="E797" s="358"/>
      <c r="F797" s="358"/>
      <c r="G797" s="358"/>
      <c r="H797" s="358"/>
      <c r="I797" s="358"/>
      <c r="J797" s="358"/>
      <c r="K797" s="358"/>
      <c r="L797" s="358"/>
      <c r="M797" s="358"/>
      <c r="N797" s="358"/>
      <c r="O797" s="358"/>
      <c r="P797" s="358"/>
      <c r="Q797" s="358"/>
      <c r="R797" s="358"/>
      <c r="S797" s="358"/>
      <c r="T797" s="358"/>
      <c r="U797" s="358"/>
      <c r="V797" s="358"/>
      <c r="W797" s="358"/>
      <c r="X797" s="358"/>
      <c r="Y797" s="358"/>
      <c r="Z797" s="358"/>
    </row>
    <row r="798" spans="1:26" ht="15.75" customHeight="1" x14ac:dyDescent="0.25">
      <c r="A798" s="358"/>
      <c r="B798" s="358"/>
      <c r="C798" s="358"/>
      <c r="D798" s="358"/>
      <c r="E798" s="358"/>
      <c r="F798" s="358"/>
      <c r="G798" s="358"/>
      <c r="H798" s="358"/>
      <c r="I798" s="358"/>
      <c r="J798" s="358"/>
      <c r="K798" s="358"/>
      <c r="L798" s="358"/>
      <c r="M798" s="358"/>
      <c r="N798" s="358"/>
      <c r="O798" s="358"/>
      <c r="P798" s="358"/>
      <c r="Q798" s="358"/>
      <c r="R798" s="358"/>
      <c r="S798" s="358"/>
      <c r="T798" s="358"/>
      <c r="U798" s="358"/>
      <c r="V798" s="358"/>
      <c r="W798" s="358"/>
      <c r="X798" s="358"/>
      <c r="Y798" s="358"/>
      <c r="Z798" s="358"/>
    </row>
    <row r="799" spans="1:26" ht="15.75" customHeight="1" x14ac:dyDescent="0.25">
      <c r="A799" s="358"/>
      <c r="B799" s="358"/>
      <c r="C799" s="358"/>
      <c r="D799" s="358"/>
      <c r="E799" s="358"/>
      <c r="F799" s="358"/>
      <c r="G799" s="358"/>
      <c r="H799" s="358"/>
      <c r="I799" s="358"/>
      <c r="J799" s="358"/>
      <c r="K799" s="358"/>
      <c r="L799" s="358"/>
      <c r="M799" s="358"/>
      <c r="N799" s="358"/>
      <c r="O799" s="358"/>
      <c r="P799" s="358"/>
      <c r="Q799" s="358"/>
      <c r="R799" s="358"/>
      <c r="S799" s="358"/>
      <c r="T799" s="358"/>
      <c r="U799" s="358"/>
      <c r="V799" s="358"/>
      <c r="W799" s="358"/>
      <c r="X799" s="358"/>
      <c r="Y799" s="358"/>
      <c r="Z799" s="358"/>
    </row>
    <row r="800" spans="1:26" ht="15.75" customHeight="1" x14ac:dyDescent="0.25">
      <c r="A800" s="358"/>
      <c r="B800" s="358"/>
      <c r="C800" s="358"/>
      <c r="D800" s="358"/>
      <c r="E800" s="358"/>
      <c r="F800" s="358"/>
      <c r="G800" s="358"/>
      <c r="H800" s="358"/>
      <c r="I800" s="358"/>
      <c r="J800" s="358"/>
      <c r="K800" s="358"/>
      <c r="L800" s="358"/>
      <c r="M800" s="358"/>
      <c r="N800" s="358"/>
      <c r="O800" s="358"/>
      <c r="P800" s="358"/>
      <c r="Q800" s="358"/>
      <c r="R800" s="358"/>
      <c r="S800" s="358"/>
      <c r="T800" s="358"/>
      <c r="U800" s="358"/>
      <c r="V800" s="358"/>
      <c r="W800" s="358"/>
      <c r="X800" s="358"/>
      <c r="Y800" s="358"/>
      <c r="Z800" s="358"/>
    </row>
    <row r="801" spans="1:26" ht="15.75" customHeight="1" x14ac:dyDescent="0.25">
      <c r="A801" s="358"/>
      <c r="B801" s="358"/>
      <c r="C801" s="358"/>
      <c r="D801" s="358"/>
      <c r="E801" s="358"/>
      <c r="F801" s="358"/>
      <c r="G801" s="358"/>
      <c r="H801" s="358"/>
      <c r="I801" s="358"/>
      <c r="J801" s="358"/>
      <c r="K801" s="358"/>
      <c r="L801" s="358"/>
      <c r="M801" s="358"/>
      <c r="N801" s="358"/>
      <c r="O801" s="358"/>
      <c r="P801" s="358"/>
      <c r="Q801" s="358"/>
      <c r="R801" s="358"/>
      <c r="S801" s="358"/>
      <c r="T801" s="358"/>
      <c r="U801" s="358"/>
      <c r="V801" s="358"/>
      <c r="W801" s="358"/>
      <c r="X801" s="358"/>
      <c r="Y801" s="358"/>
      <c r="Z801" s="358"/>
    </row>
    <row r="802" spans="1:26" ht="15.75" customHeight="1" x14ac:dyDescent="0.25">
      <c r="A802" s="358"/>
      <c r="B802" s="358"/>
      <c r="C802" s="358"/>
      <c r="D802" s="358"/>
      <c r="E802" s="358"/>
      <c r="F802" s="358"/>
      <c r="G802" s="358"/>
      <c r="H802" s="358"/>
      <c r="I802" s="358"/>
      <c r="J802" s="358"/>
      <c r="K802" s="358"/>
      <c r="L802" s="358"/>
      <c r="M802" s="358"/>
      <c r="N802" s="358"/>
      <c r="O802" s="358"/>
      <c r="P802" s="358"/>
      <c r="Q802" s="358"/>
      <c r="R802" s="358"/>
      <c r="S802" s="358"/>
      <c r="T802" s="358"/>
      <c r="U802" s="358"/>
      <c r="V802" s="358"/>
      <c r="W802" s="358"/>
      <c r="X802" s="358"/>
      <c r="Y802" s="358"/>
      <c r="Z802" s="358"/>
    </row>
    <row r="803" spans="1:26" ht="15.75" customHeight="1" x14ac:dyDescent="0.25">
      <c r="A803" s="358"/>
      <c r="B803" s="358"/>
      <c r="C803" s="358"/>
      <c r="D803" s="358"/>
      <c r="E803" s="358"/>
      <c r="F803" s="358"/>
      <c r="G803" s="358"/>
      <c r="H803" s="358"/>
      <c r="I803" s="358"/>
      <c r="J803" s="358"/>
      <c r="K803" s="358"/>
      <c r="L803" s="358"/>
      <c r="M803" s="358"/>
      <c r="N803" s="358"/>
      <c r="O803" s="358"/>
      <c r="P803" s="358"/>
      <c r="Q803" s="358"/>
      <c r="R803" s="358"/>
      <c r="S803" s="358"/>
      <c r="T803" s="358"/>
      <c r="U803" s="358"/>
      <c r="V803" s="358"/>
      <c r="W803" s="358"/>
      <c r="X803" s="358"/>
      <c r="Y803" s="358"/>
      <c r="Z803" s="358"/>
    </row>
    <row r="804" spans="1:26" ht="15.75" customHeight="1" x14ac:dyDescent="0.25">
      <c r="A804" s="358"/>
      <c r="B804" s="358"/>
      <c r="C804" s="358"/>
      <c r="D804" s="358"/>
      <c r="E804" s="358"/>
      <c r="F804" s="358"/>
      <c r="G804" s="358"/>
      <c r="H804" s="358"/>
      <c r="I804" s="358"/>
      <c r="J804" s="358"/>
      <c r="K804" s="358"/>
      <c r="L804" s="358"/>
      <c r="M804" s="358"/>
      <c r="N804" s="358"/>
      <c r="O804" s="358"/>
      <c r="P804" s="358"/>
      <c r="Q804" s="358"/>
      <c r="R804" s="358"/>
      <c r="S804" s="358"/>
      <c r="T804" s="358"/>
      <c r="U804" s="358"/>
      <c r="V804" s="358"/>
      <c r="W804" s="358"/>
      <c r="X804" s="358"/>
      <c r="Y804" s="358"/>
      <c r="Z804" s="358"/>
    </row>
    <row r="805" spans="1:26" ht="15.75" customHeight="1" x14ac:dyDescent="0.25">
      <c r="A805" s="358"/>
      <c r="B805" s="358"/>
      <c r="C805" s="358"/>
      <c r="D805" s="358"/>
      <c r="E805" s="358"/>
      <c r="F805" s="358"/>
      <c r="G805" s="358"/>
      <c r="H805" s="358"/>
      <c r="I805" s="358"/>
      <c r="J805" s="358"/>
      <c r="K805" s="358"/>
      <c r="L805" s="358"/>
      <c r="M805" s="358"/>
      <c r="N805" s="358"/>
      <c r="O805" s="358"/>
      <c r="P805" s="358"/>
      <c r="Q805" s="358"/>
      <c r="R805" s="358"/>
      <c r="S805" s="358"/>
      <c r="T805" s="358"/>
      <c r="U805" s="358"/>
      <c r="V805" s="358"/>
      <c r="W805" s="358"/>
      <c r="X805" s="358"/>
      <c r="Y805" s="358"/>
      <c r="Z805" s="358"/>
    </row>
    <row r="806" spans="1:26" ht="15.75" customHeight="1" x14ac:dyDescent="0.25">
      <c r="A806" s="358"/>
      <c r="B806" s="358"/>
      <c r="C806" s="358"/>
      <c r="D806" s="358"/>
      <c r="E806" s="358"/>
      <c r="F806" s="358"/>
      <c r="G806" s="358"/>
      <c r="H806" s="358"/>
      <c r="I806" s="358"/>
      <c r="J806" s="358"/>
      <c r="K806" s="358"/>
      <c r="L806" s="358"/>
      <c r="M806" s="358"/>
      <c r="N806" s="358"/>
      <c r="O806" s="358"/>
      <c r="P806" s="358"/>
      <c r="Q806" s="358"/>
      <c r="R806" s="358"/>
      <c r="S806" s="358"/>
      <c r="T806" s="358"/>
      <c r="U806" s="358"/>
      <c r="V806" s="358"/>
      <c r="W806" s="358"/>
      <c r="X806" s="358"/>
      <c r="Y806" s="358"/>
      <c r="Z806" s="358"/>
    </row>
    <row r="807" spans="1:26" ht="15.75" customHeight="1" x14ac:dyDescent="0.25">
      <c r="A807" s="358"/>
      <c r="B807" s="358"/>
      <c r="C807" s="358"/>
      <c r="D807" s="358"/>
      <c r="E807" s="358"/>
      <c r="F807" s="358"/>
      <c r="G807" s="358"/>
      <c r="H807" s="358"/>
      <c r="I807" s="358"/>
      <c r="J807" s="358"/>
      <c r="K807" s="358"/>
      <c r="L807" s="358"/>
      <c r="M807" s="358"/>
      <c r="N807" s="358"/>
      <c r="O807" s="358"/>
      <c r="P807" s="358"/>
      <c r="Q807" s="358"/>
      <c r="R807" s="358"/>
      <c r="S807" s="358"/>
      <c r="T807" s="358"/>
      <c r="U807" s="358"/>
      <c r="V807" s="358"/>
      <c r="W807" s="358"/>
      <c r="X807" s="358"/>
      <c r="Y807" s="358"/>
      <c r="Z807" s="358"/>
    </row>
    <row r="808" spans="1:26" ht="15.75" customHeight="1" x14ac:dyDescent="0.25">
      <c r="A808" s="358"/>
      <c r="B808" s="358"/>
      <c r="C808" s="358"/>
      <c r="D808" s="358"/>
      <c r="E808" s="358"/>
      <c r="F808" s="358"/>
      <c r="G808" s="358"/>
      <c r="H808" s="358"/>
      <c r="I808" s="358"/>
      <c r="J808" s="358"/>
      <c r="K808" s="358"/>
      <c r="L808" s="358"/>
      <c r="M808" s="358"/>
      <c r="N808" s="358"/>
      <c r="O808" s="358"/>
      <c r="P808" s="358"/>
      <c r="Q808" s="358"/>
      <c r="R808" s="358"/>
      <c r="S808" s="358"/>
      <c r="T808" s="358"/>
      <c r="U808" s="358"/>
      <c r="V808" s="358"/>
      <c r="W808" s="358"/>
      <c r="X808" s="358"/>
      <c r="Y808" s="358"/>
      <c r="Z808" s="358"/>
    </row>
    <row r="809" spans="1:26" ht="15.75" customHeight="1" x14ac:dyDescent="0.25">
      <c r="A809" s="358"/>
      <c r="B809" s="358"/>
      <c r="C809" s="358"/>
      <c r="D809" s="358"/>
      <c r="E809" s="358"/>
      <c r="F809" s="358"/>
      <c r="G809" s="358"/>
      <c r="H809" s="358"/>
      <c r="I809" s="358"/>
      <c r="J809" s="358"/>
      <c r="K809" s="358"/>
      <c r="L809" s="358"/>
      <c r="M809" s="358"/>
      <c r="N809" s="358"/>
      <c r="O809" s="358"/>
      <c r="P809" s="358"/>
      <c r="Q809" s="358"/>
      <c r="R809" s="358"/>
      <c r="S809" s="358"/>
      <c r="T809" s="358"/>
      <c r="U809" s="358"/>
      <c r="V809" s="358"/>
      <c r="W809" s="358"/>
      <c r="X809" s="358"/>
      <c r="Y809" s="358"/>
      <c r="Z809" s="358"/>
    </row>
    <row r="810" spans="1:26" ht="15.75" customHeight="1" x14ac:dyDescent="0.25">
      <c r="A810" s="358"/>
      <c r="B810" s="358"/>
      <c r="C810" s="358"/>
      <c r="D810" s="358"/>
      <c r="E810" s="358"/>
      <c r="F810" s="358"/>
      <c r="G810" s="358"/>
      <c r="H810" s="358"/>
      <c r="I810" s="358"/>
      <c r="J810" s="358"/>
      <c r="K810" s="358"/>
      <c r="L810" s="358"/>
      <c r="M810" s="358"/>
      <c r="N810" s="358"/>
      <c r="O810" s="358"/>
      <c r="P810" s="358"/>
      <c r="Q810" s="358"/>
      <c r="R810" s="358"/>
      <c r="S810" s="358"/>
      <c r="T810" s="358"/>
      <c r="U810" s="358"/>
      <c r="V810" s="358"/>
      <c r="W810" s="358"/>
      <c r="X810" s="358"/>
      <c r="Y810" s="358"/>
      <c r="Z810" s="358"/>
    </row>
    <row r="811" spans="1:26" ht="15.75" customHeight="1" x14ac:dyDescent="0.25">
      <c r="A811" s="358"/>
      <c r="B811" s="358"/>
      <c r="C811" s="358"/>
      <c r="D811" s="358"/>
      <c r="E811" s="358"/>
      <c r="F811" s="358"/>
      <c r="G811" s="358"/>
      <c r="H811" s="358"/>
      <c r="I811" s="358"/>
      <c r="J811" s="358"/>
      <c r="K811" s="358"/>
      <c r="L811" s="358"/>
      <c r="M811" s="358"/>
      <c r="N811" s="358"/>
      <c r="O811" s="358"/>
      <c r="P811" s="358"/>
      <c r="Q811" s="358"/>
      <c r="R811" s="358"/>
      <c r="S811" s="358"/>
      <c r="T811" s="358"/>
      <c r="U811" s="358"/>
      <c r="V811" s="358"/>
      <c r="W811" s="358"/>
      <c r="X811" s="358"/>
      <c r="Y811" s="358"/>
      <c r="Z811" s="358"/>
    </row>
    <row r="812" spans="1:26" ht="15.75" customHeight="1" x14ac:dyDescent="0.25">
      <c r="A812" s="358"/>
      <c r="B812" s="358"/>
      <c r="C812" s="358"/>
      <c r="D812" s="358"/>
      <c r="E812" s="358"/>
      <c r="F812" s="358"/>
      <c r="G812" s="358"/>
      <c r="H812" s="358"/>
      <c r="I812" s="358"/>
      <c r="J812" s="358"/>
      <c r="K812" s="358"/>
      <c r="L812" s="358"/>
      <c r="M812" s="358"/>
      <c r="N812" s="358"/>
      <c r="O812" s="358"/>
      <c r="P812" s="358"/>
      <c r="Q812" s="358"/>
      <c r="R812" s="358"/>
      <c r="S812" s="358"/>
      <c r="T812" s="358"/>
      <c r="U812" s="358"/>
      <c r="V812" s="358"/>
      <c r="W812" s="358"/>
      <c r="X812" s="358"/>
      <c r="Y812" s="358"/>
      <c r="Z812" s="358"/>
    </row>
    <row r="813" spans="1:26" ht="15.75" customHeight="1" x14ac:dyDescent="0.25">
      <c r="A813" s="358"/>
      <c r="B813" s="358"/>
      <c r="C813" s="358"/>
      <c r="D813" s="358"/>
      <c r="E813" s="358"/>
      <c r="F813" s="358"/>
      <c r="G813" s="358"/>
      <c r="H813" s="358"/>
      <c r="I813" s="358"/>
      <c r="J813" s="358"/>
      <c r="K813" s="358"/>
      <c r="L813" s="358"/>
      <c r="M813" s="358"/>
      <c r="N813" s="358"/>
      <c r="O813" s="358"/>
      <c r="P813" s="358"/>
      <c r="Q813" s="358"/>
      <c r="R813" s="358"/>
      <c r="S813" s="358"/>
      <c r="T813" s="358"/>
      <c r="U813" s="358"/>
      <c r="V813" s="358"/>
      <c r="W813" s="358"/>
      <c r="X813" s="358"/>
      <c r="Y813" s="358"/>
      <c r="Z813" s="358"/>
    </row>
    <row r="814" spans="1:26" ht="15.75" customHeight="1" x14ac:dyDescent="0.25">
      <c r="A814" s="358"/>
      <c r="B814" s="358"/>
      <c r="C814" s="358"/>
      <c r="D814" s="358"/>
      <c r="E814" s="358"/>
      <c r="F814" s="358"/>
      <c r="G814" s="358"/>
      <c r="H814" s="358"/>
      <c r="I814" s="358"/>
      <c r="J814" s="358"/>
      <c r="K814" s="358"/>
      <c r="L814" s="358"/>
      <c r="M814" s="358"/>
      <c r="N814" s="358"/>
      <c r="O814" s="358"/>
      <c r="P814" s="358"/>
      <c r="Q814" s="358"/>
      <c r="R814" s="358"/>
      <c r="S814" s="358"/>
      <c r="T814" s="358"/>
      <c r="U814" s="358"/>
      <c r="V814" s="358"/>
      <c r="W814" s="358"/>
      <c r="X814" s="358"/>
      <c r="Y814" s="358"/>
      <c r="Z814" s="358"/>
    </row>
    <row r="815" spans="1:26" ht="15.75" customHeight="1" x14ac:dyDescent="0.25">
      <c r="A815" s="358"/>
      <c r="B815" s="358"/>
      <c r="C815" s="358"/>
      <c r="D815" s="358"/>
      <c r="E815" s="358"/>
      <c r="F815" s="358"/>
      <c r="G815" s="358"/>
      <c r="H815" s="358"/>
      <c r="I815" s="358"/>
      <c r="J815" s="358"/>
      <c r="K815" s="358"/>
      <c r="L815" s="358"/>
      <c r="M815" s="358"/>
      <c r="N815" s="358"/>
      <c r="O815" s="358"/>
      <c r="P815" s="358"/>
      <c r="Q815" s="358"/>
      <c r="R815" s="358"/>
      <c r="S815" s="358"/>
      <c r="T815" s="358"/>
      <c r="U815" s="358"/>
      <c r="V815" s="358"/>
      <c r="W815" s="358"/>
      <c r="X815" s="358"/>
      <c r="Y815" s="358"/>
      <c r="Z815" s="358"/>
    </row>
    <row r="816" spans="1:26" ht="15.75" customHeight="1" x14ac:dyDescent="0.25">
      <c r="A816" s="358"/>
      <c r="B816" s="358"/>
      <c r="C816" s="358"/>
      <c r="D816" s="358"/>
      <c r="E816" s="358"/>
      <c r="F816" s="358"/>
      <c r="G816" s="358"/>
      <c r="H816" s="358"/>
      <c r="I816" s="358"/>
      <c r="J816" s="358"/>
      <c r="K816" s="358"/>
      <c r="L816" s="358"/>
      <c r="M816" s="358"/>
      <c r="N816" s="358"/>
      <c r="O816" s="358"/>
      <c r="P816" s="358"/>
      <c r="Q816" s="358"/>
      <c r="R816" s="358"/>
      <c r="S816" s="358"/>
      <c r="T816" s="358"/>
      <c r="U816" s="358"/>
      <c r="V816" s="358"/>
      <c r="W816" s="358"/>
      <c r="X816" s="358"/>
      <c r="Y816" s="358"/>
      <c r="Z816" s="358"/>
    </row>
    <row r="817" spans="1:26" ht="15.75" customHeight="1" x14ac:dyDescent="0.25">
      <c r="A817" s="358"/>
      <c r="B817" s="358"/>
      <c r="C817" s="358"/>
      <c r="D817" s="358"/>
      <c r="E817" s="358"/>
      <c r="F817" s="358"/>
      <c r="G817" s="358"/>
      <c r="H817" s="358"/>
      <c r="I817" s="358"/>
      <c r="J817" s="358"/>
      <c r="K817" s="358"/>
      <c r="L817" s="358"/>
      <c r="M817" s="358"/>
      <c r="N817" s="358"/>
      <c r="O817" s="358"/>
      <c r="P817" s="358"/>
      <c r="Q817" s="358"/>
      <c r="R817" s="358"/>
      <c r="S817" s="358"/>
      <c r="T817" s="358"/>
      <c r="U817" s="358"/>
      <c r="V817" s="358"/>
      <c r="W817" s="358"/>
      <c r="X817" s="358"/>
      <c r="Y817" s="358"/>
      <c r="Z817" s="358"/>
    </row>
    <row r="818" spans="1:26" ht="15.75" customHeight="1" x14ac:dyDescent="0.25">
      <c r="A818" s="358"/>
      <c r="B818" s="358"/>
      <c r="C818" s="358"/>
      <c r="D818" s="358"/>
      <c r="E818" s="358"/>
      <c r="F818" s="358"/>
      <c r="G818" s="358"/>
      <c r="H818" s="358"/>
      <c r="I818" s="358"/>
      <c r="J818" s="358"/>
      <c r="K818" s="358"/>
      <c r="L818" s="358"/>
      <c r="M818" s="358"/>
      <c r="N818" s="358"/>
      <c r="O818" s="358"/>
      <c r="P818" s="358"/>
      <c r="Q818" s="358"/>
      <c r="R818" s="358"/>
      <c r="S818" s="358"/>
      <c r="T818" s="358"/>
      <c r="U818" s="358"/>
      <c r="V818" s="358"/>
      <c r="W818" s="358"/>
      <c r="X818" s="358"/>
      <c r="Y818" s="358"/>
      <c r="Z818" s="358"/>
    </row>
    <row r="819" spans="1:26" ht="15.75" customHeight="1" x14ac:dyDescent="0.25">
      <c r="A819" s="358"/>
      <c r="B819" s="358"/>
      <c r="C819" s="358"/>
      <c r="D819" s="358"/>
      <c r="E819" s="358"/>
      <c r="F819" s="358"/>
      <c r="G819" s="358"/>
      <c r="H819" s="358"/>
      <c r="I819" s="358"/>
      <c r="J819" s="358"/>
      <c r="K819" s="358"/>
      <c r="L819" s="358"/>
      <c r="M819" s="358"/>
      <c r="N819" s="358"/>
      <c r="O819" s="358"/>
      <c r="P819" s="358"/>
      <c r="Q819" s="358"/>
      <c r="R819" s="358"/>
      <c r="S819" s="358"/>
      <c r="T819" s="358"/>
      <c r="U819" s="358"/>
      <c r="V819" s="358"/>
      <c r="W819" s="358"/>
      <c r="X819" s="358"/>
      <c r="Y819" s="358"/>
      <c r="Z819" s="358"/>
    </row>
    <row r="820" spans="1:26" ht="15.75" customHeight="1" x14ac:dyDescent="0.25">
      <c r="A820" s="358"/>
      <c r="B820" s="358"/>
      <c r="C820" s="358"/>
      <c r="D820" s="358"/>
      <c r="E820" s="358"/>
      <c r="F820" s="358"/>
      <c r="G820" s="358"/>
      <c r="H820" s="358"/>
      <c r="I820" s="358"/>
      <c r="J820" s="358"/>
      <c r="K820" s="358"/>
      <c r="L820" s="358"/>
      <c r="M820" s="358"/>
      <c r="N820" s="358"/>
      <c r="O820" s="358"/>
      <c r="P820" s="358"/>
      <c r="Q820" s="358"/>
      <c r="R820" s="358"/>
      <c r="S820" s="358"/>
      <c r="T820" s="358"/>
      <c r="U820" s="358"/>
      <c r="V820" s="358"/>
      <c r="W820" s="358"/>
      <c r="X820" s="358"/>
      <c r="Y820" s="358"/>
      <c r="Z820" s="358"/>
    </row>
    <row r="821" spans="1:26" ht="15.75" customHeight="1" x14ac:dyDescent="0.25">
      <c r="A821" s="358"/>
      <c r="B821" s="358"/>
      <c r="C821" s="358"/>
      <c r="D821" s="358"/>
      <c r="E821" s="358"/>
      <c r="F821" s="358"/>
      <c r="G821" s="358"/>
      <c r="H821" s="358"/>
      <c r="I821" s="358"/>
      <c r="J821" s="358"/>
      <c r="K821" s="358"/>
      <c r="L821" s="358"/>
      <c r="M821" s="358"/>
      <c r="N821" s="358"/>
      <c r="O821" s="358"/>
      <c r="P821" s="358"/>
      <c r="Q821" s="358"/>
      <c r="R821" s="358"/>
      <c r="S821" s="358"/>
      <c r="T821" s="358"/>
      <c r="U821" s="358"/>
      <c r="V821" s="358"/>
      <c r="W821" s="358"/>
      <c r="X821" s="358"/>
      <c r="Y821" s="358"/>
      <c r="Z821" s="358"/>
    </row>
    <row r="822" spans="1:26" ht="15.75" customHeight="1" x14ac:dyDescent="0.25">
      <c r="A822" s="358"/>
      <c r="B822" s="358"/>
      <c r="C822" s="358"/>
      <c r="D822" s="358"/>
      <c r="E822" s="358"/>
      <c r="F822" s="358"/>
      <c r="G822" s="358"/>
      <c r="H822" s="358"/>
      <c r="I822" s="358"/>
      <c r="J822" s="358"/>
      <c r="K822" s="358"/>
      <c r="L822" s="358"/>
      <c r="M822" s="358"/>
      <c r="N822" s="358"/>
      <c r="O822" s="358"/>
      <c r="P822" s="358"/>
      <c r="Q822" s="358"/>
      <c r="R822" s="358"/>
      <c r="S822" s="358"/>
      <c r="T822" s="358"/>
      <c r="U822" s="358"/>
      <c r="V822" s="358"/>
      <c r="W822" s="358"/>
      <c r="X822" s="358"/>
      <c r="Y822" s="358"/>
      <c r="Z822" s="358"/>
    </row>
    <row r="823" spans="1:26" ht="15.75" customHeight="1" x14ac:dyDescent="0.25">
      <c r="A823" s="358"/>
      <c r="B823" s="358"/>
      <c r="C823" s="358"/>
      <c r="D823" s="358"/>
      <c r="E823" s="358"/>
      <c r="F823" s="358"/>
      <c r="G823" s="358"/>
      <c r="H823" s="358"/>
      <c r="I823" s="358"/>
      <c r="J823" s="358"/>
      <c r="K823" s="358"/>
      <c r="L823" s="358"/>
      <c r="M823" s="358"/>
      <c r="N823" s="358"/>
      <c r="O823" s="358"/>
      <c r="P823" s="358"/>
      <c r="Q823" s="358"/>
      <c r="R823" s="358"/>
      <c r="S823" s="358"/>
      <c r="T823" s="358"/>
      <c r="U823" s="358"/>
      <c r="V823" s="358"/>
      <c r="W823" s="358"/>
      <c r="X823" s="358"/>
      <c r="Y823" s="358"/>
      <c r="Z823" s="358"/>
    </row>
    <row r="824" spans="1:26" ht="15.75" customHeight="1" x14ac:dyDescent="0.25">
      <c r="A824" s="358"/>
      <c r="B824" s="358"/>
      <c r="C824" s="358"/>
      <c r="D824" s="358"/>
      <c r="E824" s="358"/>
      <c r="F824" s="358"/>
      <c r="G824" s="358"/>
      <c r="H824" s="358"/>
      <c r="I824" s="358"/>
      <c r="J824" s="358"/>
      <c r="K824" s="358"/>
      <c r="L824" s="358"/>
      <c r="M824" s="358"/>
      <c r="N824" s="358"/>
      <c r="O824" s="358"/>
      <c r="P824" s="358"/>
      <c r="Q824" s="358"/>
      <c r="R824" s="358"/>
      <c r="S824" s="358"/>
      <c r="T824" s="358"/>
      <c r="U824" s="358"/>
      <c r="V824" s="358"/>
      <c r="W824" s="358"/>
      <c r="X824" s="358"/>
      <c r="Y824" s="358"/>
      <c r="Z824" s="358"/>
    </row>
    <row r="825" spans="1:26" ht="15.75" customHeight="1" x14ac:dyDescent="0.25">
      <c r="A825" s="358"/>
      <c r="B825" s="358"/>
      <c r="C825" s="358"/>
      <c r="D825" s="358"/>
      <c r="E825" s="358"/>
      <c r="F825" s="358"/>
      <c r="G825" s="358"/>
      <c r="H825" s="358"/>
      <c r="I825" s="358"/>
      <c r="J825" s="358"/>
      <c r="K825" s="358"/>
      <c r="L825" s="358"/>
      <c r="M825" s="358"/>
      <c r="N825" s="358"/>
      <c r="O825" s="358"/>
      <c r="P825" s="358"/>
      <c r="Q825" s="358"/>
      <c r="R825" s="358"/>
      <c r="S825" s="358"/>
      <c r="T825" s="358"/>
      <c r="U825" s="358"/>
      <c r="V825" s="358"/>
      <c r="W825" s="358"/>
      <c r="X825" s="358"/>
      <c r="Y825" s="358"/>
      <c r="Z825" s="358"/>
    </row>
    <row r="826" spans="1:26" ht="15.75" customHeight="1" x14ac:dyDescent="0.25">
      <c r="A826" s="358"/>
      <c r="B826" s="358"/>
      <c r="C826" s="358"/>
      <c r="D826" s="358"/>
      <c r="E826" s="358"/>
      <c r="F826" s="358"/>
      <c r="G826" s="358"/>
      <c r="H826" s="358"/>
      <c r="I826" s="358"/>
      <c r="J826" s="358"/>
      <c r="K826" s="358"/>
      <c r="L826" s="358"/>
      <c r="M826" s="358"/>
      <c r="N826" s="358"/>
      <c r="O826" s="358"/>
      <c r="P826" s="358"/>
      <c r="Q826" s="358"/>
      <c r="R826" s="358"/>
      <c r="S826" s="358"/>
      <c r="T826" s="358"/>
      <c r="U826" s="358"/>
      <c r="V826" s="358"/>
      <c r="W826" s="358"/>
      <c r="X826" s="358"/>
      <c r="Y826" s="358"/>
      <c r="Z826" s="358"/>
    </row>
    <row r="827" spans="1:26" ht="15.75" customHeight="1" x14ac:dyDescent="0.25">
      <c r="A827" s="358"/>
      <c r="B827" s="358"/>
      <c r="C827" s="358"/>
      <c r="D827" s="358"/>
      <c r="E827" s="358"/>
      <c r="F827" s="358"/>
      <c r="G827" s="358"/>
      <c r="H827" s="358"/>
      <c r="I827" s="358"/>
      <c r="J827" s="358"/>
      <c r="K827" s="358"/>
      <c r="L827" s="358"/>
      <c r="M827" s="358"/>
      <c r="N827" s="358"/>
      <c r="O827" s="358"/>
      <c r="P827" s="358"/>
      <c r="Q827" s="358"/>
      <c r="R827" s="358"/>
      <c r="S827" s="358"/>
      <c r="T827" s="358"/>
      <c r="U827" s="358"/>
      <c r="V827" s="358"/>
      <c r="W827" s="358"/>
      <c r="X827" s="358"/>
      <c r="Y827" s="358"/>
      <c r="Z827" s="358"/>
    </row>
    <row r="828" spans="1:26" ht="15.75" customHeight="1" x14ac:dyDescent="0.25">
      <c r="A828" s="358"/>
      <c r="B828" s="358"/>
      <c r="C828" s="358"/>
      <c r="D828" s="358"/>
      <c r="E828" s="358"/>
      <c r="F828" s="358"/>
      <c r="G828" s="358"/>
      <c r="H828" s="358"/>
      <c r="I828" s="358"/>
      <c r="J828" s="358"/>
      <c r="K828" s="358"/>
      <c r="L828" s="358"/>
      <c r="M828" s="358"/>
      <c r="N828" s="358"/>
      <c r="O828" s="358"/>
      <c r="P828" s="358"/>
      <c r="Q828" s="358"/>
      <c r="R828" s="358"/>
      <c r="S828" s="358"/>
      <c r="T828" s="358"/>
      <c r="U828" s="358"/>
      <c r="V828" s="358"/>
      <c r="W828" s="358"/>
      <c r="X828" s="358"/>
      <c r="Y828" s="358"/>
      <c r="Z828" s="358"/>
    </row>
    <row r="829" spans="1:26" ht="15.75" customHeight="1" x14ac:dyDescent="0.25">
      <c r="A829" s="358"/>
      <c r="B829" s="358"/>
      <c r="C829" s="358"/>
      <c r="D829" s="358"/>
      <c r="E829" s="358"/>
      <c r="F829" s="358"/>
      <c r="G829" s="358"/>
      <c r="H829" s="358"/>
      <c r="I829" s="358"/>
      <c r="J829" s="358"/>
      <c r="K829" s="358"/>
      <c r="L829" s="358"/>
      <c r="M829" s="358"/>
      <c r="N829" s="358"/>
      <c r="O829" s="358"/>
      <c r="P829" s="358"/>
      <c r="Q829" s="358"/>
      <c r="R829" s="358"/>
      <c r="S829" s="358"/>
      <c r="T829" s="358"/>
      <c r="U829" s="358"/>
      <c r="V829" s="358"/>
      <c r="W829" s="358"/>
      <c r="X829" s="358"/>
      <c r="Y829" s="358"/>
      <c r="Z829" s="358"/>
    </row>
    <row r="830" spans="1:26" ht="15.75" customHeight="1" x14ac:dyDescent="0.25">
      <c r="A830" s="358"/>
      <c r="B830" s="358"/>
      <c r="C830" s="358"/>
      <c r="D830" s="358"/>
      <c r="E830" s="358"/>
      <c r="F830" s="358"/>
      <c r="G830" s="358"/>
      <c r="H830" s="358"/>
      <c r="I830" s="358"/>
      <c r="J830" s="358"/>
      <c r="K830" s="358"/>
      <c r="L830" s="358"/>
      <c r="M830" s="358"/>
      <c r="N830" s="358"/>
      <c r="O830" s="358"/>
      <c r="P830" s="358"/>
      <c r="Q830" s="358"/>
      <c r="R830" s="358"/>
      <c r="S830" s="358"/>
      <c r="T830" s="358"/>
      <c r="U830" s="358"/>
      <c r="V830" s="358"/>
      <c r="W830" s="358"/>
      <c r="X830" s="358"/>
      <c r="Y830" s="358"/>
      <c r="Z830" s="358"/>
    </row>
    <row r="831" spans="1:26" ht="15.75" customHeight="1" x14ac:dyDescent="0.25">
      <c r="A831" s="358"/>
      <c r="B831" s="358"/>
      <c r="C831" s="358"/>
      <c r="D831" s="358"/>
      <c r="E831" s="358"/>
      <c r="F831" s="358"/>
      <c r="G831" s="358"/>
      <c r="H831" s="358"/>
      <c r="I831" s="358"/>
      <c r="J831" s="358"/>
      <c r="K831" s="358"/>
      <c r="L831" s="358"/>
      <c r="M831" s="358"/>
      <c r="N831" s="358"/>
      <c r="O831" s="358"/>
      <c r="P831" s="358"/>
      <c r="Q831" s="358"/>
      <c r="R831" s="358"/>
      <c r="S831" s="358"/>
      <c r="T831" s="358"/>
      <c r="U831" s="358"/>
      <c r="V831" s="358"/>
      <c r="W831" s="358"/>
      <c r="X831" s="358"/>
      <c r="Y831" s="358"/>
      <c r="Z831" s="358"/>
    </row>
    <row r="832" spans="1:26" ht="15.75" customHeight="1" x14ac:dyDescent="0.25">
      <c r="A832" s="358"/>
      <c r="B832" s="358"/>
      <c r="C832" s="358"/>
      <c r="D832" s="358"/>
      <c r="E832" s="358"/>
      <c r="F832" s="358"/>
      <c r="G832" s="358"/>
      <c r="H832" s="358"/>
      <c r="I832" s="358"/>
      <c r="J832" s="358"/>
      <c r="K832" s="358"/>
      <c r="L832" s="358"/>
      <c r="M832" s="358"/>
      <c r="N832" s="358"/>
      <c r="O832" s="358"/>
      <c r="P832" s="358"/>
      <c r="Q832" s="358"/>
      <c r="R832" s="358"/>
      <c r="S832" s="358"/>
      <c r="T832" s="358"/>
      <c r="U832" s="358"/>
      <c r="V832" s="358"/>
      <c r="W832" s="358"/>
      <c r="X832" s="358"/>
      <c r="Y832" s="358"/>
      <c r="Z832" s="358"/>
    </row>
    <row r="833" spans="1:26" ht="15.75" customHeight="1" x14ac:dyDescent="0.25">
      <c r="A833" s="358"/>
      <c r="B833" s="358"/>
      <c r="C833" s="358"/>
      <c r="D833" s="358"/>
      <c r="E833" s="358"/>
      <c r="F833" s="358"/>
      <c r="G833" s="358"/>
      <c r="H833" s="358"/>
      <c r="I833" s="358"/>
      <c r="J833" s="358"/>
      <c r="K833" s="358"/>
      <c r="L833" s="358"/>
      <c r="M833" s="358"/>
      <c r="N833" s="358"/>
      <c r="O833" s="358"/>
      <c r="P833" s="358"/>
      <c r="Q833" s="358"/>
      <c r="R833" s="358"/>
      <c r="S833" s="358"/>
      <c r="T833" s="358"/>
      <c r="U833" s="358"/>
      <c r="V833" s="358"/>
      <c r="W833" s="358"/>
      <c r="X833" s="358"/>
      <c r="Y833" s="358"/>
      <c r="Z833" s="358"/>
    </row>
    <row r="834" spans="1:26" ht="15.75" customHeight="1" x14ac:dyDescent="0.25">
      <c r="A834" s="358"/>
      <c r="B834" s="358"/>
      <c r="C834" s="358"/>
      <c r="D834" s="358"/>
      <c r="E834" s="358"/>
      <c r="F834" s="358"/>
      <c r="G834" s="358"/>
      <c r="H834" s="358"/>
      <c r="I834" s="358"/>
      <c r="J834" s="358"/>
      <c r="K834" s="358"/>
      <c r="L834" s="358"/>
      <c r="M834" s="358"/>
      <c r="N834" s="358"/>
      <c r="O834" s="358"/>
      <c r="P834" s="358"/>
      <c r="Q834" s="358"/>
      <c r="R834" s="358"/>
      <c r="S834" s="358"/>
      <c r="T834" s="358"/>
      <c r="U834" s="358"/>
      <c r="V834" s="358"/>
      <c r="W834" s="358"/>
      <c r="X834" s="358"/>
      <c r="Y834" s="358"/>
      <c r="Z834" s="358"/>
    </row>
    <row r="835" spans="1:26" ht="15.75" customHeight="1" x14ac:dyDescent="0.25">
      <c r="A835" s="358"/>
      <c r="B835" s="358"/>
      <c r="C835" s="358"/>
      <c r="D835" s="358"/>
      <c r="E835" s="358"/>
      <c r="F835" s="358"/>
      <c r="G835" s="358"/>
      <c r="H835" s="358"/>
      <c r="I835" s="358"/>
      <c r="J835" s="358"/>
      <c r="K835" s="358"/>
      <c r="L835" s="358"/>
      <c r="M835" s="358"/>
      <c r="N835" s="358"/>
      <c r="O835" s="358"/>
      <c r="P835" s="358"/>
      <c r="Q835" s="358"/>
      <c r="R835" s="358"/>
      <c r="S835" s="358"/>
      <c r="T835" s="358"/>
      <c r="U835" s="358"/>
      <c r="V835" s="358"/>
      <c r="W835" s="358"/>
      <c r="X835" s="358"/>
      <c r="Y835" s="358"/>
      <c r="Z835" s="358"/>
    </row>
    <row r="836" spans="1:26" ht="15.75" customHeight="1" x14ac:dyDescent="0.25">
      <c r="A836" s="358"/>
      <c r="B836" s="358"/>
      <c r="C836" s="358"/>
      <c r="D836" s="358"/>
      <c r="E836" s="358"/>
      <c r="F836" s="358"/>
      <c r="G836" s="358"/>
      <c r="H836" s="358"/>
      <c r="I836" s="358"/>
      <c r="J836" s="358"/>
      <c r="K836" s="358"/>
      <c r="L836" s="358"/>
      <c r="M836" s="358"/>
      <c r="N836" s="358"/>
      <c r="O836" s="358"/>
      <c r="P836" s="358"/>
      <c r="Q836" s="358"/>
      <c r="R836" s="358"/>
      <c r="S836" s="358"/>
      <c r="T836" s="358"/>
      <c r="U836" s="358"/>
      <c r="V836" s="358"/>
      <c r="W836" s="358"/>
      <c r="X836" s="358"/>
      <c r="Y836" s="358"/>
      <c r="Z836" s="358"/>
    </row>
    <row r="837" spans="1:26" ht="15.75" customHeight="1" x14ac:dyDescent="0.25">
      <c r="A837" s="358"/>
      <c r="B837" s="358"/>
      <c r="C837" s="358"/>
      <c r="D837" s="358"/>
      <c r="E837" s="358"/>
      <c r="F837" s="358"/>
      <c r="G837" s="358"/>
      <c r="H837" s="358"/>
      <c r="I837" s="358"/>
      <c r="J837" s="358"/>
      <c r="K837" s="358"/>
      <c r="L837" s="358"/>
      <c r="M837" s="358"/>
      <c r="N837" s="358"/>
      <c r="O837" s="358"/>
      <c r="P837" s="358"/>
      <c r="Q837" s="358"/>
      <c r="R837" s="358"/>
      <c r="S837" s="358"/>
      <c r="T837" s="358"/>
      <c r="U837" s="358"/>
      <c r="V837" s="358"/>
      <c r="W837" s="358"/>
      <c r="X837" s="358"/>
      <c r="Y837" s="358"/>
      <c r="Z837" s="358"/>
    </row>
    <row r="838" spans="1:26" ht="15.75" customHeight="1" x14ac:dyDescent="0.25">
      <c r="A838" s="358"/>
      <c r="B838" s="358"/>
      <c r="C838" s="358"/>
      <c r="D838" s="358"/>
      <c r="E838" s="358"/>
      <c r="F838" s="358"/>
      <c r="G838" s="358"/>
      <c r="H838" s="358"/>
      <c r="I838" s="358"/>
      <c r="J838" s="358"/>
      <c r="K838" s="358"/>
      <c r="L838" s="358"/>
      <c r="M838" s="358"/>
      <c r="N838" s="358"/>
      <c r="O838" s="358"/>
      <c r="P838" s="358"/>
      <c r="Q838" s="358"/>
      <c r="R838" s="358"/>
      <c r="S838" s="358"/>
      <c r="T838" s="358"/>
      <c r="U838" s="358"/>
      <c r="V838" s="358"/>
      <c r="W838" s="358"/>
      <c r="X838" s="358"/>
      <c r="Y838" s="358"/>
      <c r="Z838" s="358"/>
    </row>
    <row r="839" spans="1:26" ht="15.75" customHeight="1" x14ac:dyDescent="0.25">
      <c r="A839" s="358"/>
      <c r="B839" s="358"/>
      <c r="C839" s="358"/>
      <c r="D839" s="358"/>
      <c r="E839" s="358"/>
      <c r="F839" s="358"/>
      <c r="G839" s="358"/>
      <c r="H839" s="358"/>
      <c r="I839" s="358"/>
      <c r="J839" s="358"/>
      <c r="K839" s="358"/>
      <c r="L839" s="358"/>
      <c r="M839" s="358"/>
      <c r="N839" s="358"/>
      <c r="O839" s="358"/>
      <c r="P839" s="358"/>
      <c r="Q839" s="358"/>
      <c r="R839" s="358"/>
      <c r="S839" s="358"/>
      <c r="T839" s="358"/>
      <c r="U839" s="358"/>
      <c r="V839" s="358"/>
      <c r="W839" s="358"/>
      <c r="X839" s="358"/>
      <c r="Y839" s="358"/>
      <c r="Z839" s="358"/>
    </row>
    <row r="840" spans="1:26" ht="15.75" customHeight="1" x14ac:dyDescent="0.25">
      <c r="A840" s="358"/>
      <c r="B840" s="358"/>
      <c r="C840" s="358"/>
      <c r="D840" s="358"/>
      <c r="E840" s="358"/>
      <c r="F840" s="358"/>
      <c r="G840" s="358"/>
      <c r="H840" s="358"/>
      <c r="I840" s="358"/>
      <c r="J840" s="358"/>
      <c r="K840" s="358"/>
      <c r="L840" s="358"/>
      <c r="M840" s="358"/>
      <c r="N840" s="358"/>
      <c r="O840" s="358"/>
      <c r="P840" s="358"/>
      <c r="Q840" s="358"/>
      <c r="R840" s="358"/>
      <c r="S840" s="358"/>
      <c r="T840" s="358"/>
      <c r="U840" s="358"/>
      <c r="V840" s="358"/>
      <c r="W840" s="358"/>
      <c r="X840" s="358"/>
      <c r="Y840" s="358"/>
      <c r="Z840" s="358"/>
    </row>
    <row r="841" spans="1:26" ht="15.75" customHeight="1" x14ac:dyDescent="0.25">
      <c r="A841" s="358"/>
      <c r="B841" s="358"/>
      <c r="C841" s="358"/>
      <c r="D841" s="358"/>
      <c r="E841" s="358"/>
      <c r="F841" s="358"/>
      <c r="G841" s="358"/>
      <c r="H841" s="358"/>
      <c r="I841" s="358"/>
      <c r="J841" s="358"/>
      <c r="K841" s="358"/>
      <c r="L841" s="358"/>
      <c r="M841" s="358"/>
      <c r="N841" s="358"/>
      <c r="O841" s="358"/>
      <c r="P841" s="358"/>
      <c r="Q841" s="358"/>
      <c r="R841" s="358"/>
      <c r="S841" s="358"/>
      <c r="T841" s="358"/>
      <c r="U841" s="358"/>
      <c r="V841" s="358"/>
      <c r="W841" s="358"/>
      <c r="X841" s="358"/>
      <c r="Y841" s="358"/>
      <c r="Z841" s="358"/>
    </row>
    <row r="842" spans="1:26" ht="15.75" customHeight="1" x14ac:dyDescent="0.25">
      <c r="A842" s="358"/>
      <c r="B842" s="358"/>
      <c r="C842" s="358"/>
      <c r="D842" s="358"/>
      <c r="E842" s="358"/>
      <c r="F842" s="358"/>
      <c r="G842" s="358"/>
      <c r="H842" s="358"/>
      <c r="I842" s="358"/>
      <c r="J842" s="358"/>
      <c r="K842" s="358"/>
      <c r="L842" s="358"/>
      <c r="M842" s="358"/>
      <c r="N842" s="358"/>
      <c r="O842" s="358"/>
      <c r="P842" s="358"/>
      <c r="Q842" s="358"/>
      <c r="R842" s="358"/>
      <c r="S842" s="358"/>
      <c r="T842" s="358"/>
      <c r="U842" s="358"/>
      <c r="V842" s="358"/>
      <c r="W842" s="358"/>
      <c r="X842" s="358"/>
      <c r="Y842" s="358"/>
      <c r="Z842" s="358"/>
    </row>
    <row r="843" spans="1:26" ht="15.75" customHeight="1" x14ac:dyDescent="0.25">
      <c r="A843" s="358"/>
      <c r="B843" s="358"/>
      <c r="C843" s="358"/>
      <c r="D843" s="358"/>
      <c r="E843" s="358"/>
      <c r="F843" s="358"/>
      <c r="G843" s="358"/>
      <c r="H843" s="358"/>
      <c r="I843" s="358"/>
      <c r="J843" s="358"/>
      <c r="K843" s="358"/>
      <c r="L843" s="358"/>
      <c r="M843" s="358"/>
      <c r="N843" s="358"/>
      <c r="O843" s="358"/>
      <c r="P843" s="358"/>
      <c r="Q843" s="358"/>
      <c r="R843" s="358"/>
      <c r="S843" s="358"/>
      <c r="T843" s="358"/>
      <c r="U843" s="358"/>
      <c r="V843" s="358"/>
      <c r="W843" s="358"/>
      <c r="X843" s="358"/>
      <c r="Y843" s="358"/>
      <c r="Z843" s="358"/>
    </row>
    <row r="844" spans="1:26" ht="15.75" customHeight="1" x14ac:dyDescent="0.25">
      <c r="A844" s="358"/>
      <c r="B844" s="358"/>
      <c r="C844" s="358"/>
      <c r="D844" s="358"/>
      <c r="E844" s="358"/>
      <c r="F844" s="358"/>
      <c r="G844" s="358"/>
      <c r="H844" s="358"/>
      <c r="I844" s="358"/>
      <c r="J844" s="358"/>
      <c r="K844" s="358"/>
      <c r="L844" s="358"/>
      <c r="M844" s="358"/>
      <c r="N844" s="358"/>
      <c r="O844" s="358"/>
      <c r="P844" s="358"/>
      <c r="Q844" s="358"/>
      <c r="R844" s="358"/>
      <c r="S844" s="358"/>
      <c r="T844" s="358"/>
      <c r="U844" s="358"/>
      <c r="V844" s="358"/>
      <c r="W844" s="358"/>
      <c r="X844" s="358"/>
      <c r="Y844" s="358"/>
      <c r="Z844" s="358"/>
    </row>
    <row r="845" spans="1:26" ht="15.75" customHeight="1" x14ac:dyDescent="0.25">
      <c r="A845" s="358"/>
      <c r="B845" s="358"/>
      <c r="C845" s="358"/>
      <c r="D845" s="358"/>
      <c r="E845" s="358"/>
      <c r="F845" s="358"/>
      <c r="G845" s="358"/>
      <c r="H845" s="358"/>
      <c r="I845" s="358"/>
      <c r="J845" s="358"/>
      <c r="K845" s="358"/>
      <c r="L845" s="358"/>
      <c r="M845" s="358"/>
      <c r="N845" s="358"/>
      <c r="O845" s="358"/>
      <c r="P845" s="358"/>
      <c r="Q845" s="358"/>
      <c r="R845" s="358"/>
      <c r="S845" s="358"/>
      <c r="T845" s="358"/>
      <c r="U845" s="358"/>
      <c r="V845" s="358"/>
      <c r="W845" s="358"/>
      <c r="X845" s="358"/>
      <c r="Y845" s="358"/>
      <c r="Z845" s="358"/>
    </row>
    <row r="846" spans="1:26" ht="15.75" customHeight="1" x14ac:dyDescent="0.25">
      <c r="A846" s="358"/>
      <c r="B846" s="358"/>
      <c r="C846" s="358"/>
      <c r="D846" s="358"/>
      <c r="E846" s="358"/>
      <c r="F846" s="358"/>
      <c r="G846" s="358"/>
      <c r="H846" s="358"/>
      <c r="I846" s="358"/>
      <c r="J846" s="358"/>
      <c r="K846" s="358"/>
      <c r="L846" s="358"/>
      <c r="M846" s="358"/>
      <c r="N846" s="358"/>
      <c r="O846" s="358"/>
      <c r="P846" s="358"/>
      <c r="Q846" s="358"/>
      <c r="R846" s="358"/>
      <c r="S846" s="358"/>
      <c r="T846" s="358"/>
      <c r="U846" s="358"/>
      <c r="V846" s="358"/>
      <c r="W846" s="358"/>
      <c r="X846" s="358"/>
      <c r="Y846" s="358"/>
      <c r="Z846" s="358"/>
    </row>
    <row r="847" spans="1:26" ht="15.75" customHeight="1" x14ac:dyDescent="0.25">
      <c r="A847" s="358"/>
      <c r="B847" s="358"/>
      <c r="C847" s="358"/>
      <c r="D847" s="358"/>
      <c r="E847" s="358"/>
      <c r="F847" s="358"/>
      <c r="G847" s="358"/>
      <c r="H847" s="358"/>
      <c r="I847" s="358"/>
      <c r="J847" s="358"/>
      <c r="K847" s="358"/>
      <c r="L847" s="358"/>
      <c r="M847" s="358"/>
      <c r="N847" s="358"/>
      <c r="O847" s="358"/>
      <c r="P847" s="358"/>
      <c r="Q847" s="358"/>
      <c r="R847" s="358"/>
      <c r="S847" s="358"/>
      <c r="T847" s="358"/>
      <c r="U847" s="358"/>
      <c r="V847" s="358"/>
      <c r="W847" s="358"/>
      <c r="X847" s="358"/>
      <c r="Y847" s="358"/>
      <c r="Z847" s="358"/>
    </row>
    <row r="848" spans="1:26" ht="15.75" customHeight="1" x14ac:dyDescent="0.25">
      <c r="A848" s="358"/>
      <c r="B848" s="358"/>
      <c r="C848" s="358"/>
      <c r="D848" s="358"/>
      <c r="E848" s="358"/>
      <c r="F848" s="358"/>
      <c r="G848" s="358"/>
      <c r="H848" s="358"/>
      <c r="I848" s="358"/>
      <c r="J848" s="358"/>
      <c r="K848" s="358"/>
      <c r="L848" s="358"/>
      <c r="M848" s="358"/>
      <c r="N848" s="358"/>
      <c r="O848" s="358"/>
      <c r="P848" s="358"/>
      <c r="Q848" s="358"/>
      <c r="R848" s="358"/>
      <c r="S848" s="358"/>
      <c r="T848" s="358"/>
      <c r="U848" s="358"/>
      <c r="V848" s="358"/>
      <c r="W848" s="358"/>
      <c r="X848" s="358"/>
      <c r="Y848" s="358"/>
      <c r="Z848" s="358"/>
    </row>
    <row r="849" spans="1:26" ht="15.75" customHeight="1" x14ac:dyDescent="0.25">
      <c r="A849" s="358"/>
      <c r="B849" s="358"/>
      <c r="C849" s="358"/>
      <c r="D849" s="358"/>
      <c r="E849" s="358"/>
      <c r="F849" s="358"/>
      <c r="G849" s="358"/>
      <c r="H849" s="358"/>
      <c r="I849" s="358"/>
      <c r="J849" s="358"/>
      <c r="K849" s="358"/>
      <c r="L849" s="358"/>
      <c r="M849" s="358"/>
      <c r="N849" s="358"/>
      <c r="O849" s="358"/>
      <c r="P849" s="358"/>
      <c r="Q849" s="358"/>
      <c r="R849" s="358"/>
      <c r="S849" s="358"/>
      <c r="T849" s="358"/>
      <c r="U849" s="358"/>
      <c r="V849" s="358"/>
      <c r="W849" s="358"/>
      <c r="X849" s="358"/>
      <c r="Y849" s="358"/>
      <c r="Z849" s="358"/>
    </row>
    <row r="850" spans="1:26" ht="15.75" customHeight="1" x14ac:dyDescent="0.25">
      <c r="A850" s="358"/>
      <c r="B850" s="358"/>
      <c r="C850" s="358"/>
      <c r="D850" s="358"/>
      <c r="E850" s="358"/>
      <c r="F850" s="358"/>
      <c r="G850" s="358"/>
      <c r="H850" s="358"/>
      <c r="I850" s="358"/>
      <c r="J850" s="358"/>
      <c r="K850" s="358"/>
      <c r="L850" s="358"/>
      <c r="M850" s="358"/>
      <c r="N850" s="358"/>
      <c r="O850" s="358"/>
      <c r="P850" s="358"/>
      <c r="Q850" s="358"/>
      <c r="R850" s="358"/>
      <c r="S850" s="358"/>
      <c r="T850" s="358"/>
      <c r="U850" s="358"/>
      <c r="V850" s="358"/>
      <c r="W850" s="358"/>
      <c r="X850" s="358"/>
      <c r="Y850" s="358"/>
      <c r="Z850" s="358"/>
    </row>
    <row r="851" spans="1:26" ht="15.75" customHeight="1" x14ac:dyDescent="0.25">
      <c r="A851" s="358"/>
      <c r="B851" s="358"/>
      <c r="C851" s="358"/>
      <c r="D851" s="358"/>
      <c r="E851" s="358"/>
      <c r="F851" s="358"/>
      <c r="G851" s="358"/>
      <c r="H851" s="358"/>
      <c r="I851" s="358"/>
      <c r="J851" s="358"/>
      <c r="K851" s="358"/>
      <c r="L851" s="358"/>
      <c r="M851" s="358"/>
      <c r="N851" s="358"/>
      <c r="O851" s="358"/>
      <c r="P851" s="358"/>
      <c r="Q851" s="358"/>
      <c r="R851" s="358"/>
      <c r="S851" s="358"/>
      <c r="T851" s="358"/>
      <c r="U851" s="358"/>
      <c r="V851" s="358"/>
      <c r="W851" s="358"/>
      <c r="X851" s="358"/>
      <c r="Y851" s="358"/>
      <c r="Z851" s="358"/>
    </row>
    <row r="852" spans="1:26" ht="15.75" customHeight="1" x14ac:dyDescent="0.25">
      <c r="A852" s="358"/>
      <c r="B852" s="358"/>
      <c r="C852" s="358"/>
      <c r="D852" s="358"/>
      <c r="E852" s="358"/>
      <c r="F852" s="358"/>
      <c r="G852" s="358"/>
      <c r="H852" s="358"/>
      <c r="I852" s="358"/>
      <c r="J852" s="358"/>
      <c r="K852" s="358"/>
      <c r="L852" s="358"/>
      <c r="M852" s="358"/>
      <c r="N852" s="358"/>
      <c r="O852" s="358"/>
      <c r="P852" s="358"/>
      <c r="Q852" s="358"/>
      <c r="R852" s="358"/>
      <c r="S852" s="358"/>
      <c r="T852" s="358"/>
      <c r="U852" s="358"/>
      <c r="V852" s="358"/>
      <c r="W852" s="358"/>
      <c r="X852" s="358"/>
      <c r="Y852" s="358"/>
      <c r="Z852" s="358"/>
    </row>
    <row r="853" spans="1:26" ht="15.75" customHeight="1" x14ac:dyDescent="0.25">
      <c r="A853" s="358"/>
      <c r="B853" s="358"/>
      <c r="C853" s="358"/>
      <c r="D853" s="358"/>
      <c r="E853" s="358"/>
      <c r="F853" s="358"/>
      <c r="G853" s="358"/>
      <c r="H853" s="358"/>
      <c r="I853" s="358"/>
      <c r="J853" s="358"/>
      <c r="K853" s="358"/>
      <c r="L853" s="358"/>
      <c r="M853" s="358"/>
      <c r="N853" s="358"/>
      <c r="O853" s="358"/>
      <c r="P853" s="358"/>
      <c r="Q853" s="358"/>
      <c r="R853" s="358"/>
      <c r="S853" s="358"/>
      <c r="T853" s="358"/>
      <c r="U853" s="358"/>
      <c r="V853" s="358"/>
      <c r="W853" s="358"/>
      <c r="X853" s="358"/>
      <c r="Y853" s="358"/>
      <c r="Z853" s="358"/>
    </row>
    <row r="854" spans="1:26" ht="15.75" customHeight="1" x14ac:dyDescent="0.25">
      <c r="A854" s="358"/>
      <c r="B854" s="358"/>
      <c r="C854" s="358"/>
      <c r="D854" s="358"/>
      <c r="E854" s="358"/>
      <c r="F854" s="358"/>
      <c r="G854" s="358"/>
      <c r="H854" s="358"/>
      <c r="I854" s="358"/>
      <c r="J854" s="358"/>
      <c r="K854" s="358"/>
      <c r="L854" s="358"/>
      <c r="M854" s="358"/>
      <c r="N854" s="358"/>
      <c r="O854" s="358"/>
      <c r="P854" s="358"/>
      <c r="Q854" s="358"/>
      <c r="R854" s="358"/>
      <c r="S854" s="358"/>
      <c r="T854" s="358"/>
      <c r="U854" s="358"/>
      <c r="V854" s="358"/>
      <c r="W854" s="358"/>
      <c r="X854" s="358"/>
      <c r="Y854" s="358"/>
      <c r="Z854" s="358"/>
    </row>
    <row r="855" spans="1:26" ht="15.75" customHeight="1" x14ac:dyDescent="0.25">
      <c r="A855" s="358"/>
      <c r="B855" s="358"/>
      <c r="C855" s="358"/>
      <c r="D855" s="358"/>
      <c r="E855" s="358"/>
      <c r="F855" s="358"/>
      <c r="G855" s="358"/>
      <c r="H855" s="358"/>
      <c r="I855" s="358"/>
      <c r="J855" s="358"/>
      <c r="K855" s="358"/>
      <c r="L855" s="358"/>
      <c r="M855" s="358"/>
      <c r="N855" s="358"/>
      <c r="O855" s="358"/>
      <c r="P855" s="358"/>
      <c r="Q855" s="358"/>
      <c r="R855" s="358"/>
      <c r="S855" s="358"/>
      <c r="T855" s="358"/>
      <c r="U855" s="358"/>
      <c r="V855" s="358"/>
      <c r="W855" s="358"/>
      <c r="X855" s="358"/>
      <c r="Y855" s="358"/>
      <c r="Z855" s="358"/>
    </row>
    <row r="856" spans="1:26" ht="15.75" customHeight="1" x14ac:dyDescent="0.25">
      <c r="A856" s="358"/>
      <c r="B856" s="358"/>
      <c r="C856" s="358"/>
      <c r="D856" s="358"/>
      <c r="E856" s="358"/>
      <c r="F856" s="358"/>
      <c r="G856" s="358"/>
      <c r="H856" s="358"/>
      <c r="I856" s="358"/>
      <c r="J856" s="358"/>
      <c r="K856" s="358"/>
      <c r="L856" s="358"/>
      <c r="M856" s="358"/>
      <c r="N856" s="358"/>
      <c r="O856" s="358"/>
      <c r="P856" s="358"/>
      <c r="Q856" s="358"/>
      <c r="R856" s="358"/>
      <c r="S856" s="358"/>
      <c r="T856" s="358"/>
      <c r="U856" s="358"/>
      <c r="V856" s="358"/>
      <c r="W856" s="358"/>
      <c r="X856" s="358"/>
      <c r="Y856" s="358"/>
      <c r="Z856" s="358"/>
    </row>
    <row r="857" spans="1:26" ht="15.75" customHeight="1" x14ac:dyDescent="0.25">
      <c r="A857" s="358"/>
      <c r="B857" s="358"/>
      <c r="C857" s="358"/>
      <c r="D857" s="358"/>
      <c r="E857" s="358"/>
      <c r="F857" s="358"/>
      <c r="G857" s="358"/>
      <c r="H857" s="358"/>
      <c r="I857" s="358"/>
      <c r="J857" s="358"/>
      <c r="K857" s="358"/>
      <c r="L857" s="358"/>
      <c r="M857" s="358"/>
      <c r="N857" s="358"/>
      <c r="O857" s="358"/>
      <c r="P857" s="358"/>
      <c r="Q857" s="358"/>
      <c r="R857" s="358"/>
      <c r="S857" s="358"/>
      <c r="T857" s="358"/>
      <c r="U857" s="358"/>
      <c r="V857" s="358"/>
      <c r="W857" s="358"/>
      <c r="X857" s="358"/>
      <c r="Y857" s="358"/>
      <c r="Z857" s="358"/>
    </row>
    <row r="858" spans="1:26" ht="15.75" customHeight="1" x14ac:dyDescent="0.25">
      <c r="A858" s="358"/>
      <c r="B858" s="358"/>
      <c r="C858" s="358"/>
      <c r="D858" s="358"/>
      <c r="E858" s="358"/>
      <c r="F858" s="358"/>
      <c r="G858" s="358"/>
      <c r="H858" s="358"/>
      <c r="I858" s="358"/>
      <c r="J858" s="358"/>
      <c r="K858" s="358"/>
      <c r="L858" s="358"/>
      <c r="M858" s="358"/>
      <c r="N858" s="358"/>
      <c r="O858" s="358"/>
      <c r="P858" s="358"/>
      <c r="Q858" s="358"/>
      <c r="R858" s="358"/>
      <c r="S858" s="358"/>
      <c r="T858" s="358"/>
      <c r="U858" s="358"/>
      <c r="V858" s="358"/>
      <c r="W858" s="358"/>
      <c r="X858" s="358"/>
      <c r="Y858" s="358"/>
      <c r="Z858" s="358"/>
    </row>
    <row r="859" spans="1:26" ht="15.75" customHeight="1" x14ac:dyDescent="0.25">
      <c r="A859" s="358"/>
      <c r="B859" s="358"/>
      <c r="C859" s="358"/>
      <c r="D859" s="358"/>
      <c r="E859" s="358"/>
      <c r="F859" s="358"/>
      <c r="G859" s="358"/>
      <c r="H859" s="358"/>
      <c r="I859" s="358"/>
      <c r="J859" s="358"/>
      <c r="K859" s="358"/>
      <c r="L859" s="358"/>
      <c r="M859" s="358"/>
      <c r="N859" s="358"/>
      <c r="O859" s="358"/>
      <c r="P859" s="358"/>
      <c r="Q859" s="358"/>
      <c r="R859" s="358"/>
      <c r="S859" s="358"/>
      <c r="T859" s="358"/>
      <c r="U859" s="358"/>
      <c r="V859" s="358"/>
      <c r="W859" s="358"/>
      <c r="X859" s="358"/>
      <c r="Y859" s="358"/>
      <c r="Z859" s="358"/>
    </row>
    <row r="860" spans="1:26" ht="15.75" customHeight="1" x14ac:dyDescent="0.25">
      <c r="A860" s="358"/>
      <c r="B860" s="358"/>
      <c r="C860" s="358"/>
      <c r="D860" s="358"/>
      <c r="E860" s="358"/>
      <c r="F860" s="358"/>
      <c r="G860" s="358"/>
      <c r="H860" s="358"/>
      <c r="I860" s="358"/>
      <c r="J860" s="358"/>
      <c r="K860" s="358"/>
      <c r="L860" s="358"/>
      <c r="M860" s="358"/>
      <c r="N860" s="358"/>
      <c r="O860" s="358"/>
      <c r="P860" s="358"/>
      <c r="Q860" s="358"/>
      <c r="R860" s="358"/>
      <c r="S860" s="358"/>
      <c r="T860" s="358"/>
      <c r="U860" s="358"/>
      <c r="V860" s="358"/>
      <c r="W860" s="358"/>
      <c r="X860" s="358"/>
      <c r="Y860" s="358"/>
      <c r="Z860" s="358"/>
    </row>
    <row r="861" spans="1:26" ht="15.75" customHeight="1" x14ac:dyDescent="0.25">
      <c r="A861" s="358"/>
      <c r="B861" s="358"/>
      <c r="C861" s="358"/>
      <c r="D861" s="358"/>
      <c r="E861" s="358"/>
      <c r="F861" s="358"/>
      <c r="G861" s="358"/>
      <c r="H861" s="358"/>
      <c r="I861" s="358"/>
      <c r="J861" s="358"/>
      <c r="K861" s="358"/>
      <c r="L861" s="358"/>
      <c r="M861" s="358"/>
      <c r="N861" s="358"/>
      <c r="O861" s="358"/>
      <c r="P861" s="358"/>
      <c r="Q861" s="358"/>
      <c r="R861" s="358"/>
      <c r="S861" s="358"/>
      <c r="T861" s="358"/>
      <c r="U861" s="358"/>
      <c r="V861" s="358"/>
      <c r="W861" s="358"/>
      <c r="X861" s="358"/>
      <c r="Y861" s="358"/>
      <c r="Z861" s="358"/>
    </row>
    <row r="862" spans="1:26" ht="15.75" customHeight="1" x14ac:dyDescent="0.25">
      <c r="A862" s="358"/>
      <c r="B862" s="358"/>
      <c r="C862" s="358"/>
      <c r="D862" s="358"/>
      <c r="E862" s="358"/>
      <c r="F862" s="358"/>
      <c r="G862" s="358"/>
      <c r="H862" s="358"/>
      <c r="I862" s="358"/>
      <c r="J862" s="358"/>
      <c r="K862" s="358"/>
      <c r="L862" s="358"/>
      <c r="M862" s="358"/>
      <c r="N862" s="358"/>
      <c r="O862" s="358"/>
      <c r="P862" s="358"/>
      <c r="Q862" s="358"/>
      <c r="R862" s="358"/>
      <c r="S862" s="358"/>
      <c r="T862" s="358"/>
      <c r="U862" s="358"/>
      <c r="V862" s="358"/>
      <c r="W862" s="358"/>
      <c r="X862" s="358"/>
      <c r="Y862" s="358"/>
      <c r="Z862" s="358"/>
    </row>
    <row r="863" spans="1:26" ht="15.75" customHeight="1" x14ac:dyDescent="0.25">
      <c r="A863" s="358"/>
      <c r="B863" s="358"/>
      <c r="C863" s="358"/>
      <c r="D863" s="358"/>
      <c r="E863" s="358"/>
      <c r="F863" s="358"/>
      <c r="G863" s="358"/>
      <c r="H863" s="358"/>
      <c r="I863" s="358"/>
      <c r="J863" s="358"/>
      <c r="K863" s="358"/>
      <c r="L863" s="358"/>
      <c r="M863" s="358"/>
      <c r="N863" s="358"/>
      <c r="O863" s="358"/>
      <c r="P863" s="358"/>
      <c r="Q863" s="358"/>
      <c r="R863" s="358"/>
      <c r="S863" s="358"/>
      <c r="T863" s="358"/>
      <c r="U863" s="358"/>
      <c r="V863" s="358"/>
      <c r="W863" s="358"/>
      <c r="X863" s="358"/>
      <c r="Y863" s="358"/>
      <c r="Z863" s="358"/>
    </row>
    <row r="864" spans="1:26" ht="15.75" customHeight="1" x14ac:dyDescent="0.25">
      <c r="A864" s="358"/>
      <c r="B864" s="358"/>
      <c r="C864" s="358"/>
      <c r="D864" s="358"/>
      <c r="E864" s="358"/>
      <c r="F864" s="358"/>
      <c r="G864" s="358"/>
      <c r="H864" s="358"/>
      <c r="I864" s="358"/>
      <c r="J864" s="358"/>
      <c r="K864" s="358"/>
      <c r="L864" s="358"/>
      <c r="M864" s="358"/>
      <c r="N864" s="358"/>
      <c r="O864" s="358"/>
      <c r="P864" s="358"/>
      <c r="Q864" s="358"/>
      <c r="R864" s="358"/>
      <c r="S864" s="358"/>
      <c r="T864" s="358"/>
      <c r="U864" s="358"/>
      <c r="V864" s="358"/>
      <c r="W864" s="358"/>
      <c r="X864" s="358"/>
      <c r="Y864" s="358"/>
      <c r="Z864" s="358"/>
    </row>
    <row r="865" spans="1:26" ht="15.75" customHeight="1" x14ac:dyDescent="0.25">
      <c r="A865" s="358"/>
      <c r="B865" s="358"/>
      <c r="C865" s="358"/>
      <c r="D865" s="358"/>
      <c r="E865" s="358"/>
      <c r="F865" s="358"/>
      <c r="G865" s="358"/>
      <c r="H865" s="358"/>
      <c r="I865" s="358"/>
      <c r="J865" s="358"/>
      <c r="K865" s="358"/>
      <c r="L865" s="358"/>
      <c r="M865" s="358"/>
      <c r="N865" s="358"/>
      <c r="O865" s="358"/>
      <c r="P865" s="358"/>
      <c r="Q865" s="358"/>
      <c r="R865" s="358"/>
      <c r="S865" s="358"/>
      <c r="T865" s="358"/>
      <c r="U865" s="358"/>
      <c r="V865" s="358"/>
      <c r="W865" s="358"/>
      <c r="X865" s="358"/>
      <c r="Y865" s="358"/>
      <c r="Z865" s="358"/>
    </row>
    <row r="866" spans="1:26" ht="15.75" customHeight="1" x14ac:dyDescent="0.25">
      <c r="A866" s="358"/>
      <c r="B866" s="358"/>
      <c r="C866" s="358"/>
      <c r="D866" s="358"/>
      <c r="E866" s="358"/>
      <c r="F866" s="358"/>
      <c r="G866" s="358"/>
      <c r="H866" s="358"/>
      <c r="I866" s="358"/>
      <c r="J866" s="358"/>
      <c r="K866" s="358"/>
      <c r="L866" s="358"/>
      <c r="M866" s="358"/>
      <c r="N866" s="358"/>
      <c r="O866" s="358"/>
      <c r="P866" s="358"/>
      <c r="Q866" s="358"/>
      <c r="R866" s="358"/>
      <c r="S866" s="358"/>
      <c r="T866" s="358"/>
      <c r="U866" s="358"/>
      <c r="V866" s="358"/>
      <c r="W866" s="358"/>
      <c r="X866" s="358"/>
      <c r="Y866" s="358"/>
      <c r="Z866" s="358"/>
    </row>
    <row r="867" spans="1:26" ht="15.75" customHeight="1" x14ac:dyDescent="0.25">
      <c r="A867" s="358"/>
      <c r="B867" s="358"/>
      <c r="C867" s="358"/>
      <c r="D867" s="358"/>
      <c r="E867" s="358"/>
      <c r="F867" s="358"/>
      <c r="G867" s="358"/>
      <c r="H867" s="358"/>
      <c r="I867" s="358"/>
      <c r="J867" s="358"/>
      <c r="K867" s="358"/>
      <c r="L867" s="358"/>
      <c r="M867" s="358"/>
      <c r="N867" s="358"/>
      <c r="O867" s="358"/>
      <c r="P867" s="358"/>
      <c r="Q867" s="358"/>
      <c r="R867" s="358"/>
      <c r="S867" s="358"/>
      <c r="T867" s="358"/>
      <c r="U867" s="358"/>
      <c r="V867" s="358"/>
      <c r="W867" s="358"/>
      <c r="X867" s="358"/>
      <c r="Y867" s="358"/>
      <c r="Z867" s="358"/>
    </row>
    <row r="868" spans="1:26" ht="15.75" customHeight="1" x14ac:dyDescent="0.25">
      <c r="A868" s="358"/>
      <c r="B868" s="358"/>
      <c r="C868" s="358"/>
      <c r="D868" s="358"/>
      <c r="E868" s="358"/>
      <c r="F868" s="358"/>
      <c r="G868" s="358"/>
      <c r="H868" s="358"/>
      <c r="I868" s="358"/>
      <c r="J868" s="358"/>
      <c r="K868" s="358"/>
      <c r="L868" s="358"/>
      <c r="M868" s="358"/>
      <c r="N868" s="358"/>
      <c r="O868" s="358"/>
      <c r="P868" s="358"/>
      <c r="Q868" s="358"/>
      <c r="R868" s="358"/>
      <c r="S868" s="358"/>
      <c r="T868" s="358"/>
      <c r="U868" s="358"/>
      <c r="V868" s="358"/>
      <c r="W868" s="358"/>
      <c r="X868" s="358"/>
      <c r="Y868" s="358"/>
      <c r="Z868" s="358"/>
    </row>
    <row r="869" spans="1:26" ht="15.75" customHeight="1" x14ac:dyDescent="0.25">
      <c r="A869" s="358"/>
      <c r="B869" s="358"/>
      <c r="C869" s="358"/>
      <c r="D869" s="358"/>
      <c r="E869" s="358"/>
      <c r="F869" s="358"/>
      <c r="G869" s="358"/>
      <c r="H869" s="358"/>
      <c r="I869" s="358"/>
      <c r="J869" s="358"/>
      <c r="K869" s="358"/>
      <c r="L869" s="358"/>
      <c r="M869" s="358"/>
      <c r="N869" s="358"/>
      <c r="O869" s="358"/>
      <c r="P869" s="358"/>
      <c r="Q869" s="358"/>
      <c r="R869" s="358"/>
      <c r="S869" s="358"/>
      <c r="T869" s="358"/>
      <c r="U869" s="358"/>
      <c r="V869" s="358"/>
      <c r="W869" s="358"/>
      <c r="X869" s="358"/>
      <c r="Y869" s="358"/>
      <c r="Z869" s="358"/>
    </row>
    <row r="870" spans="1:26" ht="15.75" customHeight="1" x14ac:dyDescent="0.25">
      <c r="A870" s="358"/>
      <c r="B870" s="358"/>
      <c r="C870" s="358"/>
      <c r="D870" s="358"/>
      <c r="E870" s="358"/>
      <c r="F870" s="358"/>
      <c r="G870" s="358"/>
      <c r="H870" s="358"/>
      <c r="I870" s="358"/>
      <c r="J870" s="358"/>
      <c r="K870" s="358"/>
      <c r="L870" s="358"/>
      <c r="M870" s="358"/>
      <c r="N870" s="358"/>
      <c r="O870" s="358"/>
      <c r="P870" s="358"/>
      <c r="Q870" s="358"/>
      <c r="R870" s="358"/>
      <c r="S870" s="358"/>
      <c r="T870" s="358"/>
      <c r="U870" s="358"/>
      <c r="V870" s="358"/>
      <c r="W870" s="358"/>
      <c r="X870" s="358"/>
      <c r="Y870" s="358"/>
      <c r="Z870" s="358"/>
    </row>
    <row r="871" spans="1:26" ht="15.75" customHeight="1" x14ac:dyDescent="0.25">
      <c r="A871" s="358"/>
      <c r="B871" s="358"/>
      <c r="C871" s="358"/>
      <c r="D871" s="358"/>
      <c r="E871" s="358"/>
      <c r="F871" s="358"/>
      <c r="G871" s="358"/>
      <c r="H871" s="358"/>
      <c r="I871" s="358"/>
      <c r="J871" s="358"/>
      <c r="K871" s="358"/>
      <c r="L871" s="358"/>
      <c r="M871" s="358"/>
      <c r="N871" s="358"/>
      <c r="O871" s="358"/>
      <c r="P871" s="358"/>
      <c r="Q871" s="358"/>
      <c r="R871" s="358"/>
      <c r="S871" s="358"/>
      <c r="T871" s="358"/>
      <c r="U871" s="358"/>
      <c r="V871" s="358"/>
      <c r="W871" s="358"/>
      <c r="X871" s="358"/>
      <c r="Y871" s="358"/>
      <c r="Z871" s="358"/>
    </row>
    <row r="872" spans="1:26" ht="15.75" customHeight="1" x14ac:dyDescent="0.25">
      <c r="A872" s="358"/>
      <c r="B872" s="358"/>
      <c r="C872" s="358"/>
      <c r="D872" s="358"/>
      <c r="E872" s="358"/>
      <c r="F872" s="358"/>
      <c r="G872" s="358"/>
      <c r="H872" s="358"/>
      <c r="I872" s="358"/>
      <c r="J872" s="358"/>
      <c r="K872" s="358"/>
      <c r="L872" s="358"/>
      <c r="M872" s="358"/>
      <c r="N872" s="358"/>
      <c r="O872" s="358"/>
      <c r="P872" s="358"/>
      <c r="Q872" s="358"/>
      <c r="R872" s="358"/>
      <c r="S872" s="358"/>
      <c r="T872" s="358"/>
      <c r="U872" s="358"/>
      <c r="V872" s="358"/>
      <c r="W872" s="358"/>
      <c r="X872" s="358"/>
      <c r="Y872" s="358"/>
      <c r="Z872" s="358"/>
    </row>
    <row r="873" spans="1:26" ht="15.75" customHeight="1" x14ac:dyDescent="0.25">
      <c r="A873" s="358"/>
      <c r="B873" s="358"/>
      <c r="C873" s="358"/>
      <c r="D873" s="358"/>
      <c r="E873" s="358"/>
      <c r="F873" s="358"/>
      <c r="G873" s="358"/>
      <c r="H873" s="358"/>
      <c r="I873" s="358"/>
      <c r="J873" s="358"/>
      <c r="K873" s="358"/>
      <c r="L873" s="358"/>
      <c r="M873" s="358"/>
      <c r="N873" s="358"/>
      <c r="O873" s="358"/>
      <c r="P873" s="358"/>
      <c r="Q873" s="358"/>
      <c r="R873" s="358"/>
      <c r="S873" s="358"/>
      <c r="T873" s="358"/>
      <c r="U873" s="358"/>
      <c r="V873" s="358"/>
      <c r="W873" s="358"/>
      <c r="X873" s="358"/>
      <c r="Y873" s="358"/>
      <c r="Z873" s="358"/>
    </row>
    <row r="874" spans="1:26" ht="15.75" customHeight="1" x14ac:dyDescent="0.25">
      <c r="A874" s="358"/>
      <c r="B874" s="358"/>
      <c r="C874" s="358"/>
      <c r="D874" s="358"/>
      <c r="E874" s="358"/>
      <c r="F874" s="358"/>
      <c r="G874" s="358"/>
      <c r="H874" s="358"/>
      <c r="I874" s="358"/>
      <c r="J874" s="358"/>
      <c r="K874" s="358"/>
      <c r="L874" s="358"/>
      <c r="M874" s="358"/>
      <c r="N874" s="358"/>
      <c r="O874" s="358"/>
      <c r="P874" s="358"/>
      <c r="Q874" s="358"/>
      <c r="R874" s="358"/>
      <c r="S874" s="358"/>
      <c r="T874" s="358"/>
      <c r="U874" s="358"/>
      <c r="V874" s="358"/>
      <c r="W874" s="358"/>
      <c r="X874" s="358"/>
      <c r="Y874" s="358"/>
      <c r="Z874" s="358"/>
    </row>
    <row r="875" spans="1:26" ht="15.75" customHeight="1" x14ac:dyDescent="0.25">
      <c r="A875" s="358"/>
      <c r="B875" s="358"/>
      <c r="C875" s="358"/>
      <c r="D875" s="358"/>
      <c r="E875" s="358"/>
      <c r="F875" s="358"/>
      <c r="G875" s="358"/>
      <c r="H875" s="358"/>
      <c r="I875" s="358"/>
      <c r="J875" s="358"/>
      <c r="K875" s="358"/>
      <c r="L875" s="358"/>
      <c r="M875" s="358"/>
      <c r="N875" s="358"/>
      <c r="O875" s="358"/>
      <c r="P875" s="358"/>
      <c r="Q875" s="358"/>
      <c r="R875" s="358"/>
      <c r="S875" s="358"/>
      <c r="T875" s="358"/>
      <c r="U875" s="358"/>
      <c r="V875" s="358"/>
      <c r="W875" s="358"/>
      <c r="X875" s="358"/>
      <c r="Y875" s="358"/>
      <c r="Z875" s="358"/>
    </row>
    <row r="876" spans="1:26" ht="15.75" customHeight="1" x14ac:dyDescent="0.25">
      <c r="A876" s="358"/>
      <c r="B876" s="358"/>
      <c r="C876" s="358"/>
      <c r="D876" s="358"/>
      <c r="E876" s="358"/>
      <c r="F876" s="358"/>
      <c r="G876" s="358"/>
      <c r="H876" s="358"/>
      <c r="I876" s="358"/>
      <c r="J876" s="358"/>
      <c r="K876" s="358"/>
      <c r="L876" s="358"/>
      <c r="M876" s="358"/>
      <c r="N876" s="358"/>
      <c r="O876" s="358"/>
      <c r="P876" s="358"/>
      <c r="Q876" s="358"/>
      <c r="R876" s="358"/>
      <c r="S876" s="358"/>
      <c r="T876" s="358"/>
      <c r="U876" s="358"/>
      <c r="V876" s="358"/>
      <c r="W876" s="358"/>
      <c r="X876" s="358"/>
      <c r="Y876" s="358"/>
      <c r="Z876" s="358"/>
    </row>
    <row r="877" spans="1:26" ht="15.75" customHeight="1" x14ac:dyDescent="0.25">
      <c r="A877" s="358"/>
      <c r="B877" s="358"/>
      <c r="C877" s="358"/>
      <c r="D877" s="358"/>
      <c r="E877" s="358"/>
      <c r="F877" s="358"/>
      <c r="G877" s="358"/>
      <c r="H877" s="358"/>
      <c r="I877" s="358"/>
      <c r="J877" s="358"/>
      <c r="K877" s="358"/>
      <c r="L877" s="358"/>
      <c r="M877" s="358"/>
      <c r="N877" s="358"/>
      <c r="O877" s="358"/>
      <c r="P877" s="358"/>
      <c r="Q877" s="358"/>
      <c r="R877" s="358"/>
      <c r="S877" s="358"/>
      <c r="T877" s="358"/>
      <c r="U877" s="358"/>
      <c r="V877" s="358"/>
      <c r="W877" s="358"/>
      <c r="X877" s="358"/>
      <c r="Y877" s="358"/>
      <c r="Z877" s="358"/>
    </row>
    <row r="878" spans="1:26" ht="15.75" customHeight="1" x14ac:dyDescent="0.25">
      <c r="A878" s="358"/>
      <c r="B878" s="358"/>
      <c r="C878" s="358"/>
      <c r="D878" s="358"/>
      <c r="E878" s="358"/>
      <c r="F878" s="358"/>
      <c r="G878" s="358"/>
      <c r="H878" s="358"/>
      <c r="I878" s="358"/>
      <c r="J878" s="358"/>
      <c r="K878" s="358"/>
      <c r="L878" s="358"/>
      <c r="M878" s="358"/>
      <c r="N878" s="358"/>
      <c r="O878" s="358"/>
      <c r="P878" s="358"/>
      <c r="Q878" s="358"/>
      <c r="R878" s="358"/>
      <c r="S878" s="358"/>
      <c r="T878" s="358"/>
      <c r="U878" s="358"/>
      <c r="V878" s="358"/>
      <c r="W878" s="358"/>
      <c r="X878" s="358"/>
      <c r="Y878" s="358"/>
      <c r="Z878" s="358"/>
    </row>
    <row r="879" spans="1:26" ht="15.75" customHeight="1" x14ac:dyDescent="0.25">
      <c r="A879" s="358"/>
      <c r="B879" s="358"/>
      <c r="C879" s="358"/>
      <c r="D879" s="358"/>
      <c r="E879" s="358"/>
      <c r="F879" s="358"/>
      <c r="G879" s="358"/>
      <c r="H879" s="358"/>
      <c r="I879" s="358"/>
      <c r="J879" s="358"/>
      <c r="K879" s="358"/>
      <c r="L879" s="358"/>
      <c r="M879" s="358"/>
      <c r="N879" s="358"/>
      <c r="O879" s="358"/>
      <c r="P879" s="358"/>
      <c r="Q879" s="358"/>
      <c r="R879" s="358"/>
      <c r="S879" s="358"/>
      <c r="T879" s="358"/>
      <c r="U879" s="358"/>
      <c r="V879" s="358"/>
      <c r="W879" s="358"/>
      <c r="X879" s="358"/>
      <c r="Y879" s="358"/>
      <c r="Z879" s="358"/>
    </row>
    <row r="880" spans="1:26" ht="15.75" customHeight="1" x14ac:dyDescent="0.25">
      <c r="A880" s="358"/>
      <c r="B880" s="358"/>
      <c r="C880" s="358"/>
      <c r="D880" s="358"/>
      <c r="E880" s="358"/>
      <c r="F880" s="358"/>
      <c r="G880" s="358"/>
      <c r="H880" s="358"/>
      <c r="I880" s="358"/>
      <c r="J880" s="358"/>
      <c r="K880" s="358"/>
      <c r="L880" s="358"/>
      <c r="M880" s="358"/>
      <c r="N880" s="358"/>
      <c r="O880" s="358"/>
      <c r="P880" s="358"/>
      <c r="Q880" s="358"/>
      <c r="R880" s="358"/>
      <c r="S880" s="358"/>
      <c r="T880" s="358"/>
      <c r="U880" s="358"/>
      <c r="V880" s="358"/>
      <c r="W880" s="358"/>
      <c r="X880" s="358"/>
      <c r="Y880" s="358"/>
      <c r="Z880" s="358"/>
    </row>
    <row r="881" spans="1:26" ht="15.75" customHeight="1" x14ac:dyDescent="0.25">
      <c r="A881" s="358"/>
      <c r="B881" s="358"/>
      <c r="C881" s="358"/>
      <c r="D881" s="358"/>
      <c r="E881" s="358"/>
      <c r="F881" s="358"/>
      <c r="G881" s="358"/>
      <c r="H881" s="358"/>
      <c r="I881" s="358"/>
      <c r="J881" s="358"/>
      <c r="K881" s="358"/>
      <c r="L881" s="358"/>
      <c r="M881" s="358"/>
      <c r="N881" s="358"/>
      <c r="O881" s="358"/>
      <c r="P881" s="358"/>
      <c r="Q881" s="358"/>
      <c r="R881" s="358"/>
      <c r="S881" s="358"/>
      <c r="T881" s="358"/>
      <c r="U881" s="358"/>
      <c r="V881" s="358"/>
      <c r="W881" s="358"/>
      <c r="X881" s="358"/>
      <c r="Y881" s="358"/>
      <c r="Z881" s="358"/>
    </row>
    <row r="882" spans="1:26" ht="15.75" customHeight="1" x14ac:dyDescent="0.25">
      <c r="A882" s="358"/>
      <c r="B882" s="358"/>
      <c r="C882" s="358"/>
      <c r="D882" s="358"/>
      <c r="E882" s="358"/>
      <c r="F882" s="358"/>
      <c r="G882" s="358"/>
      <c r="H882" s="358"/>
      <c r="I882" s="358"/>
      <c r="J882" s="358"/>
      <c r="K882" s="358"/>
      <c r="L882" s="358"/>
      <c r="M882" s="358"/>
      <c r="N882" s="358"/>
      <c r="O882" s="358"/>
      <c r="P882" s="358"/>
      <c r="Q882" s="358"/>
      <c r="R882" s="358"/>
      <c r="S882" s="358"/>
      <c r="T882" s="358"/>
      <c r="U882" s="358"/>
      <c r="V882" s="358"/>
      <c r="W882" s="358"/>
      <c r="X882" s="358"/>
      <c r="Y882" s="358"/>
      <c r="Z882" s="358"/>
    </row>
    <row r="883" spans="1:26" ht="15.75" customHeight="1" x14ac:dyDescent="0.25">
      <c r="A883" s="358"/>
      <c r="B883" s="358"/>
      <c r="C883" s="358"/>
      <c r="D883" s="358"/>
      <c r="E883" s="358"/>
      <c r="F883" s="358"/>
      <c r="G883" s="358"/>
      <c r="H883" s="358"/>
      <c r="I883" s="358"/>
      <c r="J883" s="358"/>
      <c r="K883" s="358"/>
      <c r="L883" s="358"/>
      <c r="M883" s="358"/>
      <c r="N883" s="358"/>
      <c r="O883" s="358"/>
      <c r="P883" s="358"/>
      <c r="Q883" s="358"/>
      <c r="R883" s="358"/>
      <c r="S883" s="358"/>
      <c r="T883" s="358"/>
      <c r="U883" s="358"/>
      <c r="V883" s="358"/>
      <c r="W883" s="358"/>
      <c r="X883" s="358"/>
      <c r="Y883" s="358"/>
      <c r="Z883" s="358"/>
    </row>
    <row r="884" spans="1:26" ht="15.75" customHeight="1" x14ac:dyDescent="0.25">
      <c r="A884" s="358"/>
      <c r="B884" s="358"/>
      <c r="C884" s="358"/>
      <c r="D884" s="358"/>
      <c r="E884" s="358"/>
      <c r="F884" s="358"/>
      <c r="G884" s="358"/>
      <c r="H884" s="358"/>
      <c r="I884" s="358"/>
      <c r="J884" s="358"/>
      <c r="K884" s="358"/>
      <c r="L884" s="358"/>
      <c r="M884" s="358"/>
      <c r="N884" s="358"/>
      <c r="O884" s="358"/>
      <c r="P884" s="358"/>
      <c r="Q884" s="358"/>
      <c r="R884" s="358"/>
      <c r="S884" s="358"/>
      <c r="T884" s="358"/>
      <c r="U884" s="358"/>
      <c r="V884" s="358"/>
      <c r="W884" s="358"/>
      <c r="X884" s="358"/>
      <c r="Y884" s="358"/>
      <c r="Z884" s="358"/>
    </row>
    <row r="885" spans="1:26" ht="15.75" customHeight="1" x14ac:dyDescent="0.25">
      <c r="A885" s="358"/>
      <c r="B885" s="358"/>
      <c r="C885" s="358"/>
      <c r="D885" s="358"/>
      <c r="E885" s="358"/>
      <c r="F885" s="358"/>
      <c r="G885" s="358"/>
      <c r="H885" s="358"/>
      <c r="I885" s="358"/>
      <c r="J885" s="358"/>
      <c r="K885" s="358"/>
      <c r="L885" s="358"/>
      <c r="M885" s="358"/>
      <c r="N885" s="358"/>
      <c r="O885" s="358"/>
      <c r="P885" s="358"/>
      <c r="Q885" s="358"/>
      <c r="R885" s="358"/>
      <c r="S885" s="358"/>
      <c r="T885" s="358"/>
      <c r="U885" s="358"/>
      <c r="V885" s="358"/>
      <c r="W885" s="358"/>
      <c r="X885" s="358"/>
      <c r="Y885" s="358"/>
      <c r="Z885" s="358"/>
    </row>
    <row r="886" spans="1:26" ht="15.75" customHeight="1" x14ac:dyDescent="0.25">
      <c r="A886" s="358"/>
      <c r="B886" s="358"/>
      <c r="C886" s="358"/>
      <c r="D886" s="358"/>
      <c r="E886" s="358"/>
      <c r="F886" s="358"/>
      <c r="G886" s="358"/>
      <c r="H886" s="358"/>
      <c r="I886" s="358"/>
      <c r="J886" s="358"/>
      <c r="K886" s="358"/>
      <c r="L886" s="358"/>
      <c r="M886" s="358"/>
      <c r="N886" s="358"/>
      <c r="O886" s="358"/>
      <c r="P886" s="358"/>
      <c r="Q886" s="358"/>
      <c r="R886" s="358"/>
      <c r="S886" s="358"/>
      <c r="T886" s="358"/>
      <c r="U886" s="358"/>
      <c r="V886" s="358"/>
      <c r="W886" s="358"/>
      <c r="X886" s="358"/>
      <c r="Y886" s="358"/>
      <c r="Z886" s="358"/>
    </row>
    <row r="887" spans="1:26" ht="15.75" customHeight="1" x14ac:dyDescent="0.25">
      <c r="A887" s="358"/>
      <c r="B887" s="358"/>
      <c r="C887" s="358"/>
      <c r="D887" s="358"/>
      <c r="E887" s="358"/>
      <c r="F887" s="358"/>
      <c r="G887" s="358"/>
      <c r="H887" s="358"/>
      <c r="I887" s="358"/>
      <c r="J887" s="358"/>
      <c r="K887" s="358"/>
      <c r="L887" s="358"/>
      <c r="M887" s="358"/>
      <c r="N887" s="358"/>
      <c r="O887" s="358"/>
      <c r="P887" s="358"/>
      <c r="Q887" s="358"/>
      <c r="R887" s="358"/>
      <c r="S887" s="358"/>
      <c r="T887" s="358"/>
      <c r="U887" s="358"/>
      <c r="V887" s="358"/>
      <c r="W887" s="358"/>
      <c r="X887" s="358"/>
      <c r="Y887" s="358"/>
      <c r="Z887" s="358"/>
    </row>
    <row r="888" spans="1:26" ht="15.75" customHeight="1" x14ac:dyDescent="0.25">
      <c r="A888" s="358"/>
      <c r="B888" s="358"/>
      <c r="C888" s="358"/>
      <c r="D888" s="358"/>
      <c r="E888" s="358"/>
      <c r="F888" s="358"/>
      <c r="G888" s="358"/>
      <c r="H888" s="358"/>
      <c r="I888" s="358"/>
      <c r="J888" s="358"/>
      <c r="K888" s="358"/>
      <c r="L888" s="358"/>
      <c r="M888" s="358"/>
      <c r="N888" s="358"/>
      <c r="O888" s="358"/>
      <c r="P888" s="358"/>
      <c r="Q888" s="358"/>
      <c r="R888" s="358"/>
      <c r="S888" s="358"/>
      <c r="T888" s="358"/>
      <c r="U888" s="358"/>
      <c r="V888" s="358"/>
      <c r="W888" s="358"/>
      <c r="X888" s="358"/>
      <c r="Y888" s="358"/>
      <c r="Z888" s="358"/>
    </row>
    <row r="889" spans="1:26" ht="15.75" customHeight="1" x14ac:dyDescent="0.25">
      <c r="A889" s="358"/>
      <c r="B889" s="358"/>
      <c r="C889" s="358"/>
      <c r="D889" s="358"/>
      <c r="E889" s="358"/>
      <c r="F889" s="358"/>
      <c r="G889" s="358"/>
      <c r="H889" s="358"/>
      <c r="I889" s="358"/>
      <c r="J889" s="358"/>
      <c r="K889" s="358"/>
      <c r="L889" s="358"/>
      <c r="M889" s="358"/>
      <c r="N889" s="358"/>
      <c r="O889" s="358"/>
      <c r="P889" s="358"/>
      <c r="Q889" s="358"/>
      <c r="R889" s="358"/>
      <c r="S889" s="358"/>
      <c r="T889" s="358"/>
      <c r="U889" s="358"/>
      <c r="V889" s="358"/>
      <c r="W889" s="358"/>
      <c r="X889" s="358"/>
      <c r="Y889" s="358"/>
      <c r="Z889" s="358"/>
    </row>
    <row r="890" spans="1:26" ht="15.75" customHeight="1" x14ac:dyDescent="0.25">
      <c r="A890" s="358"/>
      <c r="B890" s="358"/>
      <c r="C890" s="358"/>
      <c r="D890" s="358"/>
      <c r="E890" s="358"/>
      <c r="F890" s="358"/>
      <c r="G890" s="358"/>
      <c r="H890" s="358"/>
      <c r="I890" s="358"/>
      <c r="J890" s="358"/>
      <c r="K890" s="358"/>
      <c r="L890" s="358"/>
      <c r="M890" s="358"/>
      <c r="N890" s="358"/>
      <c r="O890" s="358"/>
      <c r="P890" s="358"/>
      <c r="Q890" s="358"/>
      <c r="R890" s="358"/>
      <c r="S890" s="358"/>
      <c r="T890" s="358"/>
      <c r="U890" s="358"/>
      <c r="V890" s="358"/>
      <c r="W890" s="358"/>
      <c r="X890" s="358"/>
      <c r="Y890" s="358"/>
      <c r="Z890" s="358"/>
    </row>
    <row r="891" spans="1:26" ht="15.75" customHeight="1" x14ac:dyDescent="0.25">
      <c r="A891" s="358"/>
      <c r="B891" s="358"/>
      <c r="C891" s="358"/>
      <c r="D891" s="358"/>
      <c r="E891" s="358"/>
      <c r="F891" s="358"/>
      <c r="G891" s="358"/>
      <c r="H891" s="358"/>
      <c r="I891" s="358"/>
      <c r="J891" s="358"/>
      <c r="K891" s="358"/>
      <c r="L891" s="358"/>
      <c r="M891" s="358"/>
      <c r="N891" s="358"/>
      <c r="O891" s="358"/>
      <c r="P891" s="358"/>
      <c r="Q891" s="358"/>
      <c r="R891" s="358"/>
      <c r="S891" s="358"/>
      <c r="T891" s="358"/>
      <c r="U891" s="358"/>
      <c r="V891" s="358"/>
      <c r="W891" s="358"/>
      <c r="X891" s="358"/>
      <c r="Y891" s="358"/>
      <c r="Z891" s="358"/>
    </row>
    <row r="892" spans="1:26" ht="15.75" customHeight="1" x14ac:dyDescent="0.25">
      <c r="A892" s="358"/>
      <c r="B892" s="358"/>
      <c r="C892" s="358"/>
      <c r="D892" s="358"/>
      <c r="E892" s="358"/>
      <c r="F892" s="358"/>
      <c r="G892" s="358"/>
      <c r="H892" s="358"/>
      <c r="I892" s="358"/>
      <c r="J892" s="358"/>
      <c r="K892" s="358"/>
      <c r="L892" s="358"/>
      <c r="M892" s="358"/>
      <c r="N892" s="358"/>
      <c r="O892" s="358"/>
      <c r="P892" s="358"/>
      <c r="Q892" s="358"/>
      <c r="R892" s="358"/>
      <c r="S892" s="358"/>
      <c r="T892" s="358"/>
      <c r="U892" s="358"/>
      <c r="V892" s="358"/>
      <c r="W892" s="358"/>
      <c r="X892" s="358"/>
      <c r="Y892" s="358"/>
      <c r="Z892" s="358"/>
    </row>
    <row r="893" spans="1:26" ht="15.75" customHeight="1" x14ac:dyDescent="0.25">
      <c r="A893" s="358"/>
      <c r="B893" s="358"/>
      <c r="C893" s="358"/>
      <c r="D893" s="358"/>
      <c r="E893" s="358"/>
      <c r="F893" s="358"/>
      <c r="G893" s="358"/>
      <c r="H893" s="358"/>
      <c r="I893" s="358"/>
      <c r="J893" s="358"/>
      <c r="K893" s="358"/>
      <c r="L893" s="358"/>
      <c r="M893" s="358"/>
      <c r="N893" s="358"/>
      <c r="O893" s="358"/>
      <c r="P893" s="358"/>
      <c r="Q893" s="358"/>
      <c r="R893" s="358"/>
      <c r="S893" s="358"/>
      <c r="T893" s="358"/>
      <c r="U893" s="358"/>
      <c r="V893" s="358"/>
      <c r="W893" s="358"/>
      <c r="X893" s="358"/>
      <c r="Y893" s="358"/>
      <c r="Z893" s="358"/>
    </row>
    <row r="894" spans="1:26" ht="15.75" customHeight="1" x14ac:dyDescent="0.25">
      <c r="A894" s="358"/>
      <c r="B894" s="358"/>
      <c r="C894" s="358"/>
      <c r="D894" s="358"/>
      <c r="E894" s="358"/>
      <c r="F894" s="358"/>
      <c r="G894" s="358"/>
      <c r="H894" s="358"/>
      <c r="I894" s="358"/>
      <c r="J894" s="358"/>
      <c r="K894" s="358"/>
      <c r="L894" s="358"/>
      <c r="M894" s="358"/>
      <c r="N894" s="358"/>
      <c r="O894" s="358"/>
      <c r="P894" s="358"/>
      <c r="Q894" s="358"/>
      <c r="R894" s="358"/>
      <c r="S894" s="358"/>
      <c r="T894" s="358"/>
      <c r="U894" s="358"/>
      <c r="V894" s="358"/>
      <c r="W894" s="358"/>
      <c r="X894" s="358"/>
      <c r="Y894" s="358"/>
      <c r="Z894" s="358"/>
    </row>
    <row r="895" spans="1:26" ht="15.75" customHeight="1" x14ac:dyDescent="0.25">
      <c r="A895" s="358"/>
      <c r="B895" s="358"/>
      <c r="C895" s="358"/>
      <c r="D895" s="358"/>
      <c r="E895" s="358"/>
      <c r="F895" s="358"/>
      <c r="G895" s="358"/>
      <c r="H895" s="358"/>
      <c r="I895" s="358"/>
      <c r="J895" s="358"/>
      <c r="K895" s="358"/>
      <c r="L895" s="358"/>
      <c r="M895" s="358"/>
      <c r="N895" s="358"/>
      <c r="O895" s="358"/>
      <c r="P895" s="358"/>
      <c r="Q895" s="358"/>
      <c r="R895" s="358"/>
      <c r="S895" s="358"/>
      <c r="T895" s="358"/>
      <c r="U895" s="358"/>
      <c r="V895" s="358"/>
      <c r="W895" s="358"/>
      <c r="X895" s="358"/>
      <c r="Y895" s="358"/>
      <c r="Z895" s="358"/>
    </row>
    <row r="896" spans="1:26" ht="15.75" customHeight="1" x14ac:dyDescent="0.25">
      <c r="A896" s="358"/>
      <c r="B896" s="358"/>
      <c r="C896" s="358"/>
      <c r="D896" s="358"/>
      <c r="E896" s="358"/>
      <c r="F896" s="358"/>
      <c r="G896" s="358"/>
      <c r="H896" s="358"/>
      <c r="I896" s="358"/>
      <c r="J896" s="358"/>
      <c r="K896" s="358"/>
      <c r="L896" s="358"/>
      <c r="M896" s="358"/>
      <c r="N896" s="358"/>
      <c r="O896" s="358"/>
      <c r="P896" s="358"/>
      <c r="Q896" s="358"/>
      <c r="R896" s="358"/>
      <c r="S896" s="358"/>
      <c r="T896" s="358"/>
      <c r="U896" s="358"/>
      <c r="V896" s="358"/>
      <c r="W896" s="358"/>
      <c r="X896" s="358"/>
      <c r="Y896" s="358"/>
      <c r="Z896" s="358"/>
    </row>
    <row r="897" spans="1:26" ht="15.75" customHeight="1" x14ac:dyDescent="0.25">
      <c r="A897" s="358"/>
      <c r="B897" s="358"/>
      <c r="C897" s="358"/>
      <c r="D897" s="358"/>
      <c r="E897" s="358"/>
      <c r="F897" s="358"/>
      <c r="G897" s="358"/>
      <c r="H897" s="358"/>
      <c r="I897" s="358"/>
      <c r="J897" s="358"/>
      <c r="K897" s="358"/>
      <c r="L897" s="358"/>
      <c r="M897" s="358"/>
      <c r="N897" s="358"/>
      <c r="O897" s="358"/>
      <c r="P897" s="358"/>
      <c r="Q897" s="358"/>
      <c r="R897" s="358"/>
      <c r="S897" s="358"/>
      <c r="T897" s="358"/>
      <c r="U897" s="358"/>
      <c r="V897" s="358"/>
      <c r="W897" s="358"/>
      <c r="X897" s="358"/>
      <c r="Y897" s="358"/>
      <c r="Z897" s="358"/>
    </row>
    <row r="898" spans="1:26" ht="15.75" customHeight="1" x14ac:dyDescent="0.25">
      <c r="A898" s="358"/>
      <c r="B898" s="358"/>
      <c r="C898" s="358"/>
      <c r="D898" s="358"/>
      <c r="E898" s="358"/>
      <c r="F898" s="358"/>
      <c r="G898" s="358"/>
      <c r="H898" s="358"/>
      <c r="I898" s="358"/>
      <c r="J898" s="358"/>
      <c r="K898" s="358"/>
      <c r="L898" s="358"/>
      <c r="M898" s="358"/>
      <c r="N898" s="358"/>
      <c r="O898" s="358"/>
      <c r="P898" s="358"/>
      <c r="Q898" s="358"/>
      <c r="R898" s="358"/>
      <c r="S898" s="358"/>
      <c r="T898" s="358"/>
      <c r="U898" s="358"/>
      <c r="V898" s="358"/>
      <c r="W898" s="358"/>
      <c r="X898" s="358"/>
      <c r="Y898" s="358"/>
      <c r="Z898" s="358"/>
    </row>
    <row r="899" spans="1:26" ht="15.75" customHeight="1" x14ac:dyDescent="0.25">
      <c r="A899" s="358"/>
      <c r="B899" s="358"/>
      <c r="C899" s="358"/>
      <c r="D899" s="358"/>
      <c r="E899" s="358"/>
      <c r="F899" s="358"/>
      <c r="G899" s="358"/>
      <c r="H899" s="358"/>
      <c r="I899" s="358"/>
      <c r="J899" s="358"/>
      <c r="K899" s="358"/>
      <c r="L899" s="358"/>
      <c r="M899" s="358"/>
      <c r="N899" s="358"/>
      <c r="O899" s="358"/>
      <c r="P899" s="358"/>
      <c r="Q899" s="358"/>
      <c r="R899" s="358"/>
      <c r="S899" s="358"/>
      <c r="T899" s="358"/>
      <c r="U899" s="358"/>
      <c r="V899" s="358"/>
      <c r="W899" s="358"/>
      <c r="X899" s="358"/>
      <c r="Y899" s="358"/>
      <c r="Z899" s="358"/>
    </row>
    <row r="900" spans="1:26" ht="15.75" customHeight="1" x14ac:dyDescent="0.25">
      <c r="A900" s="358"/>
      <c r="B900" s="358"/>
      <c r="C900" s="358"/>
      <c r="D900" s="358"/>
      <c r="E900" s="358"/>
      <c r="F900" s="358"/>
      <c r="G900" s="358"/>
      <c r="H900" s="358"/>
      <c r="I900" s="358"/>
      <c r="J900" s="358"/>
      <c r="K900" s="358"/>
      <c r="L900" s="358"/>
      <c r="M900" s="358"/>
      <c r="N900" s="358"/>
      <c r="O900" s="358"/>
      <c r="P900" s="358"/>
      <c r="Q900" s="358"/>
      <c r="R900" s="358"/>
      <c r="S900" s="358"/>
      <c r="T900" s="358"/>
      <c r="U900" s="358"/>
      <c r="V900" s="358"/>
      <c r="W900" s="358"/>
      <c r="X900" s="358"/>
      <c r="Y900" s="358"/>
      <c r="Z900" s="358"/>
    </row>
    <row r="901" spans="1:26" ht="15.75" customHeight="1" x14ac:dyDescent="0.25">
      <c r="A901" s="358"/>
      <c r="B901" s="358"/>
      <c r="C901" s="358"/>
      <c r="D901" s="358"/>
      <c r="E901" s="358"/>
      <c r="F901" s="358"/>
      <c r="G901" s="358"/>
      <c r="H901" s="358"/>
      <c r="I901" s="358"/>
      <c r="J901" s="358"/>
      <c r="K901" s="358"/>
      <c r="L901" s="358"/>
      <c r="M901" s="358"/>
      <c r="N901" s="358"/>
      <c r="O901" s="358"/>
      <c r="P901" s="358"/>
      <c r="Q901" s="358"/>
      <c r="R901" s="358"/>
      <c r="S901" s="358"/>
      <c r="T901" s="358"/>
      <c r="U901" s="358"/>
      <c r="V901" s="358"/>
      <c r="W901" s="358"/>
      <c r="X901" s="358"/>
      <c r="Y901" s="358"/>
      <c r="Z901" s="358"/>
    </row>
    <row r="902" spans="1:26" ht="15.75" customHeight="1" x14ac:dyDescent="0.25">
      <c r="A902" s="358"/>
      <c r="B902" s="358"/>
      <c r="C902" s="358"/>
      <c r="D902" s="358"/>
      <c r="E902" s="358"/>
      <c r="F902" s="358"/>
      <c r="G902" s="358"/>
      <c r="H902" s="358"/>
      <c r="I902" s="358"/>
      <c r="J902" s="358"/>
      <c r="K902" s="358"/>
      <c r="L902" s="358"/>
      <c r="M902" s="358"/>
      <c r="N902" s="358"/>
      <c r="O902" s="358"/>
      <c r="P902" s="358"/>
      <c r="Q902" s="358"/>
      <c r="R902" s="358"/>
      <c r="S902" s="358"/>
      <c r="T902" s="358"/>
      <c r="U902" s="358"/>
      <c r="V902" s="358"/>
      <c r="W902" s="358"/>
      <c r="X902" s="358"/>
      <c r="Y902" s="358"/>
      <c r="Z902" s="358"/>
    </row>
    <row r="903" spans="1:26" ht="15.75" customHeight="1" x14ac:dyDescent="0.25">
      <c r="A903" s="358"/>
      <c r="B903" s="358"/>
      <c r="C903" s="358"/>
      <c r="D903" s="358"/>
      <c r="E903" s="358"/>
      <c r="F903" s="358"/>
      <c r="G903" s="358"/>
      <c r="H903" s="358"/>
      <c r="I903" s="358"/>
      <c r="J903" s="358"/>
      <c r="K903" s="358"/>
      <c r="L903" s="358"/>
      <c r="M903" s="358"/>
      <c r="N903" s="358"/>
      <c r="O903" s="358"/>
      <c r="P903" s="358"/>
      <c r="Q903" s="358"/>
      <c r="R903" s="358"/>
      <c r="S903" s="358"/>
      <c r="T903" s="358"/>
      <c r="U903" s="358"/>
      <c r="V903" s="358"/>
      <c r="W903" s="358"/>
      <c r="X903" s="358"/>
      <c r="Y903" s="358"/>
      <c r="Z903" s="358"/>
    </row>
    <row r="904" spans="1:26" ht="15.75" customHeight="1" x14ac:dyDescent="0.25">
      <c r="A904" s="358"/>
      <c r="B904" s="358"/>
      <c r="C904" s="358"/>
      <c r="D904" s="358"/>
      <c r="E904" s="358"/>
      <c r="F904" s="358"/>
      <c r="G904" s="358"/>
      <c r="H904" s="358"/>
      <c r="I904" s="358"/>
      <c r="J904" s="358"/>
      <c r="K904" s="358"/>
      <c r="L904" s="358"/>
      <c r="M904" s="358"/>
      <c r="N904" s="358"/>
      <c r="O904" s="358"/>
      <c r="P904" s="358"/>
      <c r="Q904" s="358"/>
      <c r="R904" s="358"/>
      <c r="S904" s="358"/>
      <c r="T904" s="358"/>
      <c r="U904" s="358"/>
      <c r="V904" s="358"/>
      <c r="W904" s="358"/>
      <c r="X904" s="358"/>
      <c r="Y904" s="358"/>
      <c r="Z904" s="358"/>
    </row>
    <row r="905" spans="1:26" ht="15.75" customHeight="1" x14ac:dyDescent="0.25">
      <c r="A905" s="358"/>
      <c r="B905" s="358"/>
      <c r="C905" s="358"/>
      <c r="D905" s="358"/>
      <c r="E905" s="358"/>
      <c r="F905" s="358"/>
      <c r="G905" s="358"/>
      <c r="H905" s="358"/>
      <c r="I905" s="358"/>
      <c r="J905" s="358"/>
      <c r="K905" s="358"/>
      <c r="L905" s="358"/>
      <c r="M905" s="358"/>
      <c r="N905" s="358"/>
      <c r="O905" s="358"/>
      <c r="P905" s="358"/>
      <c r="Q905" s="358"/>
      <c r="R905" s="358"/>
      <c r="S905" s="358"/>
      <c r="T905" s="358"/>
      <c r="U905" s="358"/>
      <c r="V905" s="358"/>
      <c r="W905" s="358"/>
      <c r="X905" s="358"/>
      <c r="Y905" s="358"/>
      <c r="Z905" s="358"/>
    </row>
    <row r="906" spans="1:26" ht="15.75" customHeight="1" x14ac:dyDescent="0.25">
      <c r="A906" s="358"/>
      <c r="B906" s="358"/>
      <c r="C906" s="358"/>
      <c r="D906" s="358"/>
      <c r="E906" s="358"/>
      <c r="F906" s="358"/>
      <c r="G906" s="358"/>
      <c r="H906" s="358"/>
      <c r="I906" s="358"/>
      <c r="J906" s="358"/>
      <c r="K906" s="358"/>
      <c r="L906" s="358"/>
      <c r="M906" s="358"/>
      <c r="N906" s="358"/>
      <c r="O906" s="358"/>
      <c r="P906" s="358"/>
      <c r="Q906" s="358"/>
      <c r="R906" s="358"/>
      <c r="S906" s="358"/>
      <c r="T906" s="358"/>
      <c r="U906" s="358"/>
      <c r="V906" s="358"/>
      <c r="W906" s="358"/>
      <c r="X906" s="358"/>
      <c r="Y906" s="358"/>
      <c r="Z906" s="358"/>
    </row>
    <row r="907" spans="1:26" ht="15.75" customHeight="1" x14ac:dyDescent="0.25">
      <c r="A907" s="358"/>
      <c r="B907" s="358"/>
      <c r="C907" s="358"/>
      <c r="D907" s="358"/>
      <c r="E907" s="358"/>
      <c r="F907" s="358"/>
      <c r="G907" s="358"/>
      <c r="H907" s="358"/>
      <c r="I907" s="358"/>
      <c r="J907" s="358"/>
      <c r="K907" s="358"/>
      <c r="L907" s="358"/>
      <c r="M907" s="358"/>
      <c r="N907" s="358"/>
      <c r="O907" s="358"/>
      <c r="P907" s="358"/>
      <c r="Q907" s="358"/>
      <c r="R907" s="358"/>
      <c r="S907" s="358"/>
      <c r="T907" s="358"/>
      <c r="U907" s="358"/>
      <c r="V907" s="358"/>
      <c r="W907" s="358"/>
      <c r="X907" s="358"/>
      <c r="Y907" s="358"/>
      <c r="Z907" s="358"/>
    </row>
    <row r="908" spans="1:26" ht="15.75" customHeight="1" x14ac:dyDescent="0.25">
      <c r="A908" s="358"/>
      <c r="B908" s="358"/>
      <c r="C908" s="358"/>
      <c r="D908" s="358"/>
      <c r="E908" s="358"/>
      <c r="F908" s="358"/>
      <c r="G908" s="358"/>
      <c r="H908" s="358"/>
      <c r="I908" s="358"/>
      <c r="J908" s="358"/>
      <c r="K908" s="358"/>
      <c r="L908" s="358"/>
      <c r="M908" s="358"/>
      <c r="N908" s="358"/>
      <c r="O908" s="358"/>
      <c r="P908" s="358"/>
      <c r="Q908" s="358"/>
      <c r="R908" s="358"/>
      <c r="S908" s="358"/>
      <c r="T908" s="358"/>
      <c r="U908" s="358"/>
      <c r="V908" s="358"/>
      <c r="W908" s="358"/>
      <c r="X908" s="358"/>
      <c r="Y908" s="358"/>
      <c r="Z908" s="358"/>
    </row>
    <row r="909" spans="1:26" ht="15.75" customHeight="1" x14ac:dyDescent="0.25">
      <c r="A909" s="358"/>
      <c r="B909" s="358"/>
      <c r="C909" s="358"/>
      <c r="D909" s="358"/>
      <c r="E909" s="358"/>
      <c r="F909" s="358"/>
      <c r="G909" s="358"/>
      <c r="H909" s="358"/>
      <c r="I909" s="358"/>
      <c r="J909" s="358"/>
      <c r="K909" s="358"/>
      <c r="L909" s="358"/>
      <c r="M909" s="358"/>
      <c r="N909" s="358"/>
      <c r="O909" s="358"/>
      <c r="P909" s="358"/>
      <c r="Q909" s="358"/>
      <c r="R909" s="358"/>
      <c r="S909" s="358"/>
      <c r="T909" s="358"/>
      <c r="U909" s="358"/>
      <c r="V909" s="358"/>
      <c r="W909" s="358"/>
      <c r="X909" s="358"/>
      <c r="Y909" s="358"/>
      <c r="Z909" s="358"/>
    </row>
    <row r="910" spans="1:26" ht="15.75" customHeight="1" x14ac:dyDescent="0.25">
      <c r="A910" s="358"/>
      <c r="B910" s="358"/>
      <c r="C910" s="358"/>
      <c r="D910" s="358"/>
      <c r="E910" s="358"/>
      <c r="F910" s="358"/>
      <c r="G910" s="358"/>
      <c r="H910" s="358"/>
      <c r="I910" s="358"/>
      <c r="J910" s="358"/>
      <c r="K910" s="358"/>
      <c r="L910" s="358"/>
      <c r="M910" s="358"/>
      <c r="N910" s="358"/>
      <c r="O910" s="358"/>
      <c r="P910" s="358"/>
      <c r="Q910" s="358"/>
      <c r="R910" s="358"/>
      <c r="S910" s="358"/>
      <c r="T910" s="358"/>
      <c r="U910" s="358"/>
      <c r="V910" s="358"/>
      <c r="W910" s="358"/>
      <c r="X910" s="358"/>
      <c r="Y910" s="358"/>
      <c r="Z910" s="358"/>
    </row>
    <row r="911" spans="1:26" ht="15.75" customHeight="1" x14ac:dyDescent="0.25">
      <c r="A911" s="358"/>
      <c r="B911" s="358"/>
      <c r="C911" s="358"/>
      <c r="D911" s="358"/>
      <c r="E911" s="358"/>
      <c r="F911" s="358"/>
      <c r="G911" s="358"/>
      <c r="H911" s="358"/>
      <c r="I911" s="358"/>
      <c r="J911" s="358"/>
      <c r="K911" s="358"/>
      <c r="L911" s="358"/>
      <c r="M911" s="358"/>
      <c r="N911" s="358"/>
      <c r="O911" s="358"/>
      <c r="P911" s="358"/>
      <c r="Q911" s="358"/>
      <c r="R911" s="358"/>
      <c r="S911" s="358"/>
      <c r="T911" s="358"/>
      <c r="U911" s="358"/>
      <c r="V911" s="358"/>
      <c r="W911" s="358"/>
      <c r="X911" s="358"/>
      <c r="Y911" s="358"/>
      <c r="Z911" s="358"/>
    </row>
    <row r="912" spans="1:26" ht="15.75" customHeight="1" x14ac:dyDescent="0.25">
      <c r="A912" s="358"/>
      <c r="B912" s="358"/>
      <c r="C912" s="358"/>
      <c r="D912" s="358"/>
      <c r="E912" s="358"/>
      <c r="F912" s="358"/>
      <c r="G912" s="358"/>
      <c r="H912" s="358"/>
      <c r="I912" s="358"/>
      <c r="J912" s="358"/>
      <c r="K912" s="358"/>
      <c r="L912" s="358"/>
      <c r="M912" s="358"/>
      <c r="N912" s="358"/>
      <c r="O912" s="358"/>
      <c r="P912" s="358"/>
      <c r="Q912" s="358"/>
      <c r="R912" s="358"/>
      <c r="S912" s="358"/>
      <c r="T912" s="358"/>
      <c r="U912" s="358"/>
      <c r="V912" s="358"/>
      <c r="W912" s="358"/>
      <c r="X912" s="358"/>
      <c r="Y912" s="358"/>
      <c r="Z912" s="358"/>
    </row>
    <row r="913" spans="1:26" ht="15.75" customHeight="1" x14ac:dyDescent="0.25">
      <c r="A913" s="358"/>
      <c r="B913" s="358"/>
      <c r="C913" s="358"/>
      <c r="D913" s="358"/>
      <c r="E913" s="358"/>
      <c r="F913" s="358"/>
      <c r="G913" s="358"/>
      <c r="H913" s="358"/>
      <c r="I913" s="358"/>
      <c r="J913" s="358"/>
      <c r="K913" s="358"/>
      <c r="L913" s="358"/>
      <c r="M913" s="358"/>
      <c r="N913" s="358"/>
      <c r="O913" s="358"/>
      <c r="P913" s="358"/>
      <c r="Q913" s="358"/>
      <c r="R913" s="358"/>
      <c r="S913" s="358"/>
      <c r="T913" s="358"/>
      <c r="U913" s="358"/>
      <c r="V913" s="358"/>
      <c r="W913" s="358"/>
      <c r="X913" s="358"/>
      <c r="Y913" s="358"/>
      <c r="Z913" s="358"/>
    </row>
    <row r="914" spans="1:26" ht="15.75" customHeight="1" x14ac:dyDescent="0.25">
      <c r="A914" s="358"/>
      <c r="B914" s="358"/>
      <c r="C914" s="358"/>
      <c r="D914" s="358"/>
      <c r="E914" s="358"/>
      <c r="F914" s="358"/>
      <c r="G914" s="358"/>
      <c r="H914" s="358"/>
      <c r="I914" s="358"/>
      <c r="J914" s="358"/>
      <c r="K914" s="358"/>
      <c r="L914" s="358"/>
      <c r="M914" s="358"/>
      <c r="N914" s="358"/>
      <c r="O914" s="358"/>
      <c r="P914" s="358"/>
      <c r="Q914" s="358"/>
      <c r="R914" s="358"/>
      <c r="S914" s="358"/>
      <c r="T914" s="358"/>
      <c r="U914" s="358"/>
      <c r="V914" s="358"/>
      <c r="W914" s="358"/>
      <c r="X914" s="358"/>
      <c r="Y914" s="358"/>
      <c r="Z914" s="358"/>
    </row>
    <row r="915" spans="1:26" ht="15.75" customHeight="1" x14ac:dyDescent="0.25">
      <c r="A915" s="358"/>
      <c r="B915" s="358"/>
      <c r="C915" s="358"/>
      <c r="D915" s="358"/>
      <c r="E915" s="358"/>
      <c r="F915" s="358"/>
      <c r="G915" s="358"/>
      <c r="H915" s="358"/>
      <c r="I915" s="358"/>
      <c r="J915" s="358"/>
      <c r="K915" s="358"/>
      <c r="L915" s="358"/>
      <c r="M915" s="358"/>
      <c r="N915" s="358"/>
      <c r="O915" s="358"/>
      <c r="P915" s="358"/>
      <c r="Q915" s="358"/>
      <c r="R915" s="358"/>
      <c r="S915" s="358"/>
      <c r="T915" s="358"/>
      <c r="U915" s="358"/>
      <c r="V915" s="358"/>
      <c r="W915" s="358"/>
      <c r="X915" s="358"/>
      <c r="Y915" s="358"/>
      <c r="Z915" s="358"/>
    </row>
    <row r="916" spans="1:26" ht="15.75" customHeight="1" x14ac:dyDescent="0.25">
      <c r="A916" s="358"/>
      <c r="B916" s="358"/>
      <c r="C916" s="358"/>
      <c r="D916" s="358"/>
      <c r="E916" s="358"/>
      <c r="F916" s="358"/>
      <c r="G916" s="358"/>
      <c r="H916" s="358"/>
      <c r="I916" s="358"/>
      <c r="J916" s="358"/>
      <c r="K916" s="358"/>
      <c r="L916" s="358"/>
      <c r="M916" s="358"/>
      <c r="N916" s="358"/>
      <c r="O916" s="358"/>
      <c r="P916" s="358"/>
      <c r="Q916" s="358"/>
      <c r="R916" s="358"/>
      <c r="S916" s="358"/>
      <c r="T916" s="358"/>
      <c r="U916" s="358"/>
      <c r="V916" s="358"/>
      <c r="W916" s="358"/>
      <c r="X916" s="358"/>
      <c r="Y916" s="358"/>
      <c r="Z916" s="358"/>
    </row>
    <row r="917" spans="1:26" ht="15.75" customHeight="1" x14ac:dyDescent="0.25">
      <c r="A917" s="358"/>
      <c r="B917" s="358"/>
      <c r="C917" s="358"/>
      <c r="D917" s="358"/>
      <c r="E917" s="358"/>
      <c r="F917" s="358"/>
      <c r="G917" s="358"/>
      <c r="H917" s="358"/>
      <c r="I917" s="358"/>
      <c r="J917" s="358"/>
      <c r="K917" s="358"/>
      <c r="L917" s="358"/>
      <c r="M917" s="358"/>
      <c r="N917" s="358"/>
      <c r="O917" s="358"/>
      <c r="P917" s="358"/>
      <c r="Q917" s="358"/>
      <c r="R917" s="358"/>
      <c r="S917" s="358"/>
      <c r="T917" s="358"/>
      <c r="U917" s="358"/>
      <c r="V917" s="358"/>
      <c r="W917" s="358"/>
      <c r="X917" s="358"/>
      <c r="Y917" s="358"/>
      <c r="Z917" s="358"/>
    </row>
    <row r="918" spans="1:26" ht="15.75" customHeight="1" x14ac:dyDescent="0.25">
      <c r="A918" s="358"/>
      <c r="B918" s="358"/>
      <c r="C918" s="358"/>
      <c r="D918" s="358"/>
      <c r="E918" s="358"/>
      <c r="F918" s="358"/>
      <c r="G918" s="358"/>
      <c r="H918" s="358"/>
      <c r="I918" s="358"/>
      <c r="J918" s="358"/>
      <c r="K918" s="358"/>
      <c r="L918" s="358"/>
      <c r="M918" s="358"/>
      <c r="N918" s="358"/>
      <c r="O918" s="358"/>
      <c r="P918" s="358"/>
      <c r="Q918" s="358"/>
      <c r="R918" s="358"/>
      <c r="S918" s="358"/>
      <c r="T918" s="358"/>
      <c r="U918" s="358"/>
      <c r="V918" s="358"/>
      <c r="W918" s="358"/>
      <c r="X918" s="358"/>
      <c r="Y918" s="358"/>
      <c r="Z918" s="358"/>
    </row>
    <row r="919" spans="1:26" ht="15.75" customHeight="1" x14ac:dyDescent="0.25">
      <c r="A919" s="358"/>
      <c r="B919" s="358"/>
      <c r="C919" s="358"/>
      <c r="D919" s="358"/>
      <c r="E919" s="358"/>
      <c r="F919" s="358"/>
      <c r="G919" s="358"/>
      <c r="H919" s="358"/>
      <c r="I919" s="358"/>
      <c r="J919" s="358"/>
      <c r="K919" s="358"/>
      <c r="L919" s="358"/>
      <c r="M919" s="358"/>
      <c r="N919" s="358"/>
      <c r="O919" s="358"/>
      <c r="P919" s="358"/>
      <c r="Q919" s="358"/>
      <c r="R919" s="358"/>
      <c r="S919" s="358"/>
      <c r="T919" s="358"/>
      <c r="U919" s="358"/>
      <c r="V919" s="358"/>
      <c r="W919" s="358"/>
      <c r="X919" s="358"/>
      <c r="Y919" s="358"/>
      <c r="Z919" s="358"/>
    </row>
    <row r="920" spans="1:26" ht="15.75" customHeight="1" x14ac:dyDescent="0.25">
      <c r="A920" s="358"/>
      <c r="B920" s="358"/>
      <c r="C920" s="358"/>
      <c r="D920" s="358"/>
      <c r="E920" s="358"/>
      <c r="F920" s="358"/>
      <c r="G920" s="358"/>
      <c r="H920" s="358"/>
      <c r="I920" s="358"/>
      <c r="J920" s="358"/>
      <c r="K920" s="358"/>
      <c r="L920" s="358"/>
      <c r="M920" s="358"/>
      <c r="N920" s="358"/>
      <c r="O920" s="358"/>
      <c r="P920" s="358"/>
      <c r="Q920" s="358"/>
      <c r="R920" s="358"/>
      <c r="S920" s="358"/>
      <c r="T920" s="358"/>
      <c r="U920" s="358"/>
      <c r="V920" s="358"/>
      <c r="W920" s="358"/>
      <c r="X920" s="358"/>
      <c r="Y920" s="358"/>
      <c r="Z920" s="358"/>
    </row>
    <row r="921" spans="1:26" ht="15.75" customHeight="1" x14ac:dyDescent="0.25">
      <c r="A921" s="358"/>
      <c r="B921" s="358"/>
      <c r="C921" s="358"/>
      <c r="D921" s="358"/>
      <c r="E921" s="358"/>
      <c r="F921" s="358"/>
      <c r="G921" s="358"/>
      <c r="H921" s="358"/>
      <c r="I921" s="358"/>
      <c r="J921" s="358"/>
      <c r="K921" s="358"/>
      <c r="L921" s="358"/>
      <c r="M921" s="358"/>
      <c r="N921" s="358"/>
      <c r="O921" s="358"/>
      <c r="P921" s="358"/>
      <c r="Q921" s="358"/>
      <c r="R921" s="358"/>
      <c r="S921" s="358"/>
      <c r="T921" s="358"/>
      <c r="U921" s="358"/>
      <c r="V921" s="358"/>
      <c r="W921" s="358"/>
      <c r="X921" s="358"/>
      <c r="Y921" s="358"/>
      <c r="Z921" s="358"/>
    </row>
    <row r="922" spans="1:26" ht="15.75" customHeight="1" x14ac:dyDescent="0.25">
      <c r="A922" s="358"/>
      <c r="B922" s="358"/>
      <c r="C922" s="358"/>
      <c r="D922" s="358"/>
      <c r="E922" s="358"/>
      <c r="F922" s="358"/>
      <c r="G922" s="358"/>
      <c r="H922" s="358"/>
      <c r="I922" s="358"/>
      <c r="J922" s="358"/>
      <c r="K922" s="358"/>
      <c r="L922" s="358"/>
      <c r="M922" s="358"/>
      <c r="N922" s="358"/>
      <c r="O922" s="358"/>
      <c r="P922" s="358"/>
      <c r="Q922" s="358"/>
      <c r="R922" s="358"/>
      <c r="S922" s="358"/>
      <c r="T922" s="358"/>
      <c r="U922" s="358"/>
      <c r="V922" s="358"/>
      <c r="W922" s="358"/>
      <c r="X922" s="358"/>
      <c r="Y922" s="358"/>
      <c r="Z922" s="358"/>
    </row>
    <row r="923" spans="1:26" ht="15.75" customHeight="1" x14ac:dyDescent="0.25">
      <c r="A923" s="358"/>
      <c r="B923" s="358"/>
      <c r="C923" s="358"/>
      <c r="D923" s="358"/>
      <c r="E923" s="358"/>
      <c r="F923" s="358"/>
      <c r="G923" s="358"/>
      <c r="H923" s="358"/>
      <c r="I923" s="358"/>
      <c r="J923" s="358"/>
      <c r="K923" s="358"/>
      <c r="L923" s="358"/>
      <c r="M923" s="358"/>
      <c r="N923" s="358"/>
      <c r="O923" s="358"/>
      <c r="P923" s="358"/>
      <c r="Q923" s="358"/>
      <c r="R923" s="358"/>
      <c r="S923" s="358"/>
      <c r="T923" s="358"/>
      <c r="U923" s="358"/>
      <c r="V923" s="358"/>
      <c r="W923" s="358"/>
      <c r="X923" s="358"/>
      <c r="Y923" s="358"/>
      <c r="Z923" s="358"/>
    </row>
    <row r="924" spans="1:26" ht="15.75" customHeight="1" x14ac:dyDescent="0.25">
      <c r="A924" s="358"/>
      <c r="B924" s="358"/>
      <c r="C924" s="358"/>
      <c r="D924" s="358"/>
      <c r="E924" s="358"/>
      <c r="F924" s="358"/>
      <c r="G924" s="358"/>
      <c r="H924" s="358"/>
      <c r="I924" s="358"/>
      <c r="J924" s="358"/>
      <c r="K924" s="358"/>
      <c r="L924" s="358"/>
      <c r="M924" s="358"/>
      <c r="N924" s="358"/>
      <c r="O924" s="358"/>
      <c r="P924" s="358"/>
      <c r="Q924" s="358"/>
      <c r="R924" s="358"/>
      <c r="S924" s="358"/>
      <c r="T924" s="358"/>
      <c r="U924" s="358"/>
      <c r="V924" s="358"/>
      <c r="W924" s="358"/>
      <c r="X924" s="358"/>
      <c r="Y924" s="358"/>
      <c r="Z924" s="358"/>
    </row>
    <row r="925" spans="1:26" ht="15.75" customHeight="1" x14ac:dyDescent="0.25">
      <c r="A925" s="358"/>
      <c r="B925" s="358"/>
      <c r="C925" s="358"/>
      <c r="D925" s="358"/>
      <c r="E925" s="358"/>
      <c r="F925" s="358"/>
      <c r="G925" s="358"/>
      <c r="H925" s="358"/>
      <c r="I925" s="358"/>
      <c r="J925" s="358"/>
      <c r="K925" s="358"/>
      <c r="L925" s="358"/>
      <c r="M925" s="358"/>
      <c r="N925" s="358"/>
      <c r="O925" s="358"/>
      <c r="P925" s="358"/>
      <c r="Q925" s="358"/>
      <c r="R925" s="358"/>
      <c r="S925" s="358"/>
      <c r="T925" s="358"/>
      <c r="U925" s="358"/>
      <c r="V925" s="358"/>
      <c r="W925" s="358"/>
      <c r="X925" s="358"/>
      <c r="Y925" s="358"/>
      <c r="Z925" s="358"/>
    </row>
    <row r="926" spans="1:26" ht="15.75" customHeight="1" x14ac:dyDescent="0.25">
      <c r="A926" s="358"/>
      <c r="B926" s="358"/>
      <c r="C926" s="358"/>
      <c r="D926" s="358"/>
      <c r="E926" s="358"/>
      <c r="F926" s="358"/>
      <c r="G926" s="358"/>
      <c r="H926" s="358"/>
      <c r="I926" s="358"/>
      <c r="J926" s="358"/>
      <c r="K926" s="358"/>
      <c r="L926" s="358"/>
      <c r="M926" s="358"/>
      <c r="N926" s="358"/>
      <c r="O926" s="358"/>
      <c r="P926" s="358"/>
      <c r="Q926" s="358"/>
      <c r="R926" s="358"/>
      <c r="S926" s="358"/>
      <c r="T926" s="358"/>
      <c r="U926" s="358"/>
      <c r="V926" s="358"/>
      <c r="W926" s="358"/>
      <c r="X926" s="358"/>
      <c r="Y926" s="358"/>
      <c r="Z926" s="358"/>
    </row>
    <row r="927" spans="1:26" ht="15.75" customHeight="1" x14ac:dyDescent="0.25">
      <c r="A927" s="358"/>
      <c r="B927" s="358"/>
      <c r="C927" s="358"/>
      <c r="D927" s="358"/>
      <c r="E927" s="358"/>
      <c r="F927" s="358"/>
      <c r="G927" s="358"/>
      <c r="H927" s="358"/>
      <c r="I927" s="358"/>
      <c r="J927" s="358"/>
      <c r="K927" s="358"/>
      <c r="L927" s="358"/>
      <c r="M927" s="358"/>
      <c r="N927" s="358"/>
      <c r="O927" s="358"/>
      <c r="P927" s="358"/>
      <c r="Q927" s="358"/>
      <c r="R927" s="358"/>
      <c r="S927" s="358"/>
      <c r="T927" s="358"/>
      <c r="U927" s="358"/>
      <c r="V927" s="358"/>
      <c r="W927" s="358"/>
      <c r="X927" s="358"/>
      <c r="Y927" s="358"/>
      <c r="Z927" s="358"/>
    </row>
    <row r="928" spans="1:26" ht="15.75" customHeight="1" x14ac:dyDescent="0.25">
      <c r="A928" s="358"/>
      <c r="B928" s="358"/>
      <c r="C928" s="358"/>
      <c r="D928" s="358"/>
      <c r="E928" s="358"/>
      <c r="F928" s="358"/>
      <c r="G928" s="358"/>
      <c r="H928" s="358"/>
      <c r="I928" s="358"/>
      <c r="J928" s="358"/>
      <c r="K928" s="358"/>
      <c r="L928" s="358"/>
      <c r="M928" s="358"/>
      <c r="N928" s="358"/>
      <c r="O928" s="358"/>
      <c r="P928" s="358"/>
      <c r="Q928" s="358"/>
      <c r="R928" s="358"/>
      <c r="S928" s="358"/>
      <c r="T928" s="358"/>
      <c r="U928" s="358"/>
      <c r="V928" s="358"/>
      <c r="W928" s="358"/>
      <c r="X928" s="358"/>
      <c r="Y928" s="358"/>
      <c r="Z928" s="358"/>
    </row>
    <row r="929" spans="1:26" ht="15.75" customHeight="1" x14ac:dyDescent="0.25">
      <c r="A929" s="358"/>
      <c r="B929" s="358"/>
      <c r="C929" s="358"/>
      <c r="D929" s="358"/>
      <c r="E929" s="358"/>
      <c r="F929" s="358"/>
      <c r="G929" s="358"/>
      <c r="H929" s="358"/>
      <c r="I929" s="358"/>
      <c r="J929" s="358"/>
      <c r="K929" s="358"/>
      <c r="L929" s="358"/>
      <c r="M929" s="358"/>
      <c r="N929" s="358"/>
      <c r="O929" s="358"/>
      <c r="P929" s="358"/>
      <c r="Q929" s="358"/>
      <c r="R929" s="358"/>
      <c r="S929" s="358"/>
      <c r="T929" s="358"/>
      <c r="U929" s="358"/>
      <c r="V929" s="358"/>
      <c r="W929" s="358"/>
      <c r="X929" s="358"/>
      <c r="Y929" s="358"/>
      <c r="Z929" s="358"/>
    </row>
    <row r="930" spans="1:26" ht="15.75" customHeight="1" x14ac:dyDescent="0.25">
      <c r="A930" s="358"/>
      <c r="B930" s="358"/>
      <c r="C930" s="358"/>
      <c r="D930" s="358"/>
      <c r="E930" s="358"/>
      <c r="F930" s="358"/>
      <c r="G930" s="358"/>
      <c r="H930" s="358"/>
      <c r="I930" s="358"/>
      <c r="J930" s="358"/>
      <c r="K930" s="358"/>
      <c r="L930" s="358"/>
      <c r="M930" s="358"/>
      <c r="N930" s="358"/>
      <c r="O930" s="358"/>
      <c r="P930" s="358"/>
      <c r="Q930" s="358"/>
      <c r="R930" s="358"/>
      <c r="S930" s="358"/>
      <c r="T930" s="358"/>
      <c r="U930" s="358"/>
      <c r="V930" s="358"/>
      <c r="W930" s="358"/>
      <c r="X930" s="358"/>
      <c r="Y930" s="358"/>
      <c r="Z930" s="358"/>
    </row>
    <row r="931" spans="1:26" ht="15.75" customHeight="1" x14ac:dyDescent="0.25">
      <c r="A931" s="358"/>
      <c r="B931" s="358"/>
      <c r="C931" s="358"/>
      <c r="D931" s="358"/>
      <c r="E931" s="358"/>
      <c r="F931" s="358"/>
      <c r="G931" s="358"/>
      <c r="H931" s="358"/>
      <c r="I931" s="358"/>
      <c r="J931" s="358"/>
      <c r="K931" s="358"/>
      <c r="L931" s="358"/>
      <c r="M931" s="358"/>
      <c r="N931" s="358"/>
      <c r="O931" s="358"/>
      <c r="P931" s="358"/>
      <c r="Q931" s="358"/>
      <c r="R931" s="358"/>
      <c r="S931" s="358"/>
      <c r="T931" s="358"/>
      <c r="U931" s="358"/>
      <c r="V931" s="358"/>
      <c r="W931" s="358"/>
      <c r="X931" s="358"/>
      <c r="Y931" s="358"/>
      <c r="Z931" s="358"/>
    </row>
    <row r="932" spans="1:26" ht="15.75" customHeight="1" x14ac:dyDescent="0.25">
      <c r="A932" s="358"/>
      <c r="B932" s="358"/>
      <c r="C932" s="358"/>
      <c r="D932" s="358"/>
      <c r="E932" s="358"/>
      <c r="F932" s="358"/>
      <c r="G932" s="358"/>
      <c r="H932" s="358"/>
      <c r="I932" s="358"/>
      <c r="J932" s="358"/>
      <c r="K932" s="358"/>
      <c r="L932" s="358"/>
      <c r="M932" s="358"/>
      <c r="N932" s="358"/>
      <c r="O932" s="358"/>
      <c r="P932" s="358"/>
      <c r="Q932" s="358"/>
      <c r="R932" s="358"/>
      <c r="S932" s="358"/>
      <c r="T932" s="358"/>
      <c r="U932" s="358"/>
      <c r="V932" s="358"/>
      <c r="W932" s="358"/>
      <c r="X932" s="358"/>
      <c r="Y932" s="358"/>
      <c r="Z932" s="358"/>
    </row>
    <row r="933" spans="1:26" ht="15.75" customHeight="1" x14ac:dyDescent="0.25">
      <c r="A933" s="358"/>
      <c r="B933" s="358"/>
      <c r="C933" s="358"/>
      <c r="D933" s="358"/>
      <c r="E933" s="358"/>
      <c r="F933" s="358"/>
      <c r="G933" s="358"/>
      <c r="H933" s="358"/>
      <c r="I933" s="358"/>
      <c r="J933" s="358"/>
      <c r="K933" s="358"/>
      <c r="L933" s="358"/>
      <c r="M933" s="358"/>
      <c r="N933" s="358"/>
      <c r="O933" s="358"/>
      <c r="P933" s="358"/>
      <c r="Q933" s="358"/>
      <c r="R933" s="358"/>
      <c r="S933" s="358"/>
      <c r="T933" s="358"/>
      <c r="U933" s="358"/>
      <c r="V933" s="358"/>
      <c r="W933" s="358"/>
      <c r="X933" s="358"/>
      <c r="Y933" s="358"/>
      <c r="Z933" s="358"/>
    </row>
    <row r="934" spans="1:26" ht="15.75" customHeight="1" x14ac:dyDescent="0.25">
      <c r="A934" s="358"/>
      <c r="B934" s="358"/>
      <c r="C934" s="358"/>
      <c r="D934" s="358"/>
      <c r="E934" s="358"/>
      <c r="F934" s="358"/>
      <c r="G934" s="358"/>
      <c r="H934" s="358"/>
      <c r="I934" s="358"/>
      <c r="J934" s="358"/>
      <c r="K934" s="358"/>
      <c r="L934" s="358"/>
      <c r="M934" s="358"/>
      <c r="N934" s="358"/>
      <c r="O934" s="358"/>
      <c r="P934" s="358"/>
      <c r="Q934" s="358"/>
      <c r="R934" s="358"/>
      <c r="S934" s="358"/>
      <c r="T934" s="358"/>
      <c r="U934" s="358"/>
      <c r="V934" s="358"/>
      <c r="W934" s="358"/>
      <c r="X934" s="358"/>
      <c r="Y934" s="358"/>
      <c r="Z934" s="358"/>
    </row>
    <row r="935" spans="1:26" ht="15.75" customHeight="1" x14ac:dyDescent="0.25">
      <c r="A935" s="358"/>
      <c r="B935" s="358"/>
      <c r="C935" s="358"/>
      <c r="D935" s="358"/>
      <c r="E935" s="358"/>
      <c r="F935" s="358"/>
      <c r="G935" s="358"/>
      <c r="H935" s="358"/>
      <c r="I935" s="358"/>
      <c r="J935" s="358"/>
      <c r="K935" s="358"/>
      <c r="L935" s="358"/>
      <c r="M935" s="358"/>
      <c r="N935" s="358"/>
      <c r="O935" s="358"/>
      <c r="P935" s="358"/>
      <c r="Q935" s="358"/>
      <c r="R935" s="358"/>
      <c r="S935" s="358"/>
      <c r="T935" s="358"/>
      <c r="U935" s="358"/>
      <c r="V935" s="358"/>
      <c r="W935" s="358"/>
      <c r="X935" s="358"/>
      <c r="Y935" s="358"/>
      <c r="Z935" s="358"/>
    </row>
    <row r="936" spans="1:26" ht="15.75" customHeight="1" x14ac:dyDescent="0.25">
      <c r="A936" s="358"/>
      <c r="B936" s="358"/>
      <c r="C936" s="358"/>
      <c r="D936" s="358"/>
      <c r="E936" s="358"/>
      <c r="F936" s="358"/>
      <c r="G936" s="358"/>
      <c r="H936" s="358"/>
      <c r="I936" s="358"/>
      <c r="J936" s="358"/>
      <c r="K936" s="358"/>
      <c r="L936" s="358"/>
      <c r="M936" s="358"/>
      <c r="N936" s="358"/>
      <c r="O936" s="358"/>
      <c r="P936" s="358"/>
      <c r="Q936" s="358"/>
      <c r="R936" s="358"/>
      <c r="S936" s="358"/>
      <c r="T936" s="358"/>
      <c r="U936" s="358"/>
      <c r="V936" s="358"/>
      <c r="W936" s="358"/>
      <c r="X936" s="358"/>
      <c r="Y936" s="358"/>
      <c r="Z936" s="358"/>
    </row>
    <row r="937" spans="1:26" ht="15.75" customHeight="1" x14ac:dyDescent="0.25">
      <c r="A937" s="358"/>
      <c r="B937" s="358"/>
      <c r="C937" s="358"/>
      <c r="D937" s="358"/>
      <c r="E937" s="358"/>
      <c r="F937" s="358"/>
      <c r="G937" s="358"/>
      <c r="H937" s="358"/>
      <c r="I937" s="358"/>
      <c r="J937" s="358"/>
      <c r="K937" s="358"/>
      <c r="L937" s="358"/>
      <c r="M937" s="358"/>
      <c r="N937" s="358"/>
      <c r="O937" s="358"/>
      <c r="P937" s="358"/>
      <c r="Q937" s="358"/>
      <c r="R937" s="358"/>
      <c r="S937" s="358"/>
      <c r="T937" s="358"/>
      <c r="U937" s="358"/>
      <c r="V937" s="358"/>
      <c r="W937" s="358"/>
      <c r="X937" s="358"/>
      <c r="Y937" s="358"/>
      <c r="Z937" s="358"/>
    </row>
    <row r="938" spans="1:26" ht="15.75" customHeight="1" x14ac:dyDescent="0.25">
      <c r="A938" s="358"/>
      <c r="B938" s="358"/>
      <c r="C938" s="358"/>
      <c r="D938" s="358"/>
      <c r="E938" s="358"/>
      <c r="F938" s="358"/>
      <c r="G938" s="358"/>
      <c r="H938" s="358"/>
      <c r="I938" s="358"/>
      <c r="J938" s="358"/>
      <c r="K938" s="358"/>
      <c r="L938" s="358"/>
      <c r="M938" s="358"/>
      <c r="N938" s="358"/>
      <c r="O938" s="358"/>
      <c r="P938" s="358"/>
      <c r="Q938" s="358"/>
      <c r="R938" s="358"/>
      <c r="S938" s="358"/>
      <c r="T938" s="358"/>
      <c r="U938" s="358"/>
      <c r="V938" s="358"/>
      <c r="W938" s="358"/>
      <c r="X938" s="358"/>
      <c r="Y938" s="358"/>
      <c r="Z938" s="358"/>
    </row>
    <row r="939" spans="1:26" ht="15.75" customHeight="1" x14ac:dyDescent="0.25">
      <c r="A939" s="358"/>
      <c r="B939" s="358"/>
      <c r="C939" s="358"/>
      <c r="D939" s="358"/>
      <c r="E939" s="358"/>
      <c r="F939" s="358"/>
      <c r="G939" s="358"/>
      <c r="H939" s="358"/>
      <c r="I939" s="358"/>
      <c r="J939" s="358"/>
      <c r="K939" s="358"/>
      <c r="L939" s="358"/>
      <c r="M939" s="358"/>
      <c r="N939" s="358"/>
      <c r="O939" s="358"/>
      <c r="P939" s="358"/>
      <c r="Q939" s="358"/>
      <c r="R939" s="358"/>
      <c r="S939" s="358"/>
      <c r="T939" s="358"/>
      <c r="U939" s="358"/>
      <c r="V939" s="358"/>
      <c r="W939" s="358"/>
      <c r="X939" s="358"/>
      <c r="Y939" s="358"/>
      <c r="Z939" s="358"/>
    </row>
    <row r="940" spans="1:26" ht="15.75" customHeight="1" x14ac:dyDescent="0.25">
      <c r="A940" s="358"/>
      <c r="B940" s="358"/>
      <c r="C940" s="358"/>
      <c r="D940" s="358"/>
      <c r="E940" s="358"/>
      <c r="F940" s="358"/>
      <c r="G940" s="358"/>
      <c r="H940" s="358"/>
      <c r="I940" s="358"/>
      <c r="J940" s="358"/>
      <c r="K940" s="358"/>
      <c r="L940" s="358"/>
      <c r="M940" s="358"/>
      <c r="N940" s="358"/>
      <c r="O940" s="358"/>
      <c r="P940" s="358"/>
      <c r="Q940" s="358"/>
      <c r="R940" s="358"/>
      <c r="S940" s="358"/>
      <c r="T940" s="358"/>
      <c r="U940" s="358"/>
      <c r="V940" s="358"/>
      <c r="W940" s="358"/>
      <c r="X940" s="358"/>
      <c r="Y940" s="358"/>
      <c r="Z940" s="358"/>
    </row>
    <row r="941" spans="1:26" ht="15.75" customHeight="1" x14ac:dyDescent="0.25">
      <c r="A941" s="358"/>
      <c r="B941" s="358"/>
      <c r="C941" s="358"/>
      <c r="D941" s="358"/>
      <c r="E941" s="358"/>
      <c r="F941" s="358"/>
      <c r="G941" s="358"/>
      <c r="H941" s="358"/>
      <c r="I941" s="358"/>
      <c r="J941" s="358"/>
      <c r="K941" s="358"/>
      <c r="L941" s="358"/>
      <c r="M941" s="358"/>
      <c r="N941" s="358"/>
      <c r="O941" s="358"/>
      <c r="P941" s="358"/>
      <c r="Q941" s="358"/>
      <c r="R941" s="358"/>
      <c r="S941" s="358"/>
      <c r="T941" s="358"/>
      <c r="U941" s="358"/>
      <c r="V941" s="358"/>
      <c r="W941" s="358"/>
      <c r="X941" s="358"/>
      <c r="Y941" s="358"/>
      <c r="Z941" s="358"/>
    </row>
    <row r="942" spans="1:26" ht="15.75" customHeight="1" x14ac:dyDescent="0.25">
      <c r="A942" s="358"/>
      <c r="B942" s="358"/>
      <c r="C942" s="358"/>
      <c r="D942" s="358"/>
      <c r="E942" s="358"/>
      <c r="F942" s="358"/>
      <c r="G942" s="358"/>
      <c r="H942" s="358"/>
      <c r="I942" s="358"/>
      <c r="J942" s="358"/>
      <c r="K942" s="358"/>
      <c r="L942" s="358"/>
      <c r="M942" s="358"/>
      <c r="N942" s="358"/>
      <c r="O942" s="358"/>
      <c r="P942" s="358"/>
      <c r="Q942" s="358"/>
      <c r="R942" s="358"/>
      <c r="S942" s="358"/>
      <c r="T942" s="358"/>
      <c r="U942" s="358"/>
      <c r="V942" s="358"/>
      <c r="W942" s="358"/>
      <c r="X942" s="358"/>
      <c r="Y942" s="358"/>
      <c r="Z942" s="358"/>
    </row>
    <row r="943" spans="1:26" ht="15.75" customHeight="1" x14ac:dyDescent="0.25">
      <c r="A943" s="358"/>
      <c r="B943" s="358"/>
      <c r="C943" s="358"/>
      <c r="D943" s="358"/>
      <c r="E943" s="358"/>
      <c r="F943" s="358"/>
      <c r="G943" s="358"/>
      <c r="H943" s="358"/>
      <c r="I943" s="358"/>
      <c r="J943" s="358"/>
      <c r="K943" s="358"/>
      <c r="L943" s="358"/>
      <c r="M943" s="358"/>
      <c r="N943" s="358"/>
      <c r="O943" s="358"/>
      <c r="P943" s="358"/>
      <c r="Q943" s="358"/>
      <c r="R943" s="358"/>
      <c r="S943" s="358"/>
      <c r="T943" s="358"/>
      <c r="U943" s="358"/>
      <c r="V943" s="358"/>
      <c r="W943" s="358"/>
      <c r="X943" s="358"/>
      <c r="Y943" s="358"/>
      <c r="Z943" s="358"/>
    </row>
    <row r="944" spans="1:26" ht="15.75" customHeight="1" x14ac:dyDescent="0.25">
      <c r="A944" s="358"/>
      <c r="B944" s="358"/>
      <c r="C944" s="358"/>
      <c r="D944" s="358"/>
      <c r="E944" s="358"/>
      <c r="F944" s="358"/>
      <c r="G944" s="358"/>
      <c r="H944" s="358"/>
      <c r="I944" s="358"/>
      <c r="J944" s="358"/>
      <c r="K944" s="358"/>
      <c r="L944" s="358"/>
      <c r="M944" s="358"/>
      <c r="N944" s="358"/>
      <c r="O944" s="358"/>
      <c r="P944" s="358"/>
      <c r="Q944" s="358"/>
      <c r="R944" s="358"/>
      <c r="S944" s="358"/>
      <c r="T944" s="358"/>
      <c r="U944" s="358"/>
      <c r="V944" s="358"/>
      <c r="W944" s="358"/>
      <c r="X944" s="358"/>
      <c r="Y944" s="358"/>
      <c r="Z944" s="358"/>
    </row>
    <row r="945" spans="1:26" ht="15.75" customHeight="1" x14ac:dyDescent="0.25">
      <c r="A945" s="358"/>
      <c r="B945" s="358"/>
      <c r="C945" s="358"/>
      <c r="D945" s="358"/>
      <c r="E945" s="358"/>
      <c r="F945" s="358"/>
      <c r="G945" s="358"/>
      <c r="H945" s="358"/>
      <c r="I945" s="358"/>
      <c r="J945" s="358"/>
      <c r="K945" s="358"/>
      <c r="L945" s="358"/>
      <c r="M945" s="358"/>
      <c r="N945" s="358"/>
      <c r="O945" s="358"/>
      <c r="P945" s="358"/>
      <c r="Q945" s="358"/>
      <c r="R945" s="358"/>
      <c r="S945" s="358"/>
      <c r="T945" s="358"/>
      <c r="U945" s="358"/>
      <c r="V945" s="358"/>
      <c r="W945" s="358"/>
      <c r="X945" s="358"/>
      <c r="Y945" s="358"/>
      <c r="Z945" s="358"/>
    </row>
    <row r="946" spans="1:26" ht="15.75" customHeight="1" x14ac:dyDescent="0.25">
      <c r="A946" s="358"/>
      <c r="B946" s="358"/>
      <c r="C946" s="358"/>
      <c r="D946" s="358"/>
      <c r="E946" s="358"/>
      <c r="F946" s="358"/>
      <c r="G946" s="358"/>
      <c r="H946" s="358"/>
      <c r="I946" s="358"/>
      <c r="J946" s="358"/>
      <c r="K946" s="358"/>
      <c r="L946" s="358"/>
      <c r="M946" s="358"/>
      <c r="N946" s="358"/>
      <c r="O946" s="358"/>
      <c r="P946" s="358"/>
      <c r="Q946" s="358"/>
      <c r="R946" s="358"/>
      <c r="S946" s="358"/>
      <c r="T946" s="358"/>
      <c r="U946" s="358"/>
      <c r="V946" s="358"/>
      <c r="W946" s="358"/>
      <c r="X946" s="358"/>
      <c r="Y946" s="358"/>
      <c r="Z946" s="358"/>
    </row>
    <row r="947" spans="1:26" ht="15.75" customHeight="1" x14ac:dyDescent="0.25">
      <c r="A947" s="358"/>
      <c r="B947" s="358"/>
      <c r="C947" s="358"/>
      <c r="D947" s="358"/>
      <c r="E947" s="358"/>
      <c r="F947" s="358"/>
      <c r="G947" s="358"/>
      <c r="H947" s="358"/>
      <c r="I947" s="358"/>
      <c r="J947" s="358"/>
      <c r="K947" s="358"/>
      <c r="L947" s="358"/>
      <c r="M947" s="358"/>
      <c r="N947" s="358"/>
      <c r="O947" s="358"/>
      <c r="P947" s="358"/>
      <c r="Q947" s="358"/>
      <c r="R947" s="358"/>
      <c r="S947" s="358"/>
      <c r="T947" s="358"/>
      <c r="U947" s="358"/>
      <c r="V947" s="358"/>
      <c r="W947" s="358"/>
      <c r="X947" s="358"/>
      <c r="Y947" s="358"/>
      <c r="Z947" s="358"/>
    </row>
    <row r="948" spans="1:26" ht="15.75" customHeight="1" x14ac:dyDescent="0.25">
      <c r="A948" s="358"/>
      <c r="B948" s="358"/>
      <c r="C948" s="358"/>
      <c r="D948" s="358"/>
      <c r="E948" s="358"/>
      <c r="F948" s="358"/>
      <c r="G948" s="358"/>
      <c r="H948" s="358"/>
      <c r="I948" s="358"/>
      <c r="J948" s="358"/>
      <c r="K948" s="358"/>
      <c r="L948" s="358"/>
      <c r="M948" s="358"/>
      <c r="N948" s="358"/>
      <c r="O948" s="358"/>
      <c r="P948" s="358"/>
      <c r="Q948" s="358"/>
      <c r="R948" s="358"/>
      <c r="S948" s="358"/>
      <c r="T948" s="358"/>
      <c r="U948" s="358"/>
      <c r="V948" s="358"/>
      <c r="W948" s="358"/>
      <c r="X948" s="358"/>
      <c r="Y948" s="358"/>
      <c r="Z948" s="358"/>
    </row>
    <row r="949" spans="1:26" ht="15.75" customHeight="1" x14ac:dyDescent="0.25">
      <c r="A949" s="358"/>
      <c r="B949" s="358"/>
      <c r="C949" s="358"/>
      <c r="D949" s="358"/>
      <c r="E949" s="358"/>
      <c r="F949" s="358"/>
      <c r="G949" s="358"/>
      <c r="H949" s="358"/>
      <c r="I949" s="358"/>
      <c r="J949" s="358"/>
      <c r="K949" s="358"/>
      <c r="L949" s="358"/>
      <c r="M949" s="358"/>
      <c r="N949" s="358"/>
      <c r="O949" s="358"/>
      <c r="P949" s="358"/>
      <c r="Q949" s="358"/>
      <c r="R949" s="358"/>
      <c r="S949" s="358"/>
      <c r="T949" s="358"/>
      <c r="U949" s="358"/>
      <c r="V949" s="358"/>
      <c r="W949" s="358"/>
      <c r="X949" s="358"/>
      <c r="Y949" s="358"/>
      <c r="Z949" s="358"/>
    </row>
    <row r="950" spans="1:26" ht="15.75" customHeight="1" x14ac:dyDescent="0.25">
      <c r="A950" s="358"/>
      <c r="B950" s="358"/>
      <c r="C950" s="358"/>
      <c r="D950" s="358"/>
      <c r="E950" s="358"/>
      <c r="F950" s="358"/>
      <c r="G950" s="358"/>
      <c r="H950" s="358"/>
      <c r="I950" s="358"/>
      <c r="J950" s="358"/>
      <c r="K950" s="358"/>
      <c r="L950" s="358"/>
      <c r="M950" s="358"/>
      <c r="N950" s="358"/>
      <c r="O950" s="358"/>
      <c r="P950" s="358"/>
      <c r="Q950" s="358"/>
      <c r="R950" s="358"/>
      <c r="S950" s="358"/>
      <c r="T950" s="358"/>
      <c r="U950" s="358"/>
      <c r="V950" s="358"/>
      <c r="W950" s="358"/>
      <c r="X950" s="358"/>
      <c r="Y950" s="358"/>
      <c r="Z950" s="358"/>
    </row>
    <row r="951" spans="1:26" ht="15.75" customHeight="1" x14ac:dyDescent="0.25">
      <c r="A951" s="358"/>
      <c r="B951" s="358"/>
      <c r="C951" s="358"/>
      <c r="D951" s="358"/>
      <c r="E951" s="358"/>
      <c r="F951" s="358"/>
      <c r="G951" s="358"/>
      <c r="H951" s="358"/>
      <c r="I951" s="358"/>
      <c r="J951" s="358"/>
      <c r="K951" s="358"/>
      <c r="L951" s="358"/>
      <c r="M951" s="358"/>
      <c r="N951" s="358"/>
      <c r="O951" s="358"/>
      <c r="P951" s="358"/>
      <c r="Q951" s="358"/>
      <c r="R951" s="358"/>
      <c r="S951" s="358"/>
      <c r="T951" s="358"/>
      <c r="U951" s="358"/>
      <c r="V951" s="358"/>
      <c r="W951" s="358"/>
      <c r="X951" s="358"/>
      <c r="Y951" s="358"/>
      <c r="Z951" s="358"/>
    </row>
    <row r="952" spans="1:26" ht="15.75" customHeight="1" x14ac:dyDescent="0.25">
      <c r="A952" s="358"/>
      <c r="B952" s="358"/>
      <c r="C952" s="358"/>
      <c r="D952" s="358"/>
      <c r="E952" s="358"/>
      <c r="F952" s="358"/>
      <c r="G952" s="358"/>
      <c r="H952" s="358"/>
      <c r="I952" s="358"/>
      <c r="J952" s="358"/>
      <c r="K952" s="358"/>
      <c r="L952" s="358"/>
      <c r="M952" s="358"/>
      <c r="N952" s="358"/>
      <c r="O952" s="358"/>
      <c r="P952" s="358"/>
      <c r="Q952" s="358"/>
      <c r="R952" s="358"/>
      <c r="S952" s="358"/>
      <c r="T952" s="358"/>
      <c r="U952" s="358"/>
      <c r="V952" s="358"/>
      <c r="W952" s="358"/>
      <c r="X952" s="358"/>
      <c r="Y952" s="358"/>
      <c r="Z952" s="358"/>
    </row>
    <row r="953" spans="1:26" ht="15.75" customHeight="1" x14ac:dyDescent="0.25">
      <c r="A953" s="358"/>
      <c r="B953" s="358"/>
      <c r="C953" s="358"/>
      <c r="D953" s="358"/>
      <c r="E953" s="358"/>
      <c r="F953" s="358"/>
      <c r="G953" s="358"/>
      <c r="H953" s="358"/>
      <c r="I953" s="358"/>
      <c r="J953" s="358"/>
      <c r="K953" s="358"/>
      <c r="L953" s="358"/>
      <c r="M953" s="358"/>
      <c r="N953" s="358"/>
      <c r="O953" s="358"/>
      <c r="P953" s="358"/>
      <c r="Q953" s="358"/>
      <c r="R953" s="358"/>
      <c r="S953" s="358"/>
      <c r="T953" s="358"/>
      <c r="U953" s="358"/>
      <c r="V953" s="358"/>
      <c r="W953" s="358"/>
      <c r="X953" s="358"/>
      <c r="Y953" s="358"/>
      <c r="Z953" s="358"/>
    </row>
    <row r="954" spans="1:26" ht="15.75" customHeight="1" x14ac:dyDescent="0.25">
      <c r="A954" s="358"/>
      <c r="B954" s="358"/>
      <c r="C954" s="358"/>
      <c r="D954" s="358"/>
      <c r="E954" s="358"/>
      <c r="F954" s="358"/>
      <c r="G954" s="358"/>
      <c r="H954" s="358"/>
      <c r="I954" s="358"/>
      <c r="J954" s="358"/>
      <c r="K954" s="358"/>
      <c r="L954" s="358"/>
      <c r="M954" s="358"/>
      <c r="N954" s="358"/>
      <c r="O954" s="358"/>
      <c r="P954" s="358"/>
      <c r="Q954" s="358"/>
      <c r="R954" s="358"/>
      <c r="S954" s="358"/>
      <c r="T954" s="358"/>
      <c r="U954" s="358"/>
      <c r="V954" s="358"/>
      <c r="W954" s="358"/>
      <c r="X954" s="358"/>
      <c r="Y954" s="358"/>
      <c r="Z954" s="358"/>
    </row>
    <row r="955" spans="1:26" ht="15.75" customHeight="1" x14ac:dyDescent="0.25">
      <c r="A955" s="358"/>
      <c r="B955" s="358"/>
      <c r="C955" s="358"/>
      <c r="D955" s="358"/>
      <c r="E955" s="358"/>
      <c r="F955" s="358"/>
      <c r="G955" s="358"/>
      <c r="H955" s="358"/>
      <c r="I955" s="358"/>
      <c r="J955" s="358"/>
      <c r="K955" s="358"/>
      <c r="L955" s="358"/>
      <c r="M955" s="358"/>
      <c r="N955" s="358"/>
      <c r="O955" s="358"/>
      <c r="P955" s="358"/>
      <c r="Q955" s="358"/>
      <c r="R955" s="358"/>
      <c r="S955" s="358"/>
      <c r="T955" s="358"/>
      <c r="U955" s="358"/>
      <c r="V955" s="358"/>
      <c r="W955" s="358"/>
      <c r="X955" s="358"/>
      <c r="Y955" s="358"/>
      <c r="Z955" s="358"/>
    </row>
    <row r="956" spans="1:26" ht="15.75" customHeight="1" x14ac:dyDescent="0.25">
      <c r="A956" s="358"/>
      <c r="B956" s="358"/>
      <c r="C956" s="358"/>
      <c r="D956" s="358"/>
      <c r="E956" s="358"/>
      <c r="F956" s="358"/>
      <c r="G956" s="358"/>
      <c r="H956" s="358"/>
      <c r="I956" s="358"/>
      <c r="J956" s="358"/>
      <c r="K956" s="358"/>
      <c r="L956" s="358"/>
      <c r="M956" s="358"/>
      <c r="N956" s="358"/>
      <c r="O956" s="358"/>
      <c r="P956" s="358"/>
      <c r="Q956" s="358"/>
      <c r="R956" s="358"/>
      <c r="S956" s="358"/>
      <c r="T956" s="358"/>
      <c r="U956" s="358"/>
      <c r="V956" s="358"/>
      <c r="W956" s="358"/>
      <c r="X956" s="358"/>
      <c r="Y956" s="358"/>
      <c r="Z956" s="358"/>
    </row>
    <row r="957" spans="1:26" ht="15.75" customHeight="1" x14ac:dyDescent="0.25">
      <c r="A957" s="358"/>
      <c r="B957" s="358"/>
      <c r="C957" s="358"/>
      <c r="D957" s="358"/>
      <c r="E957" s="358"/>
      <c r="F957" s="358"/>
      <c r="G957" s="358"/>
      <c r="H957" s="358"/>
      <c r="I957" s="358"/>
      <c r="J957" s="358"/>
      <c r="K957" s="358"/>
      <c r="L957" s="358"/>
      <c r="M957" s="358"/>
      <c r="N957" s="358"/>
      <c r="O957" s="358"/>
      <c r="P957" s="358"/>
      <c r="Q957" s="358"/>
      <c r="R957" s="358"/>
      <c r="S957" s="358"/>
      <c r="T957" s="358"/>
      <c r="U957" s="358"/>
      <c r="V957" s="358"/>
      <c r="W957" s="358"/>
      <c r="X957" s="358"/>
      <c r="Y957" s="358"/>
      <c r="Z957" s="358"/>
    </row>
    <row r="958" spans="1:26" ht="15.75" customHeight="1" x14ac:dyDescent="0.25">
      <c r="A958" s="358"/>
      <c r="B958" s="358"/>
      <c r="C958" s="358"/>
      <c r="D958" s="358"/>
      <c r="E958" s="358"/>
      <c r="F958" s="358"/>
      <c r="G958" s="358"/>
      <c r="H958" s="358"/>
      <c r="I958" s="358"/>
      <c r="J958" s="358"/>
      <c r="K958" s="358"/>
      <c r="L958" s="358"/>
      <c r="M958" s="358"/>
      <c r="N958" s="358"/>
      <c r="O958" s="358"/>
      <c r="P958" s="358"/>
      <c r="Q958" s="358"/>
      <c r="R958" s="358"/>
      <c r="S958" s="358"/>
      <c r="T958" s="358"/>
      <c r="U958" s="358"/>
      <c r="V958" s="358"/>
      <c r="W958" s="358"/>
      <c r="X958" s="358"/>
      <c r="Y958" s="358"/>
      <c r="Z958" s="358"/>
    </row>
    <row r="959" spans="1:26" ht="15.75" customHeight="1" x14ac:dyDescent="0.25">
      <c r="A959" s="358"/>
      <c r="B959" s="358"/>
      <c r="C959" s="358"/>
      <c r="D959" s="358"/>
      <c r="E959" s="358"/>
      <c r="F959" s="358"/>
      <c r="G959" s="358"/>
      <c r="H959" s="358"/>
      <c r="I959" s="358"/>
      <c r="J959" s="358"/>
      <c r="K959" s="358"/>
      <c r="L959" s="358"/>
      <c r="M959" s="358"/>
      <c r="N959" s="358"/>
      <c r="O959" s="358"/>
      <c r="P959" s="358"/>
      <c r="Q959" s="358"/>
      <c r="R959" s="358"/>
      <c r="S959" s="358"/>
      <c r="T959" s="358"/>
      <c r="U959" s="358"/>
      <c r="V959" s="358"/>
      <c r="W959" s="358"/>
      <c r="X959" s="358"/>
      <c r="Y959" s="358"/>
      <c r="Z959" s="358"/>
    </row>
    <row r="960" spans="1:26" ht="15.75" customHeight="1" x14ac:dyDescent="0.25">
      <c r="A960" s="358"/>
      <c r="B960" s="358"/>
      <c r="C960" s="358"/>
      <c r="D960" s="358"/>
      <c r="E960" s="358"/>
      <c r="F960" s="358"/>
      <c r="G960" s="358"/>
      <c r="H960" s="358"/>
      <c r="I960" s="358"/>
      <c r="J960" s="358"/>
      <c r="K960" s="358"/>
      <c r="L960" s="358"/>
      <c r="M960" s="358"/>
      <c r="N960" s="358"/>
      <c r="O960" s="358"/>
      <c r="P960" s="358"/>
      <c r="Q960" s="358"/>
      <c r="R960" s="358"/>
      <c r="S960" s="358"/>
      <c r="T960" s="358"/>
      <c r="U960" s="358"/>
      <c r="V960" s="358"/>
      <c r="W960" s="358"/>
      <c r="X960" s="358"/>
      <c r="Y960" s="358"/>
      <c r="Z960" s="358"/>
    </row>
    <row r="961" spans="1:26" ht="15.75" customHeight="1" x14ac:dyDescent="0.25">
      <c r="A961" s="358"/>
      <c r="B961" s="358"/>
      <c r="C961" s="358"/>
      <c r="D961" s="358"/>
      <c r="E961" s="358"/>
      <c r="F961" s="358"/>
      <c r="G961" s="358"/>
      <c r="H961" s="358"/>
      <c r="I961" s="358"/>
      <c r="J961" s="358"/>
      <c r="K961" s="358"/>
      <c r="L961" s="358"/>
      <c r="M961" s="358"/>
      <c r="N961" s="358"/>
      <c r="O961" s="358"/>
      <c r="P961" s="358"/>
      <c r="Q961" s="358"/>
      <c r="R961" s="358"/>
      <c r="S961" s="358"/>
      <c r="T961" s="358"/>
      <c r="U961" s="358"/>
      <c r="V961" s="358"/>
      <c r="W961" s="358"/>
      <c r="X961" s="358"/>
      <c r="Y961" s="358"/>
      <c r="Z961" s="358"/>
    </row>
    <row r="962" spans="1:26" ht="15.75" customHeight="1" x14ac:dyDescent="0.25">
      <c r="A962" s="358"/>
      <c r="B962" s="358"/>
      <c r="C962" s="358"/>
      <c r="D962" s="358"/>
      <c r="E962" s="358"/>
      <c r="F962" s="358"/>
      <c r="G962" s="358"/>
      <c r="H962" s="358"/>
      <c r="I962" s="358"/>
      <c r="J962" s="358"/>
      <c r="K962" s="358"/>
      <c r="L962" s="358"/>
      <c r="M962" s="358"/>
      <c r="N962" s="358"/>
      <c r="O962" s="358"/>
      <c r="P962" s="358"/>
      <c r="Q962" s="358"/>
      <c r="R962" s="358"/>
      <c r="S962" s="358"/>
      <c r="T962" s="358"/>
      <c r="U962" s="358"/>
      <c r="V962" s="358"/>
      <c r="W962" s="358"/>
      <c r="X962" s="358"/>
      <c r="Y962" s="358"/>
      <c r="Z962" s="358"/>
    </row>
    <row r="963" spans="1:26" ht="15.75" customHeight="1" x14ac:dyDescent="0.25">
      <c r="A963" s="358"/>
      <c r="B963" s="358"/>
      <c r="C963" s="358"/>
      <c r="D963" s="358"/>
      <c r="E963" s="358"/>
      <c r="F963" s="358"/>
      <c r="G963" s="358"/>
      <c r="H963" s="358"/>
      <c r="I963" s="358"/>
      <c r="J963" s="358"/>
      <c r="K963" s="358"/>
      <c r="L963" s="358"/>
      <c r="M963" s="358"/>
      <c r="N963" s="358"/>
      <c r="O963" s="358"/>
      <c r="P963" s="358"/>
      <c r="Q963" s="358"/>
      <c r="R963" s="358"/>
      <c r="S963" s="358"/>
      <c r="T963" s="358"/>
      <c r="U963" s="358"/>
      <c r="V963" s="358"/>
      <c r="W963" s="358"/>
      <c r="X963" s="358"/>
      <c r="Y963" s="358"/>
      <c r="Z963" s="358"/>
    </row>
    <row r="964" spans="1:26" ht="15.75" customHeight="1" x14ac:dyDescent="0.25">
      <c r="A964" s="358"/>
      <c r="B964" s="358"/>
      <c r="C964" s="358"/>
      <c r="D964" s="358"/>
      <c r="E964" s="358"/>
      <c r="F964" s="358"/>
      <c r="G964" s="358"/>
      <c r="H964" s="358"/>
      <c r="I964" s="358"/>
      <c r="J964" s="358"/>
      <c r="K964" s="358"/>
      <c r="L964" s="358"/>
      <c r="M964" s="358"/>
      <c r="N964" s="358"/>
      <c r="O964" s="358"/>
      <c r="P964" s="358"/>
      <c r="Q964" s="358"/>
      <c r="R964" s="358"/>
      <c r="S964" s="358"/>
      <c r="T964" s="358"/>
      <c r="U964" s="358"/>
      <c r="V964" s="358"/>
      <c r="W964" s="358"/>
      <c r="X964" s="358"/>
      <c r="Y964" s="358"/>
      <c r="Z964" s="358"/>
    </row>
    <row r="965" spans="1:26" ht="15.75" customHeight="1" x14ac:dyDescent="0.25">
      <c r="A965" s="358"/>
      <c r="B965" s="358"/>
      <c r="C965" s="358"/>
      <c r="D965" s="358"/>
      <c r="E965" s="358"/>
      <c r="F965" s="358"/>
      <c r="G965" s="358"/>
      <c r="H965" s="358"/>
      <c r="I965" s="358"/>
      <c r="J965" s="358"/>
      <c r="K965" s="358"/>
      <c r="L965" s="358"/>
      <c r="M965" s="358"/>
      <c r="N965" s="358"/>
      <c r="O965" s="358"/>
      <c r="P965" s="358"/>
      <c r="Q965" s="358"/>
      <c r="R965" s="358"/>
      <c r="S965" s="358"/>
      <c r="T965" s="358"/>
      <c r="U965" s="358"/>
      <c r="V965" s="358"/>
      <c r="W965" s="358"/>
      <c r="X965" s="358"/>
      <c r="Y965" s="358"/>
      <c r="Z965" s="358"/>
    </row>
    <row r="966" spans="1:26" ht="15.75" customHeight="1" x14ac:dyDescent="0.25">
      <c r="A966" s="358"/>
      <c r="B966" s="358"/>
      <c r="C966" s="358"/>
      <c r="D966" s="358"/>
      <c r="E966" s="358"/>
      <c r="F966" s="358"/>
      <c r="G966" s="358"/>
      <c r="H966" s="358"/>
      <c r="I966" s="358"/>
      <c r="J966" s="358"/>
      <c r="K966" s="358"/>
      <c r="L966" s="358"/>
      <c r="M966" s="358"/>
      <c r="N966" s="358"/>
      <c r="O966" s="358"/>
      <c r="P966" s="358"/>
      <c r="Q966" s="358"/>
      <c r="R966" s="358"/>
      <c r="S966" s="358"/>
      <c r="T966" s="358"/>
      <c r="U966" s="358"/>
      <c r="V966" s="358"/>
      <c r="W966" s="358"/>
      <c r="X966" s="358"/>
      <c r="Y966" s="358"/>
      <c r="Z966" s="358"/>
    </row>
    <row r="967" spans="1:26" ht="15.75" customHeight="1" x14ac:dyDescent="0.25">
      <c r="A967" s="358"/>
      <c r="B967" s="358"/>
      <c r="C967" s="358"/>
      <c r="D967" s="358"/>
      <c r="E967" s="358"/>
      <c r="F967" s="358"/>
      <c r="G967" s="358"/>
      <c r="H967" s="358"/>
      <c r="I967" s="358"/>
      <c r="J967" s="358"/>
      <c r="K967" s="358"/>
      <c r="L967" s="358"/>
      <c r="M967" s="358"/>
      <c r="N967" s="358"/>
      <c r="O967" s="358"/>
      <c r="P967" s="358"/>
      <c r="Q967" s="358"/>
      <c r="R967" s="358"/>
      <c r="S967" s="358"/>
      <c r="T967" s="358"/>
      <c r="U967" s="358"/>
      <c r="V967" s="358"/>
      <c r="W967" s="358"/>
      <c r="X967" s="358"/>
      <c r="Y967" s="358"/>
      <c r="Z967" s="358"/>
    </row>
    <row r="968" spans="1:26" ht="15.75" customHeight="1" x14ac:dyDescent="0.25">
      <c r="A968" s="358"/>
      <c r="B968" s="358"/>
      <c r="C968" s="358"/>
      <c r="D968" s="358"/>
      <c r="E968" s="358"/>
      <c r="F968" s="358"/>
      <c r="G968" s="358"/>
      <c r="H968" s="358"/>
      <c r="I968" s="358"/>
      <c r="J968" s="358"/>
      <c r="K968" s="358"/>
      <c r="L968" s="358"/>
      <c r="M968" s="358"/>
      <c r="N968" s="358"/>
      <c r="O968" s="358"/>
      <c r="P968" s="358"/>
      <c r="Q968" s="358"/>
      <c r="R968" s="358"/>
      <c r="S968" s="358"/>
      <c r="T968" s="358"/>
      <c r="U968" s="358"/>
      <c r="V968" s="358"/>
      <c r="W968" s="358"/>
      <c r="X968" s="358"/>
      <c r="Y968" s="358"/>
      <c r="Z968" s="358"/>
    </row>
    <row r="969" spans="1:26" ht="15.75" customHeight="1" x14ac:dyDescent="0.25">
      <c r="A969" s="358"/>
      <c r="B969" s="358"/>
      <c r="C969" s="358"/>
      <c r="D969" s="358"/>
      <c r="E969" s="358"/>
      <c r="F969" s="358"/>
      <c r="G969" s="358"/>
      <c r="H969" s="358"/>
      <c r="I969" s="358"/>
      <c r="J969" s="358"/>
      <c r="K969" s="358"/>
      <c r="L969" s="358"/>
      <c r="M969" s="358"/>
      <c r="N969" s="358"/>
      <c r="O969" s="358"/>
      <c r="P969" s="358"/>
      <c r="Q969" s="358"/>
      <c r="R969" s="358"/>
      <c r="S969" s="358"/>
      <c r="T969" s="358"/>
      <c r="U969" s="358"/>
      <c r="V969" s="358"/>
      <c r="W969" s="358"/>
      <c r="X969" s="358"/>
      <c r="Y969" s="358"/>
      <c r="Z969" s="358"/>
    </row>
    <row r="970" spans="1:26" ht="15.75" customHeight="1" x14ac:dyDescent="0.25">
      <c r="A970" s="358"/>
      <c r="B970" s="358"/>
      <c r="C970" s="358"/>
      <c r="D970" s="358"/>
      <c r="E970" s="358"/>
      <c r="F970" s="358"/>
      <c r="G970" s="358"/>
      <c r="H970" s="358"/>
      <c r="I970" s="358"/>
      <c r="J970" s="358"/>
      <c r="K970" s="358"/>
      <c r="L970" s="358"/>
      <c r="M970" s="358"/>
      <c r="N970" s="358"/>
      <c r="O970" s="358"/>
      <c r="P970" s="358"/>
      <c r="Q970" s="358"/>
      <c r="R970" s="358"/>
      <c r="S970" s="358"/>
      <c r="T970" s="358"/>
      <c r="U970" s="358"/>
      <c r="V970" s="358"/>
      <c r="W970" s="358"/>
      <c r="X970" s="358"/>
      <c r="Y970" s="358"/>
      <c r="Z970" s="358"/>
    </row>
    <row r="971" spans="1:26" ht="15.75" customHeight="1" x14ac:dyDescent="0.25">
      <c r="A971" s="358"/>
      <c r="B971" s="358"/>
      <c r="C971" s="358"/>
      <c r="D971" s="358"/>
      <c r="E971" s="358"/>
      <c r="F971" s="358"/>
      <c r="G971" s="358"/>
      <c r="H971" s="358"/>
      <c r="I971" s="358"/>
      <c r="J971" s="358"/>
      <c r="K971" s="358"/>
      <c r="L971" s="358"/>
      <c r="M971" s="358"/>
      <c r="N971" s="358"/>
      <c r="O971" s="358"/>
      <c r="P971" s="358"/>
      <c r="Q971" s="358"/>
      <c r="R971" s="358"/>
      <c r="S971" s="358"/>
      <c r="T971" s="358"/>
      <c r="U971" s="358"/>
      <c r="V971" s="358"/>
      <c r="W971" s="358"/>
      <c r="X971" s="358"/>
      <c r="Y971" s="358"/>
      <c r="Z971" s="358"/>
    </row>
    <row r="972" spans="1:26" ht="15.75" customHeight="1" x14ac:dyDescent="0.25">
      <c r="A972" s="358"/>
      <c r="B972" s="358"/>
      <c r="C972" s="358"/>
      <c r="D972" s="358"/>
      <c r="E972" s="358"/>
      <c r="F972" s="358"/>
      <c r="G972" s="358"/>
      <c r="H972" s="358"/>
      <c r="I972" s="358"/>
      <c r="J972" s="358"/>
      <c r="K972" s="358"/>
      <c r="L972" s="358"/>
      <c r="M972" s="358"/>
      <c r="N972" s="358"/>
      <c r="O972" s="358"/>
      <c r="P972" s="358"/>
      <c r="Q972" s="358"/>
      <c r="R972" s="358"/>
      <c r="S972" s="358"/>
      <c r="T972" s="358"/>
      <c r="U972" s="358"/>
      <c r="V972" s="358"/>
      <c r="W972" s="358"/>
      <c r="X972" s="358"/>
      <c r="Y972" s="358"/>
      <c r="Z972" s="358"/>
    </row>
    <row r="973" spans="1:26" ht="15.75" customHeight="1" x14ac:dyDescent="0.25">
      <c r="A973" s="358"/>
      <c r="B973" s="358"/>
      <c r="C973" s="358"/>
      <c r="D973" s="358"/>
      <c r="E973" s="358"/>
      <c r="F973" s="358"/>
      <c r="G973" s="358"/>
      <c r="H973" s="358"/>
      <c r="I973" s="358"/>
      <c r="J973" s="358"/>
      <c r="K973" s="358"/>
      <c r="L973" s="358"/>
      <c r="M973" s="358"/>
      <c r="N973" s="358"/>
      <c r="O973" s="358"/>
      <c r="P973" s="358"/>
      <c r="Q973" s="358"/>
      <c r="R973" s="358"/>
      <c r="S973" s="358"/>
      <c r="T973" s="358"/>
      <c r="U973" s="358"/>
      <c r="V973" s="358"/>
      <c r="W973" s="358"/>
      <c r="X973" s="358"/>
      <c r="Y973" s="358"/>
      <c r="Z973" s="358"/>
    </row>
    <row r="974" spans="1:26" ht="15.75" customHeight="1" x14ac:dyDescent="0.25">
      <c r="A974" s="358"/>
      <c r="B974" s="358"/>
      <c r="C974" s="358"/>
      <c r="D974" s="358"/>
      <c r="E974" s="358"/>
      <c r="F974" s="358"/>
      <c r="G974" s="358"/>
      <c r="H974" s="358"/>
      <c r="I974" s="358"/>
      <c r="J974" s="358"/>
      <c r="K974" s="358"/>
      <c r="L974" s="358"/>
      <c r="M974" s="358"/>
      <c r="N974" s="358"/>
      <c r="O974" s="358"/>
      <c r="P974" s="358"/>
      <c r="Q974" s="358"/>
      <c r="R974" s="358"/>
      <c r="S974" s="358"/>
      <c r="T974" s="358"/>
      <c r="U974" s="358"/>
      <c r="V974" s="358"/>
      <c r="W974" s="358"/>
      <c r="X974" s="358"/>
      <c r="Y974" s="358"/>
      <c r="Z974" s="358"/>
    </row>
    <row r="975" spans="1:26" ht="15.75" customHeight="1" x14ac:dyDescent="0.25">
      <c r="A975" s="358"/>
      <c r="B975" s="358"/>
      <c r="C975" s="358"/>
      <c r="D975" s="358"/>
      <c r="E975" s="358"/>
      <c r="F975" s="358"/>
      <c r="G975" s="358"/>
      <c r="H975" s="358"/>
      <c r="I975" s="358"/>
      <c r="J975" s="358"/>
      <c r="K975" s="358"/>
      <c r="L975" s="358"/>
      <c r="M975" s="358"/>
      <c r="N975" s="358"/>
      <c r="O975" s="358"/>
      <c r="P975" s="358"/>
      <c r="Q975" s="358"/>
      <c r="R975" s="358"/>
      <c r="S975" s="358"/>
      <c r="T975" s="358"/>
      <c r="U975" s="358"/>
      <c r="V975" s="358"/>
      <c r="W975" s="358"/>
      <c r="X975" s="358"/>
      <c r="Y975" s="358"/>
      <c r="Z975" s="358"/>
    </row>
    <row r="976" spans="1:26" ht="15.75" customHeight="1" x14ac:dyDescent="0.25">
      <c r="A976" s="358"/>
      <c r="B976" s="358"/>
      <c r="C976" s="358"/>
      <c r="D976" s="358"/>
      <c r="E976" s="358"/>
      <c r="F976" s="358"/>
      <c r="G976" s="358"/>
      <c r="H976" s="358"/>
      <c r="I976" s="358"/>
      <c r="J976" s="358"/>
      <c r="K976" s="358"/>
      <c r="L976" s="358"/>
      <c r="M976" s="358"/>
      <c r="N976" s="358"/>
      <c r="O976" s="358"/>
      <c r="P976" s="358"/>
      <c r="Q976" s="358"/>
      <c r="R976" s="358"/>
      <c r="S976" s="358"/>
      <c r="T976" s="358"/>
      <c r="U976" s="358"/>
      <c r="V976" s="358"/>
      <c r="W976" s="358"/>
      <c r="X976" s="358"/>
      <c r="Y976" s="358"/>
      <c r="Z976" s="358"/>
    </row>
    <row r="977" spans="1:26" ht="15.75" customHeight="1" x14ac:dyDescent="0.25">
      <c r="A977" s="358"/>
      <c r="B977" s="358"/>
      <c r="C977" s="358"/>
      <c r="D977" s="358"/>
      <c r="E977" s="358"/>
      <c r="F977" s="358"/>
      <c r="G977" s="358"/>
      <c r="H977" s="358"/>
      <c r="I977" s="358"/>
      <c r="J977" s="358"/>
      <c r="K977" s="358"/>
      <c r="L977" s="358"/>
      <c r="M977" s="358"/>
      <c r="N977" s="358"/>
      <c r="O977" s="358"/>
      <c r="P977" s="358"/>
      <c r="Q977" s="358"/>
      <c r="R977" s="358"/>
      <c r="S977" s="358"/>
      <c r="T977" s="358"/>
      <c r="U977" s="358"/>
      <c r="V977" s="358"/>
      <c r="W977" s="358"/>
      <c r="X977" s="358"/>
      <c r="Y977" s="358"/>
      <c r="Z977" s="358"/>
    </row>
    <row r="978" spans="1:26" ht="15.75" customHeight="1" x14ac:dyDescent="0.25">
      <c r="A978" s="358"/>
      <c r="B978" s="358"/>
      <c r="C978" s="358"/>
      <c r="D978" s="358"/>
      <c r="E978" s="358"/>
      <c r="F978" s="358"/>
      <c r="G978" s="358"/>
      <c r="H978" s="358"/>
      <c r="I978" s="358"/>
      <c r="J978" s="358"/>
      <c r="K978" s="358"/>
      <c r="L978" s="358"/>
      <c r="M978" s="358"/>
      <c r="N978" s="358"/>
      <c r="O978" s="358"/>
      <c r="P978" s="358"/>
      <c r="Q978" s="358"/>
      <c r="R978" s="358"/>
      <c r="S978" s="358"/>
      <c r="T978" s="358"/>
      <c r="U978" s="358"/>
      <c r="V978" s="358"/>
      <c r="W978" s="358"/>
      <c r="X978" s="358"/>
      <c r="Y978" s="358"/>
      <c r="Z978" s="358"/>
    </row>
    <row r="979" spans="1:26" ht="15.75" customHeight="1" x14ac:dyDescent="0.25">
      <c r="A979" s="358"/>
      <c r="B979" s="358"/>
      <c r="C979" s="358"/>
      <c r="D979" s="358"/>
      <c r="E979" s="358"/>
      <c r="F979" s="358"/>
      <c r="G979" s="358"/>
      <c r="H979" s="358"/>
      <c r="I979" s="358"/>
      <c r="J979" s="358"/>
      <c r="K979" s="358"/>
      <c r="L979" s="358"/>
      <c r="M979" s="358"/>
      <c r="N979" s="358"/>
      <c r="O979" s="358"/>
      <c r="P979" s="358"/>
      <c r="Q979" s="358"/>
      <c r="R979" s="358"/>
      <c r="S979" s="358"/>
      <c r="T979" s="358"/>
      <c r="U979" s="358"/>
      <c r="V979" s="358"/>
      <c r="W979" s="358"/>
      <c r="X979" s="358"/>
      <c r="Y979" s="358"/>
      <c r="Z979" s="358"/>
    </row>
    <row r="980" spans="1:26" ht="15.75" customHeight="1" x14ac:dyDescent="0.25">
      <c r="A980" s="358"/>
      <c r="B980" s="358"/>
      <c r="C980" s="358"/>
      <c r="D980" s="358"/>
      <c r="E980" s="358"/>
      <c r="F980" s="358"/>
      <c r="G980" s="358"/>
      <c r="H980" s="358"/>
      <c r="I980" s="358"/>
      <c r="J980" s="358"/>
      <c r="K980" s="358"/>
      <c r="L980" s="358"/>
      <c r="M980" s="358"/>
      <c r="N980" s="358"/>
      <c r="O980" s="358"/>
      <c r="P980" s="358"/>
      <c r="Q980" s="358"/>
      <c r="R980" s="358"/>
      <c r="S980" s="358"/>
      <c r="T980" s="358"/>
      <c r="U980" s="358"/>
      <c r="V980" s="358"/>
      <c r="W980" s="358"/>
      <c r="X980" s="358"/>
      <c r="Y980" s="358"/>
      <c r="Z980" s="358"/>
    </row>
    <row r="981" spans="1:26" ht="15.75" customHeight="1" x14ac:dyDescent="0.25">
      <c r="A981" s="358"/>
      <c r="B981" s="358"/>
      <c r="C981" s="358"/>
      <c r="D981" s="358"/>
      <c r="E981" s="358"/>
      <c r="F981" s="358"/>
      <c r="G981" s="358"/>
      <c r="H981" s="358"/>
      <c r="I981" s="358"/>
      <c r="J981" s="358"/>
      <c r="K981" s="358"/>
      <c r="L981" s="358"/>
      <c r="M981" s="358"/>
      <c r="N981" s="358"/>
      <c r="O981" s="358"/>
      <c r="P981" s="358"/>
      <c r="Q981" s="358"/>
      <c r="R981" s="358"/>
      <c r="S981" s="358"/>
      <c r="T981" s="358"/>
      <c r="U981" s="358"/>
      <c r="V981" s="358"/>
      <c r="W981" s="358"/>
      <c r="X981" s="358"/>
      <c r="Y981" s="358"/>
      <c r="Z981" s="358"/>
    </row>
    <row r="982" spans="1:26" ht="15.75" customHeight="1" x14ac:dyDescent="0.25">
      <c r="A982" s="358"/>
      <c r="B982" s="358"/>
      <c r="C982" s="358"/>
      <c r="D982" s="358"/>
      <c r="E982" s="358"/>
      <c r="F982" s="358"/>
      <c r="G982" s="358"/>
      <c r="H982" s="358"/>
      <c r="I982" s="358"/>
      <c r="J982" s="358"/>
      <c r="K982" s="358"/>
      <c r="L982" s="358"/>
      <c r="M982" s="358"/>
      <c r="N982" s="358"/>
      <c r="O982" s="358"/>
      <c r="P982" s="358"/>
      <c r="Q982" s="358"/>
      <c r="R982" s="358"/>
      <c r="S982" s="358"/>
      <c r="T982" s="358"/>
      <c r="U982" s="358"/>
      <c r="V982" s="358"/>
      <c r="W982" s="358"/>
      <c r="X982" s="358"/>
      <c r="Y982" s="358"/>
      <c r="Z982" s="358"/>
    </row>
    <row r="983" spans="1:26" ht="15.75" customHeight="1" x14ac:dyDescent="0.25">
      <c r="A983" s="358"/>
      <c r="B983" s="358"/>
      <c r="C983" s="358"/>
      <c r="D983" s="358"/>
      <c r="E983" s="358"/>
      <c r="F983" s="358"/>
      <c r="G983" s="358"/>
      <c r="H983" s="358"/>
      <c r="I983" s="358"/>
      <c r="J983" s="358"/>
      <c r="K983" s="358"/>
      <c r="L983" s="358"/>
      <c r="M983" s="358"/>
      <c r="N983" s="358"/>
      <c r="O983" s="358"/>
      <c r="P983" s="358"/>
      <c r="Q983" s="358"/>
      <c r="R983" s="358"/>
      <c r="S983" s="358"/>
      <c r="T983" s="358"/>
      <c r="U983" s="358"/>
      <c r="V983" s="358"/>
      <c r="W983" s="358"/>
      <c r="X983" s="358"/>
      <c r="Y983" s="358"/>
      <c r="Z983" s="358"/>
    </row>
    <row r="984" spans="1:26" ht="15.75" customHeight="1" x14ac:dyDescent="0.25">
      <c r="A984" s="358"/>
      <c r="B984" s="358"/>
      <c r="C984" s="358"/>
      <c r="D984" s="358"/>
      <c r="E984" s="358"/>
      <c r="F984" s="358"/>
      <c r="G984" s="358"/>
      <c r="H984" s="358"/>
      <c r="I984" s="358"/>
      <c r="J984" s="358"/>
      <c r="K984" s="358"/>
      <c r="L984" s="358"/>
      <c r="M984" s="358"/>
      <c r="N984" s="358"/>
      <c r="O984" s="358"/>
      <c r="P984" s="358"/>
      <c r="Q984" s="358"/>
      <c r="R984" s="358"/>
      <c r="S984" s="358"/>
      <c r="T984" s="358"/>
      <c r="U984" s="358"/>
      <c r="V984" s="358"/>
      <c r="W984" s="358"/>
      <c r="X984" s="358"/>
      <c r="Y984" s="358"/>
      <c r="Z984" s="358"/>
    </row>
    <row r="985" spans="1:26" ht="15.75" customHeight="1" x14ac:dyDescent="0.25">
      <c r="A985" s="358"/>
      <c r="B985" s="358"/>
      <c r="C985" s="358"/>
      <c r="D985" s="358"/>
      <c r="E985" s="358"/>
      <c r="F985" s="358"/>
      <c r="G985" s="358"/>
      <c r="H985" s="358"/>
      <c r="I985" s="358"/>
      <c r="J985" s="358"/>
      <c r="K985" s="358"/>
      <c r="L985" s="358"/>
      <c r="M985" s="358"/>
      <c r="N985" s="358"/>
      <c r="O985" s="358"/>
      <c r="P985" s="358"/>
      <c r="Q985" s="358"/>
      <c r="R985" s="358"/>
      <c r="S985" s="358"/>
      <c r="T985" s="358"/>
      <c r="U985" s="358"/>
      <c r="V985" s="358"/>
      <c r="W985" s="358"/>
      <c r="X985" s="358"/>
      <c r="Y985" s="358"/>
      <c r="Z985" s="358"/>
    </row>
    <row r="986" spans="1:26" ht="15.75" customHeight="1" x14ac:dyDescent="0.25">
      <c r="A986" s="358"/>
      <c r="B986" s="358"/>
      <c r="C986" s="358"/>
      <c r="D986" s="358"/>
      <c r="E986" s="358"/>
      <c r="F986" s="358"/>
      <c r="G986" s="358"/>
      <c r="H986" s="358"/>
      <c r="I986" s="358"/>
      <c r="J986" s="358"/>
      <c r="K986" s="358"/>
      <c r="L986" s="358"/>
      <c r="M986" s="358"/>
      <c r="N986" s="358"/>
      <c r="O986" s="358"/>
      <c r="P986" s="358"/>
      <c r="Q986" s="358"/>
      <c r="R986" s="358"/>
      <c r="S986" s="358"/>
      <c r="T986" s="358"/>
      <c r="U986" s="358"/>
      <c r="V986" s="358"/>
      <c r="W986" s="358"/>
      <c r="X986" s="358"/>
      <c r="Y986" s="358"/>
      <c r="Z986" s="358"/>
    </row>
    <row r="987" spans="1:26" ht="15.75" customHeight="1" x14ac:dyDescent="0.25">
      <c r="A987" s="358"/>
      <c r="B987" s="358"/>
      <c r="C987" s="358"/>
      <c r="D987" s="358"/>
      <c r="E987" s="358"/>
      <c r="F987" s="358"/>
      <c r="G987" s="358"/>
      <c r="H987" s="358"/>
      <c r="I987" s="358"/>
      <c r="J987" s="358"/>
      <c r="K987" s="358"/>
      <c r="L987" s="358"/>
      <c r="M987" s="358"/>
      <c r="N987" s="358"/>
      <c r="O987" s="358"/>
      <c r="P987" s="358"/>
      <c r="Q987" s="358"/>
      <c r="R987" s="358"/>
      <c r="S987" s="358"/>
      <c r="T987" s="358"/>
      <c r="U987" s="358"/>
      <c r="V987" s="358"/>
      <c r="W987" s="358"/>
      <c r="X987" s="358"/>
      <c r="Y987" s="358"/>
      <c r="Z987" s="358"/>
    </row>
    <row r="988" spans="1:26" ht="15.75" customHeight="1" x14ac:dyDescent="0.25">
      <c r="A988" s="358"/>
      <c r="B988" s="358"/>
      <c r="C988" s="358"/>
      <c r="D988" s="358"/>
      <c r="E988" s="358"/>
      <c r="F988" s="358"/>
      <c r="G988" s="358"/>
      <c r="H988" s="358"/>
      <c r="I988" s="358"/>
      <c r="J988" s="358"/>
      <c r="K988" s="358"/>
      <c r="L988" s="358"/>
      <c r="M988" s="358"/>
      <c r="N988" s="358"/>
      <c r="O988" s="358"/>
      <c r="P988" s="358"/>
      <c r="Q988" s="358"/>
      <c r="R988" s="358"/>
      <c r="S988" s="358"/>
      <c r="T988" s="358"/>
      <c r="U988" s="358"/>
      <c r="V988" s="358"/>
      <c r="W988" s="358"/>
      <c r="X988" s="358"/>
      <c r="Y988" s="358"/>
      <c r="Z988" s="358"/>
    </row>
    <row r="989" spans="1:26" ht="15.75" customHeight="1" x14ac:dyDescent="0.25">
      <c r="A989" s="358"/>
      <c r="B989" s="358"/>
      <c r="C989" s="358"/>
      <c r="D989" s="358"/>
      <c r="E989" s="358"/>
      <c r="F989" s="358"/>
      <c r="G989" s="358"/>
      <c r="H989" s="358"/>
      <c r="I989" s="358"/>
      <c r="J989" s="358"/>
      <c r="K989" s="358"/>
      <c r="L989" s="358"/>
      <c r="M989" s="358"/>
      <c r="N989" s="358"/>
      <c r="O989" s="358"/>
      <c r="P989" s="358"/>
      <c r="Q989" s="358"/>
      <c r="R989" s="358"/>
      <c r="S989" s="358"/>
      <c r="T989" s="358"/>
      <c r="U989" s="358"/>
      <c r="V989" s="358"/>
      <c r="W989" s="358"/>
      <c r="X989" s="358"/>
      <c r="Y989" s="358"/>
      <c r="Z989" s="358"/>
    </row>
    <row r="990" spans="1:26" ht="15.75" customHeight="1" x14ac:dyDescent="0.25">
      <c r="A990" s="358"/>
      <c r="B990" s="358"/>
      <c r="C990" s="358"/>
      <c r="D990" s="358"/>
      <c r="E990" s="358"/>
      <c r="F990" s="358"/>
      <c r="G990" s="358"/>
      <c r="H990" s="358"/>
      <c r="I990" s="358"/>
      <c r="J990" s="358"/>
      <c r="K990" s="358"/>
      <c r="L990" s="358"/>
      <c r="M990" s="358"/>
      <c r="N990" s="358"/>
      <c r="O990" s="358"/>
      <c r="P990" s="358"/>
      <c r="Q990" s="358"/>
      <c r="R990" s="358"/>
      <c r="S990" s="358"/>
      <c r="T990" s="358"/>
      <c r="U990" s="358"/>
      <c r="V990" s="358"/>
      <c r="W990" s="358"/>
      <c r="X990" s="358"/>
      <c r="Y990" s="358"/>
      <c r="Z990" s="358"/>
    </row>
    <row r="991" spans="1:26" ht="15.75" customHeight="1" x14ac:dyDescent="0.25">
      <c r="A991" s="358"/>
      <c r="B991" s="358"/>
      <c r="C991" s="358"/>
      <c r="D991" s="358"/>
      <c r="E991" s="358"/>
      <c r="F991" s="358"/>
      <c r="G991" s="358"/>
      <c r="H991" s="358"/>
      <c r="I991" s="358"/>
      <c r="J991" s="358"/>
      <c r="K991" s="358"/>
      <c r="L991" s="358"/>
      <c r="M991" s="358"/>
      <c r="N991" s="358"/>
      <c r="O991" s="358"/>
      <c r="P991" s="358"/>
      <c r="Q991" s="358"/>
      <c r="R991" s="358"/>
      <c r="S991" s="358"/>
      <c r="T991" s="358"/>
      <c r="U991" s="358"/>
      <c r="V991" s="358"/>
      <c r="W991" s="358"/>
      <c r="X991" s="358"/>
      <c r="Y991" s="358"/>
      <c r="Z991" s="358"/>
    </row>
    <row r="992" spans="1:26" ht="15.75" customHeight="1" x14ac:dyDescent="0.25">
      <c r="A992" s="358"/>
      <c r="B992" s="358"/>
      <c r="C992" s="358"/>
      <c r="D992" s="358"/>
      <c r="E992" s="358"/>
      <c r="F992" s="358"/>
      <c r="G992" s="358"/>
      <c r="H992" s="358"/>
      <c r="I992" s="358"/>
      <c r="J992" s="358"/>
      <c r="K992" s="358"/>
      <c r="L992" s="358"/>
      <c r="M992" s="358"/>
      <c r="N992" s="358"/>
      <c r="O992" s="358"/>
      <c r="P992" s="358"/>
      <c r="Q992" s="358"/>
      <c r="R992" s="358"/>
      <c r="S992" s="358"/>
      <c r="T992" s="358"/>
      <c r="U992" s="358"/>
      <c r="V992" s="358"/>
      <c r="W992" s="358"/>
      <c r="X992" s="358"/>
      <c r="Y992" s="358"/>
      <c r="Z992" s="358"/>
    </row>
    <row r="993" spans="1:26" ht="15.75" customHeight="1" x14ac:dyDescent="0.25">
      <c r="A993" s="358"/>
      <c r="B993" s="358"/>
      <c r="C993" s="358"/>
      <c r="D993" s="358"/>
      <c r="E993" s="358"/>
      <c r="F993" s="358"/>
      <c r="G993" s="358"/>
      <c r="H993" s="358"/>
      <c r="I993" s="358"/>
      <c r="J993" s="358"/>
      <c r="K993" s="358"/>
      <c r="L993" s="358"/>
      <c r="M993" s="358"/>
      <c r="N993" s="358"/>
      <c r="O993" s="358"/>
      <c r="P993" s="358"/>
      <c r="Q993" s="358"/>
      <c r="R993" s="358"/>
      <c r="S993" s="358"/>
      <c r="T993" s="358"/>
      <c r="U993" s="358"/>
      <c r="V993" s="358"/>
      <c r="W993" s="358"/>
      <c r="X993" s="358"/>
      <c r="Y993" s="358"/>
      <c r="Z993" s="358"/>
    </row>
    <row r="994" spans="1:26" ht="15.75" customHeight="1" x14ac:dyDescent="0.25">
      <c r="A994" s="358"/>
      <c r="B994" s="358"/>
      <c r="C994" s="358"/>
      <c r="D994" s="358"/>
      <c r="E994" s="358"/>
      <c r="F994" s="358"/>
      <c r="G994" s="358"/>
      <c r="H994" s="358"/>
      <c r="I994" s="358"/>
      <c r="J994" s="358"/>
      <c r="K994" s="358"/>
      <c r="L994" s="358"/>
      <c r="M994" s="358"/>
      <c r="N994" s="358"/>
      <c r="O994" s="358"/>
      <c r="P994" s="358"/>
      <c r="Q994" s="358"/>
      <c r="R994" s="358"/>
      <c r="S994" s="358"/>
      <c r="T994" s="358"/>
      <c r="U994" s="358"/>
      <c r="V994" s="358"/>
      <c r="W994" s="358"/>
      <c r="X994" s="358"/>
      <c r="Y994" s="358"/>
      <c r="Z994" s="358"/>
    </row>
    <row r="995" spans="1:26" ht="15.75" customHeight="1" x14ac:dyDescent="0.25">
      <c r="A995" s="358"/>
      <c r="B995" s="358"/>
      <c r="C995" s="358"/>
      <c r="D995" s="358"/>
      <c r="E995" s="358"/>
      <c r="F995" s="358"/>
      <c r="G995" s="358"/>
      <c r="H995" s="358"/>
      <c r="I995" s="358"/>
      <c r="J995" s="358"/>
      <c r="K995" s="358"/>
      <c r="L995" s="358"/>
      <c r="M995" s="358"/>
      <c r="N995" s="358"/>
      <c r="O995" s="358"/>
      <c r="P995" s="358"/>
      <c r="Q995" s="358"/>
      <c r="R995" s="358"/>
      <c r="S995" s="358"/>
      <c r="T995" s="358"/>
      <c r="U995" s="358"/>
      <c r="V995" s="358"/>
      <c r="W995" s="358"/>
      <c r="X995" s="358"/>
      <c r="Y995" s="358"/>
      <c r="Z995" s="358"/>
    </row>
    <row r="996" spans="1:26" ht="15.75" customHeight="1" x14ac:dyDescent="0.25">
      <c r="A996" s="358"/>
      <c r="B996" s="358"/>
      <c r="C996" s="358"/>
      <c r="D996" s="358"/>
      <c r="E996" s="358"/>
      <c r="F996" s="358"/>
      <c r="G996" s="358"/>
      <c r="H996" s="358"/>
      <c r="I996" s="358"/>
      <c r="J996" s="358"/>
      <c r="K996" s="358"/>
      <c r="L996" s="358"/>
      <c r="M996" s="358"/>
      <c r="N996" s="358"/>
      <c r="O996" s="358"/>
      <c r="P996" s="358"/>
      <c r="Q996" s="358"/>
      <c r="R996" s="358"/>
      <c r="S996" s="358"/>
      <c r="T996" s="358"/>
      <c r="U996" s="358"/>
      <c r="V996" s="358"/>
      <c r="W996" s="358"/>
      <c r="X996" s="358"/>
      <c r="Y996" s="358"/>
      <c r="Z996" s="358"/>
    </row>
    <row r="997" spans="1:26" ht="15.75" customHeight="1" x14ac:dyDescent="0.25">
      <c r="A997" s="358"/>
      <c r="B997" s="358"/>
      <c r="C997" s="358"/>
      <c r="D997" s="358"/>
      <c r="E997" s="358"/>
      <c r="F997" s="358"/>
      <c r="G997" s="358"/>
      <c r="H997" s="358"/>
      <c r="I997" s="358"/>
      <c r="J997" s="358"/>
      <c r="K997" s="358"/>
      <c r="L997" s="358"/>
      <c r="M997" s="358"/>
      <c r="N997" s="358"/>
      <c r="O997" s="358"/>
      <c r="P997" s="358"/>
      <c r="Q997" s="358"/>
      <c r="R997" s="358"/>
      <c r="S997" s="358"/>
      <c r="T997" s="358"/>
      <c r="U997" s="358"/>
      <c r="V997" s="358"/>
      <c r="W997" s="358"/>
      <c r="X997" s="358"/>
      <c r="Y997" s="358"/>
      <c r="Z997" s="358"/>
    </row>
    <row r="998" spans="1:26" ht="15.75" customHeight="1" x14ac:dyDescent="0.25">
      <c r="A998" s="358"/>
      <c r="B998" s="358"/>
      <c r="C998" s="358"/>
      <c r="D998" s="358"/>
      <c r="E998" s="358"/>
      <c r="F998" s="358"/>
      <c r="G998" s="358"/>
      <c r="H998" s="358"/>
      <c r="I998" s="358"/>
      <c r="J998" s="358"/>
      <c r="K998" s="358"/>
      <c r="L998" s="358"/>
      <c r="M998" s="358"/>
      <c r="N998" s="358"/>
      <c r="O998" s="358"/>
      <c r="P998" s="358"/>
      <c r="Q998" s="358"/>
      <c r="R998" s="358"/>
      <c r="S998" s="358"/>
      <c r="T998" s="358"/>
      <c r="U998" s="358"/>
      <c r="V998" s="358"/>
      <c r="W998" s="358"/>
      <c r="X998" s="358"/>
      <c r="Y998" s="358"/>
      <c r="Z998" s="358"/>
    </row>
    <row r="999" spans="1:26" ht="15.75" customHeight="1" x14ac:dyDescent="0.25">
      <c r="A999" s="358"/>
      <c r="B999" s="358"/>
      <c r="C999" s="358"/>
      <c r="D999" s="358"/>
      <c r="E999" s="358"/>
      <c r="F999" s="358"/>
      <c r="G999" s="358"/>
      <c r="H999" s="358"/>
      <c r="I999" s="358"/>
      <c r="J999" s="358"/>
      <c r="K999" s="358"/>
      <c r="L999" s="358"/>
      <c r="M999" s="358"/>
      <c r="N999" s="358"/>
      <c r="O999" s="358"/>
      <c r="P999" s="358"/>
      <c r="Q999" s="358"/>
      <c r="R999" s="358"/>
      <c r="S999" s="358"/>
      <c r="T999" s="358"/>
      <c r="U999" s="358"/>
      <c r="V999" s="358"/>
      <c r="W999" s="358"/>
      <c r="X999" s="358"/>
      <c r="Y999" s="358"/>
      <c r="Z999" s="358"/>
    </row>
    <row r="1000" spans="1:26" ht="15.75" customHeight="1" x14ac:dyDescent="0.25">
      <c r="A1000" s="358"/>
      <c r="B1000" s="358"/>
      <c r="C1000" s="358"/>
      <c r="D1000" s="358"/>
      <c r="E1000" s="358"/>
      <c r="F1000" s="358"/>
      <c r="G1000" s="358"/>
      <c r="H1000" s="358"/>
      <c r="I1000" s="358"/>
      <c r="J1000" s="358"/>
      <c r="K1000" s="358"/>
      <c r="L1000" s="358"/>
      <c r="M1000" s="358"/>
      <c r="N1000" s="358"/>
      <c r="O1000" s="358"/>
      <c r="P1000" s="358"/>
      <c r="Q1000" s="358"/>
      <c r="R1000" s="358"/>
      <c r="S1000" s="358"/>
      <c r="T1000" s="358"/>
      <c r="U1000" s="358"/>
      <c r="V1000" s="358"/>
      <c r="W1000" s="358"/>
      <c r="X1000" s="358"/>
      <c r="Y1000" s="358"/>
      <c r="Z1000" s="358"/>
    </row>
  </sheetData>
  <mergeCells count="2">
    <mergeCell ref="A4:F4"/>
    <mergeCell ref="A6:F6"/>
  </mergeCells>
  <pageMargins left="0.51181102362204722" right="0.51181102362204722" top="0.78740157480314965" bottom="0.78740157480314965" header="0" footer="0"/>
  <pageSetup paperSize="9" fitToHeight="0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6F38A-1D28-4F13-88D0-ABB84E83717A}">
  <dimension ref="A1:Z1000"/>
  <sheetViews>
    <sheetView showGridLines="0" workbookViewId="0">
      <selection activeCell="B9" sqref="B9:F9"/>
    </sheetView>
  </sheetViews>
  <sheetFormatPr defaultColWidth="14.42578125" defaultRowHeight="15" customHeight="1" x14ac:dyDescent="0.25"/>
  <cols>
    <col min="1" max="1" width="17.28515625" customWidth="1"/>
    <col min="2" max="2" width="60.5703125" customWidth="1"/>
    <col min="3" max="3" width="6.28515625" customWidth="1"/>
    <col min="4" max="4" width="15.7109375" customWidth="1"/>
    <col min="5" max="5" width="19.28515625" customWidth="1"/>
    <col min="6" max="6" width="17.5703125" customWidth="1"/>
    <col min="7" max="7" width="14.5703125" customWidth="1"/>
    <col min="8" max="8" width="9.140625" customWidth="1"/>
    <col min="9" max="9" width="11.7109375" customWidth="1"/>
    <col min="10" max="26" width="9.140625" customWidth="1"/>
  </cols>
  <sheetData>
    <row r="1" spans="1:26" ht="12.75" customHeight="1" x14ac:dyDescent="0.25">
      <c r="A1" s="1104" t="s">
        <v>408</v>
      </c>
      <c r="B1" s="1105"/>
      <c r="C1" s="1105"/>
      <c r="D1" s="1105"/>
      <c r="E1" s="1105"/>
      <c r="F1" s="110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5">
      <c r="A2" s="1107"/>
      <c r="B2" s="1050"/>
      <c r="C2" s="1050"/>
      <c r="D2" s="1050"/>
      <c r="E2" s="1050"/>
      <c r="F2" s="1108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25">
      <c r="A3" s="1107"/>
      <c r="B3" s="1050"/>
      <c r="C3" s="1050"/>
      <c r="D3" s="1050"/>
      <c r="E3" s="1050"/>
      <c r="F3" s="1108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5">
      <c r="A4" s="1107"/>
      <c r="B4" s="1050"/>
      <c r="C4" s="1050"/>
      <c r="D4" s="1050"/>
      <c r="E4" s="1050"/>
      <c r="F4" s="1108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 x14ac:dyDescent="0.25">
      <c r="A5" s="1109"/>
      <c r="B5" s="1110"/>
      <c r="C5" s="1110"/>
      <c r="D5" s="1110"/>
      <c r="E5" s="1110"/>
      <c r="F5" s="111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9.5" customHeight="1" thickBot="1" x14ac:dyDescent="0.3">
      <c r="A6" s="359"/>
      <c r="B6" s="360"/>
      <c r="C6" s="360"/>
      <c r="D6" s="361"/>
      <c r="E6" s="361"/>
      <c r="F6" s="362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5" customHeight="1" x14ac:dyDescent="0.25">
      <c r="A7" s="363" t="s">
        <v>159</v>
      </c>
      <c r="B7" s="1112" t="str">
        <f>DADOS_INICIAIS!B2</f>
        <v>BLUE HEAVEN</v>
      </c>
      <c r="C7" s="1113"/>
      <c r="D7" s="1113"/>
      <c r="E7" s="1113"/>
      <c r="F7" s="1114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customHeight="1" x14ac:dyDescent="0.25">
      <c r="A8" s="364" t="s">
        <v>0</v>
      </c>
      <c r="B8" s="1115" t="str">
        <f>DADOS_INICIAIS!B1</f>
        <v>MONOLYT</v>
      </c>
      <c r="C8" s="1089"/>
      <c r="D8" s="1089"/>
      <c r="E8" s="1089"/>
      <c r="F8" s="1090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.5" customHeight="1" x14ac:dyDescent="0.25">
      <c r="A9" s="364" t="s">
        <v>160</v>
      </c>
      <c r="B9" s="1116">
        <v>45448</v>
      </c>
      <c r="C9" s="1089"/>
      <c r="D9" s="1089"/>
      <c r="E9" s="1089"/>
      <c r="F9" s="1090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customHeight="1" thickBot="1" x14ac:dyDescent="0.3">
      <c r="A10" s="365" t="s">
        <v>409</v>
      </c>
      <c r="B10" s="1117" t="s">
        <v>161</v>
      </c>
      <c r="C10" s="1118"/>
      <c r="D10" s="1118"/>
      <c r="E10" s="1118"/>
      <c r="F10" s="1119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5" customHeight="1" thickBot="1" x14ac:dyDescent="0.3">
      <c r="A11" s="38"/>
      <c r="B11" s="38"/>
      <c r="C11" s="38"/>
      <c r="D11" s="366"/>
      <c r="E11" s="366"/>
      <c r="F11" s="366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thickBot="1" x14ac:dyDescent="0.3">
      <c r="A12" s="1120" t="s">
        <v>410</v>
      </c>
      <c r="B12" s="1085"/>
      <c r="C12" s="1085"/>
      <c r="D12" s="1085"/>
      <c r="E12" s="1085"/>
      <c r="F12" s="112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.5" customHeight="1" x14ac:dyDescent="0.25">
      <c r="A13" s="367" t="s">
        <v>411</v>
      </c>
      <c r="B13" s="367" t="s">
        <v>14</v>
      </c>
      <c r="C13" s="367" t="s">
        <v>412</v>
      </c>
      <c r="D13" s="368" t="s">
        <v>413</v>
      </c>
      <c r="E13" s="368" t="s">
        <v>114</v>
      </c>
      <c r="F13" s="368" t="s">
        <v>414</v>
      </c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Z13" s="172"/>
    </row>
    <row r="14" spans="1:26" ht="15.75" customHeight="1" x14ac:dyDescent="0.25">
      <c r="A14" s="369" t="s">
        <v>415</v>
      </c>
      <c r="B14" s="370" t="s">
        <v>410</v>
      </c>
      <c r="C14" s="370"/>
      <c r="D14" s="371"/>
      <c r="E14" s="371"/>
      <c r="F14" s="372" t="e">
        <f>F15+F20</f>
        <v>#REF!</v>
      </c>
      <c r="G14" s="373"/>
      <c r="H14" s="37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5">
      <c r="A15" s="374" t="s">
        <v>416</v>
      </c>
      <c r="B15" s="375" t="s">
        <v>417</v>
      </c>
      <c r="C15" s="375"/>
      <c r="D15" s="376"/>
      <c r="E15" s="376"/>
      <c r="F15" s="377" t="e">
        <f>SUM(F16:F19)</f>
        <v>#REF!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5">
      <c r="A16" s="378" t="s">
        <v>418</v>
      </c>
      <c r="B16" s="379" t="s">
        <v>419</v>
      </c>
      <c r="C16" s="379"/>
      <c r="D16" s="380"/>
      <c r="E16" s="380"/>
      <c r="F16" s="381" t="e">
        <f>Bases!H10</f>
        <v>#REF!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5">
      <c r="A17" s="378" t="s">
        <v>420</v>
      </c>
      <c r="B17" s="379" t="s">
        <v>421</v>
      </c>
      <c r="C17" s="379"/>
      <c r="D17" s="380"/>
      <c r="E17" s="380"/>
      <c r="F17" s="381" t="e">
        <f>Bases!H11</f>
        <v>#REF!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5">
      <c r="A18" s="378" t="s">
        <v>422</v>
      </c>
      <c r="B18" s="379" t="s">
        <v>423</v>
      </c>
      <c r="C18" s="379"/>
      <c r="D18" s="380"/>
      <c r="E18" s="380"/>
      <c r="F18" s="381" t="e">
        <f>Bases!H12</f>
        <v>#REF!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5">
      <c r="A19" s="378" t="s">
        <v>424</v>
      </c>
      <c r="B19" s="379" t="s">
        <v>425</v>
      </c>
      <c r="C19" s="379"/>
      <c r="D19" s="380"/>
      <c r="E19" s="380"/>
      <c r="F19" s="381" t="e">
        <f>Bases!H13</f>
        <v>#REF!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5">
      <c r="A20" s="374" t="s">
        <v>426</v>
      </c>
      <c r="B20" s="375" t="s">
        <v>427</v>
      </c>
      <c r="C20" s="375"/>
      <c r="D20" s="376"/>
      <c r="E20" s="376"/>
      <c r="F20" s="377" t="e">
        <f>SUM(F21:F23)</f>
        <v>#REF!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382" t="s">
        <v>428</v>
      </c>
      <c r="B21" s="379" t="s">
        <v>429</v>
      </c>
      <c r="C21" s="379"/>
      <c r="D21" s="380"/>
      <c r="E21" s="380"/>
      <c r="F21" s="381" t="e">
        <f>Bases!H15</f>
        <v>#REF!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382" t="s">
        <v>430</v>
      </c>
      <c r="B22" s="379" t="s">
        <v>359</v>
      </c>
      <c r="C22" s="379"/>
      <c r="D22" s="380"/>
      <c r="E22" s="380"/>
      <c r="F22" s="381" t="e">
        <f>Bases!H16</f>
        <v>#REF!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378" t="s">
        <v>431</v>
      </c>
      <c r="B23" s="379" t="s">
        <v>432</v>
      </c>
      <c r="C23" s="379"/>
      <c r="D23" s="380"/>
      <c r="E23" s="380"/>
      <c r="F23" s="381" t="e">
        <f>Bases!H17</f>
        <v>#REF!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383" t="s">
        <v>433</v>
      </c>
      <c r="B24" s="384" t="s">
        <v>434</v>
      </c>
      <c r="C24" s="384"/>
      <c r="D24" s="385"/>
      <c r="E24" s="385"/>
      <c r="F24" s="386" t="e">
        <f>F25+F38+F60</f>
        <v>#REF!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387" t="s">
        <v>435</v>
      </c>
      <c r="B25" s="375" t="s">
        <v>436</v>
      </c>
      <c r="C25" s="375"/>
      <c r="D25" s="376"/>
      <c r="E25" s="376"/>
      <c r="F25" s="377" t="e">
        <f>F26+F28+F37</f>
        <v>#REF!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382" t="s">
        <v>437</v>
      </c>
      <c r="B26" s="379" t="s">
        <v>438</v>
      </c>
      <c r="C26" s="379"/>
      <c r="D26" s="380"/>
      <c r="E26" s="380"/>
      <c r="F26" s="381" t="e">
        <f>F27</f>
        <v>#REF!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388" t="s">
        <v>439</v>
      </c>
      <c r="B27" s="389" t="s">
        <v>440</v>
      </c>
      <c r="C27" s="389" t="s">
        <v>441</v>
      </c>
      <c r="D27" s="390" t="e">
        <f>#REF!</f>
        <v>#REF!</v>
      </c>
      <c r="E27" s="391">
        <f>Bases!H19</f>
        <v>2000</v>
      </c>
      <c r="F27" s="392" t="e">
        <f>E27*D27</f>
        <v>#REF!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382" t="s">
        <v>442</v>
      </c>
      <c r="B28" s="379" t="s">
        <v>443</v>
      </c>
      <c r="C28" s="379"/>
      <c r="D28" s="380"/>
      <c r="E28" s="380"/>
      <c r="F28" s="381" t="e">
        <f>SUM(F29:F36)</f>
        <v>#REF!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388" t="s">
        <v>444</v>
      </c>
      <c r="B29" s="389" t="s">
        <v>392</v>
      </c>
      <c r="C29" s="389" t="s">
        <v>4</v>
      </c>
      <c r="D29" s="390">
        <f>EPCs!D15</f>
        <v>0</v>
      </c>
      <c r="E29" s="390">
        <v>294.33</v>
      </c>
      <c r="F29" s="392">
        <f t="shared" ref="F29:F36" si="0">E29*D29</f>
        <v>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388"/>
      <c r="B30" s="389" t="s">
        <v>393</v>
      </c>
      <c r="C30" s="389" t="s">
        <v>4</v>
      </c>
      <c r="D30" s="390">
        <f>EPCs!D16</f>
        <v>0</v>
      </c>
      <c r="E30" s="390">
        <v>210.06</v>
      </c>
      <c r="F30" s="392">
        <f t="shared" si="0"/>
        <v>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25">
      <c r="A31" s="388" t="s">
        <v>445</v>
      </c>
      <c r="B31" s="389" t="s">
        <v>446</v>
      </c>
      <c r="C31" s="389" t="s">
        <v>4</v>
      </c>
      <c r="D31" s="390">
        <f>EPCs!D23</f>
        <v>0</v>
      </c>
      <c r="E31" s="390">
        <f>39.19+7.55+0.63+1.63</f>
        <v>49</v>
      </c>
      <c r="F31" s="392">
        <f t="shared" si="0"/>
        <v>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 x14ac:dyDescent="0.25">
      <c r="A32" s="388" t="s">
        <v>447</v>
      </c>
      <c r="B32" s="389" t="s">
        <v>448</v>
      </c>
      <c r="C32" s="389" t="s">
        <v>196</v>
      </c>
      <c r="D32" s="390">
        <f>EPCs!D37</f>
        <v>0</v>
      </c>
      <c r="E32" s="390">
        <v>19.89</v>
      </c>
      <c r="F32" s="392">
        <f t="shared" si="0"/>
        <v>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7.25" customHeight="1" x14ac:dyDescent="0.25">
      <c r="A33" s="388" t="s">
        <v>449</v>
      </c>
      <c r="B33" s="389" t="s">
        <v>450</v>
      </c>
      <c r="C33" s="389" t="s">
        <v>4</v>
      </c>
      <c r="D33" s="390">
        <f>D31</f>
        <v>0</v>
      </c>
      <c r="E33" s="390">
        <v>244</v>
      </c>
      <c r="F33" s="392">
        <f t="shared" si="0"/>
        <v>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7.25" customHeight="1" x14ac:dyDescent="0.25">
      <c r="A34" s="388"/>
      <c r="B34" s="389" t="s">
        <v>451</v>
      </c>
      <c r="C34" s="389" t="s">
        <v>196</v>
      </c>
      <c r="D34" s="390">
        <f>EPCs!D29</f>
        <v>0</v>
      </c>
      <c r="E34" s="390">
        <v>15</v>
      </c>
      <c r="F34" s="392">
        <f t="shared" si="0"/>
        <v>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388" t="s">
        <v>452</v>
      </c>
      <c r="B35" s="389" t="s">
        <v>453</v>
      </c>
      <c r="C35" s="389" t="s">
        <v>27</v>
      </c>
      <c r="D35" s="390">
        <v>1</v>
      </c>
      <c r="E35" s="390" t="e">
        <f>Bases!H20</f>
        <v>#REF!</v>
      </c>
      <c r="F35" s="392" t="e">
        <f t="shared" si="0"/>
        <v>#REF!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388" t="s">
        <v>454</v>
      </c>
      <c r="B36" s="389" t="s">
        <v>455</v>
      </c>
      <c r="C36" s="389" t="s">
        <v>27</v>
      </c>
      <c r="D36" s="390">
        <v>1</v>
      </c>
      <c r="E36" s="390" t="e">
        <f>Canteiro!D18</f>
        <v>#REF!</v>
      </c>
      <c r="F36" s="392" t="e">
        <f t="shared" si="0"/>
        <v>#REF!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382" t="s">
        <v>456</v>
      </c>
      <c r="B37" s="379" t="s">
        <v>457</v>
      </c>
      <c r="C37" s="379"/>
      <c r="D37" s="380"/>
      <c r="E37" s="380"/>
      <c r="F37" s="381" t="e">
        <f>Bases!H21</f>
        <v>#REF!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387" t="s">
        <v>458</v>
      </c>
      <c r="B38" s="375" t="s">
        <v>459</v>
      </c>
      <c r="C38" s="375"/>
      <c r="D38" s="376"/>
      <c r="E38" s="376"/>
      <c r="F38" s="377" t="e">
        <f>F39+F49+F51+F59</f>
        <v>#REF!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382" t="s">
        <v>460</v>
      </c>
      <c r="B39" s="379" t="s">
        <v>461</v>
      </c>
      <c r="C39" s="379"/>
      <c r="D39" s="380"/>
      <c r="E39" s="380"/>
      <c r="F39" s="381" t="e">
        <f>SUM(F40:F48)</f>
        <v>#REF!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388" t="s">
        <v>462</v>
      </c>
      <c r="B40" s="389" t="s">
        <v>368</v>
      </c>
      <c r="C40" s="389" t="s">
        <v>441</v>
      </c>
      <c r="D40" s="390" t="e">
        <f>#REF!</f>
        <v>#REF!</v>
      </c>
      <c r="E40" s="391">
        <f>Bases!H23</f>
        <v>7200</v>
      </c>
      <c r="F40" s="392" t="e">
        <f t="shared" ref="F40:F48" si="1">E40*D40</f>
        <v>#REF!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388" t="s">
        <v>463</v>
      </c>
      <c r="B41" s="389" t="s">
        <v>369</v>
      </c>
      <c r="C41" s="389" t="s">
        <v>441</v>
      </c>
      <c r="D41" s="390" t="e">
        <f>#REF!</f>
        <v>#REF!</v>
      </c>
      <c r="E41" s="391">
        <f>Bases!H24</f>
        <v>5000</v>
      </c>
      <c r="F41" s="392" t="e">
        <f t="shared" si="1"/>
        <v>#REF!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388" t="s">
        <v>464</v>
      </c>
      <c r="B42" s="389" t="s">
        <v>370</v>
      </c>
      <c r="C42" s="389" t="s">
        <v>441</v>
      </c>
      <c r="D42" s="390" t="e">
        <f>#REF!</f>
        <v>#REF!</v>
      </c>
      <c r="E42" s="391">
        <f>Bases!H25</f>
        <v>2500</v>
      </c>
      <c r="F42" s="392" t="e">
        <f t="shared" si="1"/>
        <v>#REF!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388" t="s">
        <v>465</v>
      </c>
      <c r="B43" s="389" t="s">
        <v>371</v>
      </c>
      <c r="C43" s="389" t="s">
        <v>441</v>
      </c>
      <c r="D43" s="390" t="e">
        <f>#REF!</f>
        <v>#REF!</v>
      </c>
      <c r="E43" s="391">
        <f>Bases!H26</f>
        <v>9000</v>
      </c>
      <c r="F43" s="392" t="e">
        <f t="shared" si="1"/>
        <v>#REF!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388" t="s">
        <v>466</v>
      </c>
      <c r="B44" s="389" t="s">
        <v>372</v>
      </c>
      <c r="C44" s="389" t="s">
        <v>441</v>
      </c>
      <c r="D44" s="390" t="e">
        <f>#REF!</f>
        <v>#REF!</v>
      </c>
      <c r="E44" s="391">
        <f>Bases!H27</f>
        <v>1300</v>
      </c>
      <c r="F44" s="392" t="e">
        <f t="shared" si="1"/>
        <v>#REF!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388" t="s">
        <v>467</v>
      </c>
      <c r="B45" s="389" t="s">
        <v>373</v>
      </c>
      <c r="C45" s="389" t="s">
        <v>441</v>
      </c>
      <c r="D45" s="390" t="e">
        <f>#REF!</f>
        <v>#REF!</v>
      </c>
      <c r="E45" s="391">
        <f>Bases!H28</f>
        <v>4500</v>
      </c>
      <c r="F45" s="392" t="e">
        <f t="shared" si="1"/>
        <v>#REF!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388" t="s">
        <v>468</v>
      </c>
      <c r="B46" s="389" t="s">
        <v>374</v>
      </c>
      <c r="C46" s="389" t="s">
        <v>441</v>
      </c>
      <c r="D46" s="390" t="e">
        <f>#REF!</f>
        <v>#REF!</v>
      </c>
      <c r="E46" s="391">
        <f>Bases!H29</f>
        <v>4200</v>
      </c>
      <c r="F46" s="392" t="e">
        <f t="shared" si="1"/>
        <v>#REF!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388" t="s">
        <v>469</v>
      </c>
      <c r="B47" s="389" t="s">
        <v>375</v>
      </c>
      <c r="C47" s="389" t="s">
        <v>441</v>
      </c>
      <c r="D47" s="390" t="e">
        <f>#REF!</f>
        <v>#REF!</v>
      </c>
      <c r="E47" s="391">
        <f>Bases!H30</f>
        <v>3000</v>
      </c>
      <c r="F47" s="392" t="e">
        <f t="shared" si="1"/>
        <v>#REF!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388" t="s">
        <v>470</v>
      </c>
      <c r="B48" s="389" t="s">
        <v>376</v>
      </c>
      <c r="C48" s="389" t="s">
        <v>441</v>
      </c>
      <c r="D48" s="390" t="e">
        <f>#REF!</f>
        <v>#REF!</v>
      </c>
      <c r="E48" s="391" t="e">
        <f>Bases!H31</f>
        <v>#REF!</v>
      </c>
      <c r="F48" s="392" t="e">
        <f t="shared" si="1"/>
        <v>#REF!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382" t="s">
        <v>471</v>
      </c>
      <c r="B49" s="379" t="s">
        <v>472</v>
      </c>
      <c r="C49" s="379"/>
      <c r="D49" s="380"/>
      <c r="E49" s="380"/>
      <c r="F49" s="381" t="e">
        <f>SUM(F50)</f>
        <v>#REF!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388" t="s">
        <v>473</v>
      </c>
      <c r="B50" s="389" t="s">
        <v>474</v>
      </c>
      <c r="C50" s="389" t="s">
        <v>196</v>
      </c>
      <c r="D50" s="390" t="e">
        <f>#REF!</f>
        <v>#REF!</v>
      </c>
      <c r="E50" s="391">
        <v>12.5</v>
      </c>
      <c r="F50" s="392" t="e">
        <f>E50*D50</f>
        <v>#REF!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382" t="s">
        <v>475</v>
      </c>
      <c r="B51" s="379" t="s">
        <v>476</v>
      </c>
      <c r="C51" s="379"/>
      <c r="D51" s="380"/>
      <c r="E51" s="380"/>
      <c r="F51" s="381" t="e">
        <f>SUM(F52:F58)</f>
        <v>#REF!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388" t="s">
        <v>477</v>
      </c>
      <c r="B52" s="389" t="s">
        <v>383</v>
      </c>
      <c r="C52" s="393" t="s">
        <v>441</v>
      </c>
      <c r="D52" s="390" t="e">
        <f>#REF!</f>
        <v>#REF!</v>
      </c>
      <c r="E52" s="390">
        <v>2850</v>
      </c>
      <c r="F52" s="392" t="e">
        <f t="shared" ref="F52:F58" si="2">E52*D52</f>
        <v>#REF!</v>
      </c>
      <c r="G52" s="1"/>
      <c r="H52" s="1"/>
      <c r="I52" s="373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388" t="s">
        <v>478</v>
      </c>
      <c r="B53" s="389" t="s">
        <v>290</v>
      </c>
      <c r="C53" s="389" t="s">
        <v>27</v>
      </c>
      <c r="D53" s="391">
        <v>1</v>
      </c>
      <c r="E53" s="391" t="e">
        <f>Bases!H39</f>
        <v>#REF!</v>
      </c>
      <c r="F53" s="394" t="e">
        <f t="shared" si="2"/>
        <v>#REF!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388" t="s">
        <v>479</v>
      </c>
      <c r="B54" s="389" t="s">
        <v>381</v>
      </c>
      <c r="C54" s="389" t="s">
        <v>27</v>
      </c>
      <c r="D54" s="391">
        <v>1</v>
      </c>
      <c r="E54" s="391" t="e">
        <f>Bases!H36</f>
        <v>#REF!</v>
      </c>
      <c r="F54" s="394" t="e">
        <f t="shared" si="2"/>
        <v>#REF!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388" t="s">
        <v>480</v>
      </c>
      <c r="B55" s="389" t="s">
        <v>382</v>
      </c>
      <c r="C55" s="389" t="s">
        <v>27</v>
      </c>
      <c r="D55" s="391">
        <v>1</v>
      </c>
      <c r="E55" s="391" t="e">
        <f>Bases!H37</f>
        <v>#REF!</v>
      </c>
      <c r="F55" s="394" t="e">
        <f t="shared" si="2"/>
        <v>#REF!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388" t="s">
        <v>481</v>
      </c>
      <c r="B56" s="389" t="s">
        <v>482</v>
      </c>
      <c r="C56" s="389" t="s">
        <v>27</v>
      </c>
      <c r="D56" s="391">
        <v>1</v>
      </c>
      <c r="E56" s="391">
        <f>Canteiro!F29</f>
        <v>87000</v>
      </c>
      <c r="F56" s="394">
        <f t="shared" si="2"/>
        <v>87000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388" t="s">
        <v>483</v>
      </c>
      <c r="B57" s="389" t="s">
        <v>484</v>
      </c>
      <c r="C57" s="393" t="s">
        <v>27</v>
      </c>
      <c r="D57" s="391">
        <v>1</v>
      </c>
      <c r="E57" s="391">
        <f>Canteiro!F34</f>
        <v>51000</v>
      </c>
      <c r="F57" s="394">
        <f t="shared" si="2"/>
        <v>51000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388" t="s">
        <v>485</v>
      </c>
      <c r="B58" s="389" t="s">
        <v>486</v>
      </c>
      <c r="C58" s="389" t="s">
        <v>196</v>
      </c>
      <c r="D58" s="390">
        <f>EPCs!D44</f>
        <v>0</v>
      </c>
      <c r="E58" s="391">
        <v>119.41</v>
      </c>
      <c r="F58" s="392">
        <f t="shared" si="2"/>
        <v>0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382" t="s">
        <v>487</v>
      </c>
      <c r="B59" s="379" t="s">
        <v>488</v>
      </c>
      <c r="C59" s="379"/>
      <c r="D59" s="380"/>
      <c r="E59" s="380"/>
      <c r="F59" s="381" t="e">
        <f>Bases!H40</f>
        <v>#REF!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387" t="s">
        <v>489</v>
      </c>
      <c r="B60" s="375" t="s">
        <v>259</v>
      </c>
      <c r="C60" s="375"/>
      <c r="D60" s="376"/>
      <c r="E60" s="376"/>
      <c r="F60" s="377" t="e">
        <f>F61+F71</f>
        <v>#REF!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382" t="s">
        <v>490</v>
      </c>
      <c r="B61" s="379" t="s">
        <v>491</v>
      </c>
      <c r="C61" s="379"/>
      <c r="D61" s="380"/>
      <c r="E61" s="380"/>
      <c r="F61" s="381" t="e">
        <f>SUM(F62:F70)</f>
        <v>#REF!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388" t="s">
        <v>492</v>
      </c>
      <c r="B62" s="389" t="s">
        <v>493</v>
      </c>
      <c r="C62" s="389" t="s">
        <v>27</v>
      </c>
      <c r="D62" s="390">
        <v>1</v>
      </c>
      <c r="E62" s="390" t="e">
        <f>Canteiro!D17</f>
        <v>#REF!</v>
      </c>
      <c r="F62" s="394" t="e">
        <f t="shared" ref="F62:F70" si="3">E62*D62</f>
        <v>#REF!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388" t="s">
        <v>494</v>
      </c>
      <c r="B63" s="389" t="s">
        <v>495</v>
      </c>
      <c r="C63" s="389" t="s">
        <v>412</v>
      </c>
      <c r="D63" s="390">
        <v>1</v>
      </c>
      <c r="E63" s="390" t="e">
        <f>#REF!</f>
        <v>#REF!</v>
      </c>
      <c r="F63" s="394" t="e">
        <f t="shared" si="3"/>
        <v>#REF!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388" t="s">
        <v>496</v>
      </c>
      <c r="B64" s="389" t="s">
        <v>497</v>
      </c>
      <c r="C64" s="389" t="s">
        <v>441</v>
      </c>
      <c r="D64" s="390" t="e">
        <f>#REF!</f>
        <v>#REF!</v>
      </c>
      <c r="E64" s="391">
        <v>166.66499999999999</v>
      </c>
      <c r="F64" s="394" t="e">
        <f t="shared" si="3"/>
        <v>#REF!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388" t="s">
        <v>498</v>
      </c>
      <c r="B65" s="389" t="s">
        <v>499</v>
      </c>
      <c r="C65" s="389" t="s">
        <v>412</v>
      </c>
      <c r="D65" s="390">
        <v>1</v>
      </c>
      <c r="E65" s="391">
        <v>70000</v>
      </c>
      <c r="F65" s="394">
        <f t="shared" si="3"/>
        <v>70000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388" t="s">
        <v>500</v>
      </c>
      <c r="B66" s="389" t="s">
        <v>501</v>
      </c>
      <c r="C66" s="389" t="s">
        <v>412</v>
      </c>
      <c r="D66" s="390">
        <v>16</v>
      </c>
      <c r="E66" s="391">
        <v>2100</v>
      </c>
      <c r="F66" s="394">
        <f t="shared" si="3"/>
        <v>33600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388" t="s">
        <v>502</v>
      </c>
      <c r="B67" s="389" t="s">
        <v>503</v>
      </c>
      <c r="C67" s="389" t="s">
        <v>441</v>
      </c>
      <c r="D67" s="390">
        <v>1</v>
      </c>
      <c r="E67" s="391">
        <v>17600</v>
      </c>
      <c r="F67" s="394">
        <f t="shared" si="3"/>
        <v>17600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388" t="s">
        <v>504</v>
      </c>
      <c r="B68" s="389" t="s">
        <v>505</v>
      </c>
      <c r="C68" s="389" t="s">
        <v>412</v>
      </c>
      <c r="D68" s="390">
        <v>12</v>
      </c>
      <c r="E68" s="390">
        <v>950</v>
      </c>
      <c r="F68" s="394">
        <f t="shared" si="3"/>
        <v>11400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388" t="s">
        <v>506</v>
      </c>
      <c r="B69" s="389" t="s">
        <v>507</v>
      </c>
      <c r="C69" s="389" t="s">
        <v>412</v>
      </c>
      <c r="D69" s="390">
        <v>1</v>
      </c>
      <c r="E69" s="390">
        <v>7000</v>
      </c>
      <c r="F69" s="394">
        <f t="shared" si="3"/>
        <v>7000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388" t="s">
        <v>508</v>
      </c>
      <c r="B70" s="389" t="s">
        <v>509</v>
      </c>
      <c r="C70" s="389" t="s">
        <v>441</v>
      </c>
      <c r="D70" s="390">
        <v>1</v>
      </c>
      <c r="E70" s="390">
        <v>9756</v>
      </c>
      <c r="F70" s="394">
        <f t="shared" si="3"/>
        <v>9756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382" t="s">
        <v>510</v>
      </c>
      <c r="B71" s="379" t="s">
        <v>511</v>
      </c>
      <c r="C71" s="379"/>
      <c r="D71" s="395"/>
      <c r="E71" s="395"/>
      <c r="F71" s="381">
        <f>SUM(F72:F75)</f>
        <v>45600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388" t="s">
        <v>512</v>
      </c>
      <c r="B72" s="389" t="s">
        <v>513</v>
      </c>
      <c r="C72" s="389" t="s">
        <v>441</v>
      </c>
      <c r="D72" s="390">
        <v>10</v>
      </c>
      <c r="E72" s="390">
        <f>1800</f>
        <v>1800</v>
      </c>
      <c r="F72" s="394">
        <f>E72*D72</f>
        <v>18000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388" t="s">
        <v>514</v>
      </c>
      <c r="B73" s="389" t="s">
        <v>515</v>
      </c>
      <c r="C73" s="389" t="s">
        <v>412</v>
      </c>
      <c r="D73" s="390">
        <f>14*2</f>
        <v>28</v>
      </c>
      <c r="E73" s="390">
        <v>450</v>
      </c>
      <c r="F73" s="394">
        <f>E73*D73</f>
        <v>12600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388" t="s">
        <v>516</v>
      </c>
      <c r="B74" s="389" t="s">
        <v>517</v>
      </c>
      <c r="C74" s="389" t="s">
        <v>441</v>
      </c>
      <c r="D74" s="390">
        <v>10</v>
      </c>
      <c r="E74" s="390">
        <v>1500</v>
      </c>
      <c r="F74" s="394">
        <f>E74*D74</f>
        <v>15000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388" t="s">
        <v>518</v>
      </c>
      <c r="B75" s="396" t="s">
        <v>519</v>
      </c>
      <c r="C75" s="389" t="s">
        <v>441</v>
      </c>
      <c r="D75" s="397">
        <v>6</v>
      </c>
      <c r="E75" s="397"/>
      <c r="F75" s="394">
        <f>E75*D75</f>
        <v>0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9.5" customHeight="1" thickBot="1" x14ac:dyDescent="0.3">
      <c r="A76" s="1101" t="s">
        <v>520</v>
      </c>
      <c r="B76" s="1102"/>
      <c r="C76" s="1102"/>
      <c r="D76" s="1102"/>
      <c r="E76" s="1103"/>
      <c r="F76" s="398" t="e">
        <f>F24+F14</f>
        <v>#REF!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9.5" customHeight="1" x14ac:dyDescent="0.25">
      <c r="A77" s="38"/>
      <c r="B77" s="38"/>
      <c r="C77" s="38"/>
      <c r="D77" s="366"/>
      <c r="E77" s="366"/>
      <c r="F77" s="366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9.5" customHeight="1" x14ac:dyDescent="0.25">
      <c r="A78" s="38"/>
      <c r="B78" s="38"/>
      <c r="C78" s="38"/>
      <c r="D78" s="366"/>
      <c r="E78" s="366"/>
      <c r="F78" s="366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9.5" customHeight="1" x14ac:dyDescent="0.25">
      <c r="A79" s="38"/>
      <c r="B79" s="38"/>
      <c r="C79" s="38"/>
      <c r="D79" s="366"/>
      <c r="E79" s="366"/>
      <c r="F79" s="366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9.5" customHeight="1" x14ac:dyDescent="0.25">
      <c r="A80" s="38"/>
      <c r="B80" s="38"/>
      <c r="C80" s="38"/>
      <c r="D80" s="366"/>
      <c r="E80" s="366"/>
      <c r="F80" s="366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9.5" customHeight="1" x14ac:dyDescent="0.25">
      <c r="A81" s="38"/>
      <c r="B81" s="38"/>
      <c r="C81" s="38"/>
      <c r="D81" s="366"/>
      <c r="E81" s="366"/>
      <c r="F81" s="366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9.5" customHeight="1" x14ac:dyDescent="0.25">
      <c r="A82" s="38"/>
      <c r="B82" s="38"/>
      <c r="C82" s="38"/>
      <c r="D82" s="366"/>
      <c r="E82" s="366"/>
      <c r="F82" s="366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9.5" customHeight="1" x14ac:dyDescent="0.25">
      <c r="A83" s="38"/>
      <c r="B83" s="38"/>
      <c r="C83" s="38"/>
      <c r="D83" s="366"/>
      <c r="E83" s="366"/>
      <c r="F83" s="366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9.5" customHeight="1" x14ac:dyDescent="0.25">
      <c r="A84" s="38"/>
      <c r="B84" s="38"/>
      <c r="C84" s="38"/>
      <c r="D84" s="366"/>
      <c r="E84" s="366"/>
      <c r="F84" s="366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9.5" customHeight="1" x14ac:dyDescent="0.25">
      <c r="A85" s="38"/>
      <c r="B85" s="38"/>
      <c r="C85" s="38"/>
      <c r="D85" s="366"/>
      <c r="E85" s="366"/>
      <c r="F85" s="366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9.5" customHeight="1" x14ac:dyDescent="0.25">
      <c r="A86" s="38"/>
      <c r="B86" s="38"/>
      <c r="C86" s="38"/>
      <c r="D86" s="366"/>
      <c r="E86" s="366"/>
      <c r="F86" s="366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9.5" customHeight="1" x14ac:dyDescent="0.25">
      <c r="A87" s="38"/>
      <c r="B87" s="38"/>
      <c r="C87" s="38"/>
      <c r="D87" s="366"/>
      <c r="E87" s="366"/>
      <c r="F87" s="366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9.5" customHeight="1" x14ac:dyDescent="0.25">
      <c r="A88" s="38"/>
      <c r="B88" s="38"/>
      <c r="C88" s="38"/>
      <c r="D88" s="366"/>
      <c r="E88" s="366"/>
      <c r="F88" s="366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9.5" customHeight="1" x14ac:dyDescent="0.25">
      <c r="A89" s="38"/>
      <c r="B89" s="38"/>
      <c r="C89" s="38"/>
      <c r="D89" s="366"/>
      <c r="E89" s="366"/>
      <c r="F89" s="366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9.5" customHeight="1" x14ac:dyDescent="0.25">
      <c r="A90" s="38"/>
      <c r="B90" s="38"/>
      <c r="C90" s="38"/>
      <c r="D90" s="366"/>
      <c r="E90" s="366"/>
      <c r="F90" s="366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9.5" customHeight="1" x14ac:dyDescent="0.25">
      <c r="A91" s="38"/>
      <c r="B91" s="38"/>
      <c r="C91" s="38"/>
      <c r="D91" s="366"/>
      <c r="E91" s="366"/>
      <c r="F91" s="366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9.5" customHeight="1" x14ac:dyDescent="0.25">
      <c r="A92" s="38"/>
      <c r="B92" s="38"/>
      <c r="C92" s="38"/>
      <c r="D92" s="366"/>
      <c r="E92" s="366"/>
      <c r="F92" s="366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9.5" customHeight="1" x14ac:dyDescent="0.25">
      <c r="A93" s="38"/>
      <c r="B93" s="38"/>
      <c r="C93" s="38"/>
      <c r="D93" s="366"/>
      <c r="E93" s="366"/>
      <c r="F93" s="366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9.5" customHeight="1" x14ac:dyDescent="0.25">
      <c r="A94" s="38"/>
      <c r="B94" s="38"/>
      <c r="C94" s="38"/>
      <c r="D94" s="366"/>
      <c r="E94" s="366"/>
      <c r="F94" s="366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9.5" customHeight="1" x14ac:dyDescent="0.25">
      <c r="A95" s="38"/>
      <c r="B95" s="38"/>
      <c r="C95" s="38"/>
      <c r="D95" s="366"/>
      <c r="E95" s="366"/>
      <c r="F95" s="366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9.5" customHeight="1" x14ac:dyDescent="0.25">
      <c r="A96" s="38"/>
      <c r="B96" s="38"/>
      <c r="C96" s="38"/>
      <c r="D96" s="366"/>
      <c r="E96" s="366"/>
      <c r="F96" s="366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9.5" customHeight="1" x14ac:dyDescent="0.25">
      <c r="A97" s="38"/>
      <c r="B97" s="38"/>
      <c r="C97" s="38"/>
      <c r="D97" s="366"/>
      <c r="E97" s="366"/>
      <c r="F97" s="366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9.5" customHeight="1" x14ac:dyDescent="0.25">
      <c r="A98" s="38"/>
      <c r="B98" s="38"/>
      <c r="C98" s="38"/>
      <c r="D98" s="366"/>
      <c r="E98" s="366"/>
      <c r="F98" s="366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9.5" customHeight="1" x14ac:dyDescent="0.25">
      <c r="A99" s="38"/>
      <c r="B99" s="38"/>
      <c r="C99" s="38"/>
      <c r="D99" s="366"/>
      <c r="E99" s="366"/>
      <c r="F99" s="366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9.5" customHeight="1" x14ac:dyDescent="0.25">
      <c r="A100" s="38"/>
      <c r="B100" s="38"/>
      <c r="C100" s="38"/>
      <c r="D100" s="366"/>
      <c r="E100" s="366"/>
      <c r="F100" s="366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9.5" customHeight="1" x14ac:dyDescent="0.25">
      <c r="A101" s="38"/>
      <c r="B101" s="38"/>
      <c r="C101" s="38"/>
      <c r="D101" s="366"/>
      <c r="E101" s="366"/>
      <c r="F101" s="366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9.5" customHeight="1" x14ac:dyDescent="0.25">
      <c r="A102" s="38"/>
      <c r="B102" s="38"/>
      <c r="C102" s="38"/>
      <c r="D102" s="366"/>
      <c r="E102" s="366"/>
      <c r="F102" s="366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9.5" customHeight="1" x14ac:dyDescent="0.25">
      <c r="A103" s="38"/>
      <c r="B103" s="38"/>
      <c r="C103" s="38"/>
      <c r="D103" s="366"/>
      <c r="E103" s="366"/>
      <c r="F103" s="366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9.5" customHeight="1" x14ac:dyDescent="0.25">
      <c r="A104" s="38"/>
      <c r="B104" s="38"/>
      <c r="C104" s="38"/>
      <c r="D104" s="366"/>
      <c r="E104" s="366"/>
      <c r="F104" s="366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9.5" customHeight="1" x14ac:dyDescent="0.25">
      <c r="A105" s="38"/>
      <c r="B105" s="38"/>
      <c r="C105" s="38"/>
      <c r="D105" s="366"/>
      <c r="E105" s="366"/>
      <c r="F105" s="366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9.5" customHeight="1" x14ac:dyDescent="0.25">
      <c r="A106" s="38"/>
      <c r="B106" s="38"/>
      <c r="C106" s="38"/>
      <c r="D106" s="366"/>
      <c r="E106" s="366"/>
      <c r="F106" s="366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9.5" customHeight="1" x14ac:dyDescent="0.25">
      <c r="A107" s="38"/>
      <c r="B107" s="38"/>
      <c r="C107" s="38"/>
      <c r="D107" s="366"/>
      <c r="E107" s="366"/>
      <c r="F107" s="366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9.5" customHeight="1" x14ac:dyDescent="0.25">
      <c r="A108" s="38"/>
      <c r="B108" s="38"/>
      <c r="C108" s="38"/>
      <c r="D108" s="366"/>
      <c r="E108" s="366"/>
      <c r="F108" s="366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9.5" customHeight="1" x14ac:dyDescent="0.25">
      <c r="A109" s="38"/>
      <c r="B109" s="38"/>
      <c r="C109" s="38"/>
      <c r="D109" s="366"/>
      <c r="E109" s="366"/>
      <c r="F109" s="366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9.5" customHeight="1" x14ac:dyDescent="0.25">
      <c r="A110" s="38"/>
      <c r="B110" s="38"/>
      <c r="C110" s="38"/>
      <c r="D110" s="366"/>
      <c r="E110" s="366"/>
      <c r="F110" s="366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9.5" customHeight="1" x14ac:dyDescent="0.25">
      <c r="A111" s="38"/>
      <c r="B111" s="38"/>
      <c r="C111" s="38"/>
      <c r="D111" s="366"/>
      <c r="E111" s="366"/>
      <c r="F111" s="366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9.5" customHeight="1" x14ac:dyDescent="0.25">
      <c r="A112" s="38"/>
      <c r="B112" s="38"/>
      <c r="C112" s="38"/>
      <c r="D112" s="366"/>
      <c r="E112" s="366"/>
      <c r="F112" s="366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9.5" customHeight="1" x14ac:dyDescent="0.25">
      <c r="A113" s="38"/>
      <c r="B113" s="38"/>
      <c r="C113" s="38"/>
      <c r="D113" s="366"/>
      <c r="E113" s="366"/>
      <c r="F113" s="366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9.5" customHeight="1" x14ac:dyDescent="0.25">
      <c r="A114" s="38"/>
      <c r="B114" s="38"/>
      <c r="C114" s="38"/>
      <c r="D114" s="366"/>
      <c r="E114" s="366"/>
      <c r="F114" s="366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9.5" customHeight="1" x14ac:dyDescent="0.25">
      <c r="A115" s="38"/>
      <c r="B115" s="38"/>
      <c r="C115" s="38"/>
      <c r="D115" s="366"/>
      <c r="E115" s="366"/>
      <c r="F115" s="366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9.5" customHeight="1" x14ac:dyDescent="0.25">
      <c r="A116" s="38"/>
      <c r="B116" s="38"/>
      <c r="C116" s="38"/>
      <c r="D116" s="366"/>
      <c r="E116" s="366"/>
      <c r="F116" s="366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9.5" customHeight="1" x14ac:dyDescent="0.25">
      <c r="A117" s="38"/>
      <c r="B117" s="38"/>
      <c r="C117" s="38"/>
      <c r="D117" s="366"/>
      <c r="E117" s="366"/>
      <c r="F117" s="366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9.5" customHeight="1" x14ac:dyDescent="0.25">
      <c r="A118" s="38"/>
      <c r="B118" s="38"/>
      <c r="C118" s="38"/>
      <c r="D118" s="366"/>
      <c r="E118" s="366"/>
      <c r="F118" s="366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9.5" customHeight="1" x14ac:dyDescent="0.25">
      <c r="A119" s="38"/>
      <c r="B119" s="38"/>
      <c r="C119" s="38"/>
      <c r="D119" s="366"/>
      <c r="E119" s="366"/>
      <c r="F119" s="366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9.5" customHeight="1" x14ac:dyDescent="0.25">
      <c r="A120" s="38"/>
      <c r="B120" s="38"/>
      <c r="C120" s="38"/>
      <c r="D120" s="366"/>
      <c r="E120" s="366"/>
      <c r="F120" s="366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9.5" customHeight="1" x14ac:dyDescent="0.25">
      <c r="A121" s="38"/>
      <c r="B121" s="38"/>
      <c r="C121" s="38"/>
      <c r="D121" s="366"/>
      <c r="E121" s="366"/>
      <c r="F121" s="366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9.5" customHeight="1" x14ac:dyDescent="0.25">
      <c r="A122" s="38"/>
      <c r="B122" s="38"/>
      <c r="C122" s="38"/>
      <c r="D122" s="366"/>
      <c r="E122" s="366"/>
      <c r="F122" s="366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9.5" customHeight="1" x14ac:dyDescent="0.25">
      <c r="A123" s="38"/>
      <c r="B123" s="38"/>
      <c r="C123" s="38"/>
      <c r="D123" s="366"/>
      <c r="E123" s="366"/>
      <c r="F123" s="366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9.5" customHeight="1" x14ac:dyDescent="0.25">
      <c r="A124" s="38"/>
      <c r="B124" s="38"/>
      <c r="C124" s="38"/>
      <c r="D124" s="366"/>
      <c r="E124" s="366"/>
      <c r="F124" s="366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9.5" customHeight="1" x14ac:dyDescent="0.25">
      <c r="A125" s="38"/>
      <c r="B125" s="38"/>
      <c r="C125" s="38"/>
      <c r="D125" s="366"/>
      <c r="E125" s="366"/>
      <c r="F125" s="366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9.5" customHeight="1" x14ac:dyDescent="0.25">
      <c r="A126" s="38"/>
      <c r="B126" s="38"/>
      <c r="C126" s="38"/>
      <c r="D126" s="366"/>
      <c r="E126" s="366"/>
      <c r="F126" s="366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9.5" customHeight="1" x14ac:dyDescent="0.25">
      <c r="A127" s="38"/>
      <c r="B127" s="38"/>
      <c r="C127" s="38"/>
      <c r="D127" s="366"/>
      <c r="E127" s="366"/>
      <c r="F127" s="366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9.5" customHeight="1" x14ac:dyDescent="0.25">
      <c r="A128" s="38"/>
      <c r="B128" s="38"/>
      <c r="C128" s="38"/>
      <c r="D128" s="366"/>
      <c r="E128" s="366"/>
      <c r="F128" s="366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9.5" customHeight="1" x14ac:dyDescent="0.25">
      <c r="A129" s="38"/>
      <c r="B129" s="38"/>
      <c r="C129" s="38"/>
      <c r="D129" s="366"/>
      <c r="E129" s="366"/>
      <c r="F129" s="366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9.5" customHeight="1" x14ac:dyDescent="0.25">
      <c r="A130" s="38"/>
      <c r="B130" s="38"/>
      <c r="C130" s="38"/>
      <c r="D130" s="366"/>
      <c r="E130" s="366"/>
      <c r="F130" s="366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9.5" customHeight="1" x14ac:dyDescent="0.25">
      <c r="A131" s="38"/>
      <c r="B131" s="38"/>
      <c r="C131" s="38"/>
      <c r="D131" s="366"/>
      <c r="E131" s="366"/>
      <c r="F131" s="366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9.5" customHeight="1" x14ac:dyDescent="0.25">
      <c r="A132" s="38"/>
      <c r="B132" s="38"/>
      <c r="C132" s="38"/>
      <c r="D132" s="366"/>
      <c r="E132" s="366"/>
      <c r="F132" s="366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9.5" customHeight="1" x14ac:dyDescent="0.25">
      <c r="A133" s="38"/>
      <c r="B133" s="38"/>
      <c r="C133" s="38"/>
      <c r="D133" s="366"/>
      <c r="E133" s="366"/>
      <c r="F133" s="366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9.5" customHeight="1" x14ac:dyDescent="0.25">
      <c r="A134" s="38"/>
      <c r="B134" s="38"/>
      <c r="C134" s="38"/>
      <c r="D134" s="366"/>
      <c r="E134" s="366"/>
      <c r="F134" s="366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9.5" customHeight="1" x14ac:dyDescent="0.25">
      <c r="A135" s="38"/>
      <c r="B135" s="38"/>
      <c r="C135" s="38"/>
      <c r="D135" s="366"/>
      <c r="E135" s="366"/>
      <c r="F135" s="366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9.5" customHeight="1" x14ac:dyDescent="0.25">
      <c r="A136" s="38"/>
      <c r="B136" s="38"/>
      <c r="C136" s="38"/>
      <c r="D136" s="366"/>
      <c r="E136" s="366"/>
      <c r="F136" s="366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9.5" customHeight="1" x14ac:dyDescent="0.25">
      <c r="A137" s="38"/>
      <c r="B137" s="38"/>
      <c r="C137" s="38"/>
      <c r="D137" s="366"/>
      <c r="E137" s="366"/>
      <c r="F137" s="366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9.5" customHeight="1" x14ac:dyDescent="0.25">
      <c r="A138" s="38"/>
      <c r="B138" s="38"/>
      <c r="C138" s="38"/>
      <c r="D138" s="366"/>
      <c r="E138" s="366"/>
      <c r="F138" s="366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9.5" customHeight="1" x14ac:dyDescent="0.25">
      <c r="A139" s="38"/>
      <c r="B139" s="38"/>
      <c r="C139" s="38"/>
      <c r="D139" s="366"/>
      <c r="E139" s="366"/>
      <c r="F139" s="366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9.5" customHeight="1" x14ac:dyDescent="0.25">
      <c r="A140" s="38"/>
      <c r="B140" s="38"/>
      <c r="C140" s="38"/>
      <c r="D140" s="366"/>
      <c r="E140" s="366"/>
      <c r="F140" s="366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9.5" customHeight="1" x14ac:dyDescent="0.25">
      <c r="A141" s="38"/>
      <c r="B141" s="38"/>
      <c r="C141" s="38"/>
      <c r="D141" s="366"/>
      <c r="E141" s="366"/>
      <c r="F141" s="366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9.5" customHeight="1" x14ac:dyDescent="0.25">
      <c r="A142" s="38"/>
      <c r="B142" s="38"/>
      <c r="C142" s="38"/>
      <c r="D142" s="366"/>
      <c r="E142" s="366"/>
      <c r="F142" s="366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9.5" customHeight="1" x14ac:dyDescent="0.25">
      <c r="A143" s="38"/>
      <c r="B143" s="38"/>
      <c r="C143" s="38"/>
      <c r="D143" s="366"/>
      <c r="E143" s="366"/>
      <c r="F143" s="366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9.5" customHeight="1" x14ac:dyDescent="0.25">
      <c r="A144" s="38"/>
      <c r="B144" s="38"/>
      <c r="C144" s="38"/>
      <c r="D144" s="366"/>
      <c r="E144" s="366"/>
      <c r="F144" s="366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9.5" customHeight="1" x14ac:dyDescent="0.25">
      <c r="A145" s="38"/>
      <c r="B145" s="38"/>
      <c r="C145" s="38"/>
      <c r="D145" s="366"/>
      <c r="E145" s="366"/>
      <c r="F145" s="366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9.5" customHeight="1" x14ac:dyDescent="0.25">
      <c r="A146" s="38"/>
      <c r="B146" s="38"/>
      <c r="C146" s="38"/>
      <c r="D146" s="366"/>
      <c r="E146" s="366"/>
      <c r="F146" s="366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9.5" customHeight="1" x14ac:dyDescent="0.25">
      <c r="A147" s="38"/>
      <c r="B147" s="38"/>
      <c r="C147" s="38"/>
      <c r="D147" s="366"/>
      <c r="E147" s="366"/>
      <c r="F147" s="366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9.5" customHeight="1" x14ac:dyDescent="0.25">
      <c r="A148" s="38"/>
      <c r="B148" s="38"/>
      <c r="C148" s="38"/>
      <c r="D148" s="366"/>
      <c r="E148" s="366"/>
      <c r="F148" s="366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9.5" customHeight="1" x14ac:dyDescent="0.25">
      <c r="A149" s="38"/>
      <c r="B149" s="38"/>
      <c r="C149" s="38"/>
      <c r="D149" s="366"/>
      <c r="E149" s="366"/>
      <c r="F149" s="366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9.5" customHeight="1" x14ac:dyDescent="0.25">
      <c r="A150" s="38"/>
      <c r="B150" s="38"/>
      <c r="C150" s="38"/>
      <c r="D150" s="366"/>
      <c r="E150" s="366"/>
      <c r="F150" s="366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9.5" customHeight="1" x14ac:dyDescent="0.25">
      <c r="A151" s="38"/>
      <c r="B151" s="38"/>
      <c r="C151" s="38"/>
      <c r="D151" s="366"/>
      <c r="E151" s="366"/>
      <c r="F151" s="366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9.5" customHeight="1" x14ac:dyDescent="0.25">
      <c r="A152" s="38"/>
      <c r="B152" s="38"/>
      <c r="C152" s="38"/>
      <c r="D152" s="366"/>
      <c r="E152" s="366"/>
      <c r="F152" s="366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9.5" customHeight="1" x14ac:dyDescent="0.25">
      <c r="A153" s="38"/>
      <c r="B153" s="38"/>
      <c r="C153" s="38"/>
      <c r="D153" s="366"/>
      <c r="E153" s="366"/>
      <c r="F153" s="366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9.5" customHeight="1" x14ac:dyDescent="0.25">
      <c r="A154" s="38"/>
      <c r="B154" s="38"/>
      <c r="C154" s="38"/>
      <c r="D154" s="366"/>
      <c r="E154" s="366"/>
      <c r="F154" s="366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9.5" customHeight="1" x14ac:dyDescent="0.25">
      <c r="A155" s="38"/>
      <c r="B155" s="38"/>
      <c r="C155" s="38"/>
      <c r="D155" s="366"/>
      <c r="E155" s="366"/>
      <c r="F155" s="366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9.5" customHeight="1" x14ac:dyDescent="0.25">
      <c r="A156" s="38"/>
      <c r="B156" s="38"/>
      <c r="C156" s="38"/>
      <c r="D156" s="366"/>
      <c r="E156" s="366"/>
      <c r="F156" s="366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9.5" customHeight="1" x14ac:dyDescent="0.25">
      <c r="A157" s="38"/>
      <c r="B157" s="38"/>
      <c r="C157" s="38"/>
      <c r="D157" s="366"/>
      <c r="E157" s="366"/>
      <c r="F157" s="366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9.5" customHeight="1" x14ac:dyDescent="0.25">
      <c r="A158" s="38"/>
      <c r="B158" s="38"/>
      <c r="C158" s="38"/>
      <c r="D158" s="366"/>
      <c r="E158" s="366"/>
      <c r="F158" s="366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9.5" customHeight="1" x14ac:dyDescent="0.25">
      <c r="A159" s="38"/>
      <c r="B159" s="38"/>
      <c r="C159" s="38"/>
      <c r="D159" s="366"/>
      <c r="E159" s="366"/>
      <c r="F159" s="366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9.5" customHeight="1" x14ac:dyDescent="0.25">
      <c r="A160" s="38"/>
      <c r="B160" s="38"/>
      <c r="C160" s="38"/>
      <c r="D160" s="366"/>
      <c r="E160" s="366"/>
      <c r="F160" s="366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9.5" customHeight="1" x14ac:dyDescent="0.25">
      <c r="A161" s="38"/>
      <c r="B161" s="38"/>
      <c r="C161" s="38"/>
      <c r="D161" s="366"/>
      <c r="E161" s="366"/>
      <c r="F161" s="366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9.5" customHeight="1" x14ac:dyDescent="0.25">
      <c r="A162" s="38"/>
      <c r="B162" s="38"/>
      <c r="C162" s="38"/>
      <c r="D162" s="366"/>
      <c r="E162" s="366"/>
      <c r="F162" s="366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9.5" customHeight="1" x14ac:dyDescent="0.25">
      <c r="A163" s="38"/>
      <c r="B163" s="38"/>
      <c r="C163" s="38"/>
      <c r="D163" s="366"/>
      <c r="E163" s="366"/>
      <c r="F163" s="366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9.5" customHeight="1" x14ac:dyDescent="0.25">
      <c r="A164" s="38"/>
      <c r="B164" s="38"/>
      <c r="C164" s="38"/>
      <c r="D164" s="366"/>
      <c r="E164" s="366"/>
      <c r="F164" s="366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9.5" customHeight="1" x14ac:dyDescent="0.25">
      <c r="A165" s="38"/>
      <c r="B165" s="38"/>
      <c r="C165" s="38"/>
      <c r="D165" s="366"/>
      <c r="E165" s="366"/>
      <c r="F165" s="366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9.5" customHeight="1" x14ac:dyDescent="0.25">
      <c r="A166" s="38"/>
      <c r="B166" s="38"/>
      <c r="C166" s="38"/>
      <c r="D166" s="366"/>
      <c r="E166" s="366"/>
      <c r="F166" s="366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9.5" customHeight="1" x14ac:dyDescent="0.25">
      <c r="A167" s="38"/>
      <c r="B167" s="38"/>
      <c r="C167" s="38"/>
      <c r="D167" s="366"/>
      <c r="E167" s="366"/>
      <c r="F167" s="366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9.5" customHeight="1" x14ac:dyDescent="0.25">
      <c r="A168" s="38"/>
      <c r="B168" s="38"/>
      <c r="C168" s="38"/>
      <c r="D168" s="366"/>
      <c r="E168" s="366"/>
      <c r="F168" s="366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9.5" customHeight="1" x14ac:dyDescent="0.25">
      <c r="A169" s="38"/>
      <c r="B169" s="38"/>
      <c r="C169" s="38"/>
      <c r="D169" s="366"/>
      <c r="E169" s="366"/>
      <c r="F169" s="366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9.5" customHeight="1" x14ac:dyDescent="0.25">
      <c r="A170" s="38"/>
      <c r="B170" s="38"/>
      <c r="C170" s="38"/>
      <c r="D170" s="366"/>
      <c r="E170" s="366"/>
      <c r="F170" s="366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9.5" customHeight="1" x14ac:dyDescent="0.25">
      <c r="A171" s="38"/>
      <c r="B171" s="38"/>
      <c r="C171" s="38"/>
      <c r="D171" s="366"/>
      <c r="E171" s="366"/>
      <c r="F171" s="366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9.5" customHeight="1" x14ac:dyDescent="0.25">
      <c r="A172" s="38"/>
      <c r="B172" s="38"/>
      <c r="C172" s="38"/>
      <c r="D172" s="366"/>
      <c r="E172" s="366"/>
      <c r="F172" s="366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9.5" customHeight="1" x14ac:dyDescent="0.25">
      <c r="A173" s="38"/>
      <c r="B173" s="38"/>
      <c r="C173" s="38"/>
      <c r="D173" s="366"/>
      <c r="E173" s="366"/>
      <c r="F173" s="366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9.5" customHeight="1" x14ac:dyDescent="0.25">
      <c r="A174" s="38"/>
      <c r="B174" s="38"/>
      <c r="C174" s="38"/>
      <c r="D174" s="366"/>
      <c r="E174" s="366"/>
      <c r="F174" s="366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9.5" customHeight="1" x14ac:dyDescent="0.25">
      <c r="A175" s="38"/>
      <c r="B175" s="38"/>
      <c r="C175" s="38"/>
      <c r="D175" s="366"/>
      <c r="E175" s="366"/>
      <c r="F175" s="366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9.5" customHeight="1" x14ac:dyDescent="0.25">
      <c r="A176" s="38"/>
      <c r="B176" s="38"/>
      <c r="C176" s="38"/>
      <c r="D176" s="366"/>
      <c r="E176" s="366"/>
      <c r="F176" s="366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9.5" customHeight="1" x14ac:dyDescent="0.25">
      <c r="A177" s="38"/>
      <c r="B177" s="38"/>
      <c r="C177" s="38"/>
      <c r="D177" s="366"/>
      <c r="E177" s="366"/>
      <c r="F177" s="366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9.5" customHeight="1" x14ac:dyDescent="0.25">
      <c r="A178" s="38"/>
      <c r="B178" s="38"/>
      <c r="C178" s="38"/>
      <c r="D178" s="366"/>
      <c r="E178" s="366"/>
      <c r="F178" s="366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9.5" customHeight="1" x14ac:dyDescent="0.25">
      <c r="A179" s="38"/>
      <c r="B179" s="38"/>
      <c r="C179" s="38"/>
      <c r="D179" s="366"/>
      <c r="E179" s="366"/>
      <c r="F179" s="366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9.5" customHeight="1" x14ac:dyDescent="0.25">
      <c r="A180" s="38"/>
      <c r="B180" s="38"/>
      <c r="C180" s="38"/>
      <c r="D180" s="366"/>
      <c r="E180" s="366"/>
      <c r="F180" s="366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9.5" customHeight="1" x14ac:dyDescent="0.25">
      <c r="A181" s="38"/>
      <c r="B181" s="38"/>
      <c r="C181" s="38"/>
      <c r="D181" s="366"/>
      <c r="E181" s="366"/>
      <c r="F181" s="366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9.5" customHeight="1" x14ac:dyDescent="0.25">
      <c r="A182" s="38"/>
      <c r="B182" s="38"/>
      <c r="C182" s="38"/>
      <c r="D182" s="366"/>
      <c r="E182" s="366"/>
      <c r="F182" s="366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9.5" customHeight="1" x14ac:dyDescent="0.25">
      <c r="A183" s="38"/>
      <c r="B183" s="38"/>
      <c r="C183" s="38"/>
      <c r="D183" s="366"/>
      <c r="E183" s="366"/>
      <c r="F183" s="366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9.5" customHeight="1" x14ac:dyDescent="0.25">
      <c r="A184" s="38"/>
      <c r="B184" s="38"/>
      <c r="C184" s="38"/>
      <c r="D184" s="366"/>
      <c r="E184" s="366"/>
      <c r="F184" s="366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9.5" customHeight="1" x14ac:dyDescent="0.25">
      <c r="A185" s="38"/>
      <c r="B185" s="38"/>
      <c r="C185" s="38"/>
      <c r="D185" s="366"/>
      <c r="E185" s="366"/>
      <c r="F185" s="366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9.5" customHeight="1" x14ac:dyDescent="0.25">
      <c r="A186" s="38"/>
      <c r="B186" s="38"/>
      <c r="C186" s="38"/>
      <c r="D186" s="366"/>
      <c r="E186" s="366"/>
      <c r="F186" s="366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9.5" customHeight="1" x14ac:dyDescent="0.25">
      <c r="A187" s="38"/>
      <c r="B187" s="38"/>
      <c r="C187" s="38"/>
      <c r="D187" s="366"/>
      <c r="E187" s="366"/>
      <c r="F187" s="366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9.5" customHeight="1" x14ac:dyDescent="0.25">
      <c r="A188" s="38"/>
      <c r="B188" s="38"/>
      <c r="C188" s="38"/>
      <c r="D188" s="366"/>
      <c r="E188" s="366"/>
      <c r="F188" s="366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9.5" customHeight="1" x14ac:dyDescent="0.25">
      <c r="A189" s="38"/>
      <c r="B189" s="38"/>
      <c r="C189" s="38"/>
      <c r="D189" s="366"/>
      <c r="E189" s="366"/>
      <c r="F189" s="366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9.5" customHeight="1" x14ac:dyDescent="0.25">
      <c r="A190" s="38"/>
      <c r="B190" s="38"/>
      <c r="C190" s="38"/>
      <c r="D190" s="366"/>
      <c r="E190" s="366"/>
      <c r="F190" s="366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9.5" customHeight="1" x14ac:dyDescent="0.25">
      <c r="A191" s="38"/>
      <c r="B191" s="38"/>
      <c r="C191" s="38"/>
      <c r="D191" s="366"/>
      <c r="E191" s="366"/>
      <c r="F191" s="366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9.5" customHeight="1" x14ac:dyDescent="0.25">
      <c r="A192" s="38"/>
      <c r="B192" s="38"/>
      <c r="C192" s="38"/>
      <c r="D192" s="366"/>
      <c r="E192" s="366"/>
      <c r="F192" s="366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9.5" customHeight="1" x14ac:dyDescent="0.25">
      <c r="A193" s="38"/>
      <c r="B193" s="38"/>
      <c r="C193" s="38"/>
      <c r="D193" s="366"/>
      <c r="E193" s="366"/>
      <c r="F193" s="366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9.5" customHeight="1" x14ac:dyDescent="0.25">
      <c r="A194" s="38"/>
      <c r="B194" s="38"/>
      <c r="C194" s="38"/>
      <c r="D194" s="366"/>
      <c r="E194" s="366"/>
      <c r="F194" s="366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9.5" customHeight="1" x14ac:dyDescent="0.25">
      <c r="A195" s="38"/>
      <c r="B195" s="38"/>
      <c r="C195" s="38"/>
      <c r="D195" s="366"/>
      <c r="E195" s="366"/>
      <c r="F195" s="366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9.5" customHeight="1" x14ac:dyDescent="0.25">
      <c r="A196" s="38"/>
      <c r="B196" s="38"/>
      <c r="C196" s="38"/>
      <c r="D196" s="366"/>
      <c r="E196" s="366"/>
      <c r="F196" s="366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9.5" customHeight="1" x14ac:dyDescent="0.25">
      <c r="A197" s="38"/>
      <c r="B197" s="38"/>
      <c r="C197" s="38"/>
      <c r="D197" s="366"/>
      <c r="E197" s="366"/>
      <c r="F197" s="366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9.5" customHeight="1" x14ac:dyDescent="0.25">
      <c r="A198" s="38"/>
      <c r="B198" s="38"/>
      <c r="C198" s="38"/>
      <c r="D198" s="366"/>
      <c r="E198" s="366"/>
      <c r="F198" s="366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9.5" customHeight="1" x14ac:dyDescent="0.25">
      <c r="A199" s="38"/>
      <c r="B199" s="38"/>
      <c r="C199" s="38"/>
      <c r="D199" s="366"/>
      <c r="E199" s="366"/>
      <c r="F199" s="366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9.5" customHeight="1" x14ac:dyDescent="0.25">
      <c r="A200" s="38"/>
      <c r="B200" s="38"/>
      <c r="C200" s="38"/>
      <c r="D200" s="366"/>
      <c r="E200" s="366"/>
      <c r="F200" s="366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9.5" customHeight="1" x14ac:dyDescent="0.25">
      <c r="A201" s="38"/>
      <c r="B201" s="38"/>
      <c r="C201" s="38"/>
      <c r="D201" s="366"/>
      <c r="E201" s="366"/>
      <c r="F201" s="366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9.5" customHeight="1" x14ac:dyDescent="0.25">
      <c r="A202" s="38"/>
      <c r="B202" s="38"/>
      <c r="C202" s="38"/>
      <c r="D202" s="366"/>
      <c r="E202" s="366"/>
      <c r="F202" s="366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9.5" customHeight="1" x14ac:dyDescent="0.25">
      <c r="A203" s="38"/>
      <c r="B203" s="38"/>
      <c r="C203" s="38"/>
      <c r="D203" s="366"/>
      <c r="E203" s="366"/>
      <c r="F203" s="366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9.5" customHeight="1" x14ac:dyDescent="0.25">
      <c r="A204" s="38"/>
      <c r="B204" s="38"/>
      <c r="C204" s="38"/>
      <c r="D204" s="366"/>
      <c r="E204" s="366"/>
      <c r="F204" s="366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9.5" customHeight="1" x14ac:dyDescent="0.25">
      <c r="A205" s="38"/>
      <c r="B205" s="38"/>
      <c r="C205" s="38"/>
      <c r="D205" s="366"/>
      <c r="E205" s="366"/>
      <c r="F205" s="366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9.5" customHeight="1" x14ac:dyDescent="0.25">
      <c r="A206" s="38"/>
      <c r="B206" s="38"/>
      <c r="C206" s="38"/>
      <c r="D206" s="366"/>
      <c r="E206" s="366"/>
      <c r="F206" s="366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9.5" customHeight="1" x14ac:dyDescent="0.25">
      <c r="A207" s="38"/>
      <c r="B207" s="38"/>
      <c r="C207" s="38"/>
      <c r="D207" s="366"/>
      <c r="E207" s="366"/>
      <c r="F207" s="366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9.5" customHeight="1" x14ac:dyDescent="0.25">
      <c r="A208" s="38"/>
      <c r="B208" s="38"/>
      <c r="C208" s="38"/>
      <c r="D208" s="366"/>
      <c r="E208" s="366"/>
      <c r="F208" s="366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9.5" customHeight="1" x14ac:dyDescent="0.25">
      <c r="A209" s="38"/>
      <c r="B209" s="38"/>
      <c r="C209" s="38"/>
      <c r="D209" s="366"/>
      <c r="E209" s="366"/>
      <c r="F209" s="366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9.5" customHeight="1" x14ac:dyDescent="0.25">
      <c r="A210" s="38"/>
      <c r="B210" s="38"/>
      <c r="C210" s="38"/>
      <c r="D210" s="366"/>
      <c r="E210" s="366"/>
      <c r="F210" s="366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9.5" customHeight="1" x14ac:dyDescent="0.25">
      <c r="A211" s="38"/>
      <c r="B211" s="38"/>
      <c r="C211" s="38"/>
      <c r="D211" s="366"/>
      <c r="E211" s="366"/>
      <c r="F211" s="366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9.5" customHeight="1" x14ac:dyDescent="0.25">
      <c r="A212" s="38"/>
      <c r="B212" s="38"/>
      <c r="C212" s="38"/>
      <c r="D212" s="366"/>
      <c r="E212" s="366"/>
      <c r="F212" s="366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9.5" customHeight="1" x14ac:dyDescent="0.25">
      <c r="A213" s="38"/>
      <c r="B213" s="38"/>
      <c r="C213" s="38"/>
      <c r="D213" s="366"/>
      <c r="E213" s="366"/>
      <c r="F213" s="366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9.5" customHeight="1" x14ac:dyDescent="0.25">
      <c r="A214" s="38"/>
      <c r="B214" s="38"/>
      <c r="C214" s="38"/>
      <c r="D214" s="366"/>
      <c r="E214" s="366"/>
      <c r="F214" s="366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9.5" customHeight="1" x14ac:dyDescent="0.25">
      <c r="A215" s="38"/>
      <c r="B215" s="38"/>
      <c r="C215" s="38"/>
      <c r="D215" s="366"/>
      <c r="E215" s="366"/>
      <c r="F215" s="366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9.5" customHeight="1" x14ac:dyDescent="0.25">
      <c r="A216" s="38"/>
      <c r="B216" s="38"/>
      <c r="C216" s="38"/>
      <c r="D216" s="366"/>
      <c r="E216" s="366"/>
      <c r="F216" s="366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9.5" customHeight="1" x14ac:dyDescent="0.25">
      <c r="A217" s="38"/>
      <c r="B217" s="38"/>
      <c r="C217" s="38"/>
      <c r="D217" s="366"/>
      <c r="E217" s="366"/>
      <c r="F217" s="366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9.5" customHeight="1" x14ac:dyDescent="0.25">
      <c r="A218" s="38"/>
      <c r="B218" s="38"/>
      <c r="C218" s="38"/>
      <c r="D218" s="366"/>
      <c r="E218" s="366"/>
      <c r="F218" s="366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9.5" customHeight="1" x14ac:dyDescent="0.25">
      <c r="A219" s="38"/>
      <c r="B219" s="38"/>
      <c r="C219" s="38"/>
      <c r="D219" s="366"/>
      <c r="E219" s="366"/>
      <c r="F219" s="366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9.5" customHeight="1" x14ac:dyDescent="0.25">
      <c r="A220" s="38"/>
      <c r="B220" s="38"/>
      <c r="C220" s="38"/>
      <c r="D220" s="366"/>
      <c r="E220" s="366"/>
      <c r="F220" s="366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9.5" customHeight="1" x14ac:dyDescent="0.25">
      <c r="A221" s="38"/>
      <c r="B221" s="38"/>
      <c r="C221" s="38"/>
      <c r="D221" s="366"/>
      <c r="E221" s="366"/>
      <c r="F221" s="366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9.5" customHeight="1" x14ac:dyDescent="0.25">
      <c r="A222" s="38"/>
      <c r="B222" s="38"/>
      <c r="C222" s="38"/>
      <c r="D222" s="366"/>
      <c r="E222" s="366"/>
      <c r="F222" s="366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9.5" customHeight="1" x14ac:dyDescent="0.25">
      <c r="A223" s="38"/>
      <c r="B223" s="38"/>
      <c r="C223" s="38"/>
      <c r="D223" s="366"/>
      <c r="E223" s="366"/>
      <c r="F223" s="366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9.5" customHeight="1" x14ac:dyDescent="0.25">
      <c r="A224" s="38"/>
      <c r="B224" s="38"/>
      <c r="C224" s="38"/>
      <c r="D224" s="366"/>
      <c r="E224" s="366"/>
      <c r="F224" s="366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9.5" customHeight="1" x14ac:dyDescent="0.25">
      <c r="A225" s="38"/>
      <c r="B225" s="38"/>
      <c r="C225" s="38"/>
      <c r="D225" s="366"/>
      <c r="E225" s="366"/>
      <c r="F225" s="366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9.5" customHeight="1" x14ac:dyDescent="0.25">
      <c r="A226" s="38"/>
      <c r="B226" s="38"/>
      <c r="C226" s="38"/>
      <c r="D226" s="366"/>
      <c r="E226" s="366"/>
      <c r="F226" s="366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9.5" customHeight="1" x14ac:dyDescent="0.25">
      <c r="A227" s="38"/>
      <c r="B227" s="38"/>
      <c r="C227" s="38"/>
      <c r="D227" s="366"/>
      <c r="E227" s="366"/>
      <c r="F227" s="366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9.5" customHeight="1" x14ac:dyDescent="0.25">
      <c r="A228" s="38"/>
      <c r="B228" s="38"/>
      <c r="C228" s="38"/>
      <c r="D228" s="366"/>
      <c r="E228" s="366"/>
      <c r="F228" s="366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9.5" customHeight="1" x14ac:dyDescent="0.25">
      <c r="A229" s="38"/>
      <c r="B229" s="38"/>
      <c r="C229" s="38"/>
      <c r="D229" s="366"/>
      <c r="E229" s="366"/>
      <c r="F229" s="366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9.5" customHeight="1" x14ac:dyDescent="0.25">
      <c r="A230" s="38"/>
      <c r="B230" s="38"/>
      <c r="C230" s="38"/>
      <c r="D230" s="366"/>
      <c r="E230" s="366"/>
      <c r="F230" s="366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9.5" customHeight="1" x14ac:dyDescent="0.25">
      <c r="A231" s="38"/>
      <c r="B231" s="38"/>
      <c r="C231" s="38"/>
      <c r="D231" s="366"/>
      <c r="E231" s="366"/>
      <c r="F231" s="366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9.5" customHeight="1" x14ac:dyDescent="0.25">
      <c r="A232" s="38"/>
      <c r="B232" s="38"/>
      <c r="C232" s="38"/>
      <c r="D232" s="366"/>
      <c r="E232" s="366"/>
      <c r="F232" s="366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9.5" customHeight="1" x14ac:dyDescent="0.25">
      <c r="A233" s="38"/>
      <c r="B233" s="38"/>
      <c r="C233" s="38"/>
      <c r="D233" s="366"/>
      <c r="E233" s="366"/>
      <c r="F233" s="366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9.5" customHeight="1" x14ac:dyDescent="0.25">
      <c r="A234" s="38"/>
      <c r="B234" s="38"/>
      <c r="C234" s="38"/>
      <c r="D234" s="366"/>
      <c r="E234" s="366"/>
      <c r="F234" s="366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9.5" customHeight="1" x14ac:dyDescent="0.25">
      <c r="A235" s="38"/>
      <c r="B235" s="38"/>
      <c r="C235" s="38"/>
      <c r="D235" s="366"/>
      <c r="E235" s="366"/>
      <c r="F235" s="366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9.5" customHeight="1" x14ac:dyDescent="0.25">
      <c r="A236" s="38"/>
      <c r="B236" s="38"/>
      <c r="C236" s="38"/>
      <c r="D236" s="366"/>
      <c r="E236" s="366"/>
      <c r="F236" s="366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9.5" customHeight="1" x14ac:dyDescent="0.25">
      <c r="A237" s="38"/>
      <c r="B237" s="38"/>
      <c r="C237" s="38"/>
      <c r="D237" s="366"/>
      <c r="E237" s="366"/>
      <c r="F237" s="366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9.5" customHeight="1" x14ac:dyDescent="0.25">
      <c r="A238" s="38"/>
      <c r="B238" s="38"/>
      <c r="C238" s="38"/>
      <c r="D238" s="366"/>
      <c r="E238" s="366"/>
      <c r="F238" s="366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9.5" customHeight="1" x14ac:dyDescent="0.25">
      <c r="A239" s="38"/>
      <c r="B239" s="38"/>
      <c r="C239" s="38"/>
      <c r="D239" s="366"/>
      <c r="E239" s="366"/>
      <c r="F239" s="366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9.5" customHeight="1" x14ac:dyDescent="0.25">
      <c r="A240" s="38"/>
      <c r="B240" s="38"/>
      <c r="C240" s="38"/>
      <c r="D240" s="366"/>
      <c r="E240" s="366"/>
      <c r="F240" s="366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9.5" customHeight="1" x14ac:dyDescent="0.25">
      <c r="A241" s="38"/>
      <c r="B241" s="38"/>
      <c r="C241" s="38"/>
      <c r="D241" s="366"/>
      <c r="E241" s="366"/>
      <c r="F241" s="366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9.5" customHeight="1" x14ac:dyDescent="0.25">
      <c r="A242" s="38"/>
      <c r="B242" s="38"/>
      <c r="C242" s="38"/>
      <c r="D242" s="366"/>
      <c r="E242" s="366"/>
      <c r="F242" s="366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9.5" customHeight="1" x14ac:dyDescent="0.25">
      <c r="A243" s="38"/>
      <c r="B243" s="38"/>
      <c r="C243" s="38"/>
      <c r="D243" s="366"/>
      <c r="E243" s="366"/>
      <c r="F243" s="366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9.5" customHeight="1" x14ac:dyDescent="0.25">
      <c r="A244" s="38"/>
      <c r="B244" s="38"/>
      <c r="C244" s="38"/>
      <c r="D244" s="366"/>
      <c r="E244" s="366"/>
      <c r="F244" s="366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9.5" customHeight="1" x14ac:dyDescent="0.25">
      <c r="A245" s="38"/>
      <c r="B245" s="38"/>
      <c r="C245" s="38"/>
      <c r="D245" s="366"/>
      <c r="E245" s="366"/>
      <c r="F245" s="366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9.5" customHeight="1" x14ac:dyDescent="0.25">
      <c r="A246" s="38"/>
      <c r="B246" s="38"/>
      <c r="C246" s="38"/>
      <c r="D246" s="366"/>
      <c r="E246" s="366"/>
      <c r="F246" s="366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9.5" customHeight="1" x14ac:dyDescent="0.25">
      <c r="A247" s="38"/>
      <c r="B247" s="38"/>
      <c r="C247" s="38"/>
      <c r="D247" s="366"/>
      <c r="E247" s="366"/>
      <c r="F247" s="366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9.5" customHeight="1" x14ac:dyDescent="0.25">
      <c r="A248" s="38"/>
      <c r="B248" s="38"/>
      <c r="C248" s="38"/>
      <c r="D248" s="366"/>
      <c r="E248" s="366"/>
      <c r="F248" s="366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9.5" customHeight="1" x14ac:dyDescent="0.25">
      <c r="A249" s="38"/>
      <c r="B249" s="38"/>
      <c r="C249" s="38"/>
      <c r="D249" s="366"/>
      <c r="E249" s="366"/>
      <c r="F249" s="366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9.5" customHeight="1" x14ac:dyDescent="0.25">
      <c r="A250" s="38"/>
      <c r="B250" s="38"/>
      <c r="C250" s="38"/>
      <c r="D250" s="366"/>
      <c r="E250" s="366"/>
      <c r="F250" s="366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9.5" customHeight="1" x14ac:dyDescent="0.25">
      <c r="A251" s="38"/>
      <c r="B251" s="38"/>
      <c r="C251" s="38"/>
      <c r="D251" s="366"/>
      <c r="E251" s="366"/>
      <c r="F251" s="366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9.5" customHeight="1" x14ac:dyDescent="0.25">
      <c r="A252" s="38"/>
      <c r="B252" s="38"/>
      <c r="C252" s="38"/>
      <c r="D252" s="366"/>
      <c r="E252" s="366"/>
      <c r="F252" s="366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9.5" customHeight="1" x14ac:dyDescent="0.25">
      <c r="A253" s="38"/>
      <c r="B253" s="38"/>
      <c r="C253" s="38"/>
      <c r="D253" s="366"/>
      <c r="E253" s="366"/>
      <c r="F253" s="366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9.5" customHeight="1" x14ac:dyDescent="0.25">
      <c r="A254" s="38"/>
      <c r="B254" s="38"/>
      <c r="C254" s="38"/>
      <c r="D254" s="366"/>
      <c r="E254" s="366"/>
      <c r="F254" s="366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9.5" customHeight="1" x14ac:dyDescent="0.25">
      <c r="A255" s="38"/>
      <c r="B255" s="38"/>
      <c r="C255" s="38"/>
      <c r="D255" s="366"/>
      <c r="E255" s="366"/>
      <c r="F255" s="366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9.5" customHeight="1" x14ac:dyDescent="0.25">
      <c r="A256" s="38"/>
      <c r="B256" s="38"/>
      <c r="C256" s="38"/>
      <c r="D256" s="366"/>
      <c r="E256" s="366"/>
      <c r="F256" s="366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9.5" customHeight="1" x14ac:dyDescent="0.25">
      <c r="A257" s="38"/>
      <c r="B257" s="38"/>
      <c r="C257" s="38"/>
      <c r="D257" s="366"/>
      <c r="E257" s="366"/>
      <c r="F257" s="366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9.5" customHeight="1" x14ac:dyDescent="0.25">
      <c r="A258" s="38"/>
      <c r="B258" s="38"/>
      <c r="C258" s="38"/>
      <c r="D258" s="366"/>
      <c r="E258" s="366"/>
      <c r="F258" s="366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9.5" customHeight="1" x14ac:dyDescent="0.25">
      <c r="A259" s="38"/>
      <c r="B259" s="38"/>
      <c r="C259" s="38"/>
      <c r="D259" s="366"/>
      <c r="E259" s="366"/>
      <c r="F259" s="366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9.5" customHeight="1" x14ac:dyDescent="0.25">
      <c r="A260" s="38"/>
      <c r="B260" s="38"/>
      <c r="C260" s="38"/>
      <c r="D260" s="366"/>
      <c r="E260" s="366"/>
      <c r="F260" s="366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9.5" customHeight="1" x14ac:dyDescent="0.25">
      <c r="A261" s="38"/>
      <c r="B261" s="38"/>
      <c r="C261" s="38"/>
      <c r="D261" s="366"/>
      <c r="E261" s="366"/>
      <c r="F261" s="366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9.5" customHeight="1" x14ac:dyDescent="0.25">
      <c r="A262" s="38"/>
      <c r="B262" s="38"/>
      <c r="C262" s="38"/>
      <c r="D262" s="366"/>
      <c r="E262" s="366"/>
      <c r="F262" s="366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9.5" customHeight="1" x14ac:dyDescent="0.25">
      <c r="A263" s="38"/>
      <c r="B263" s="38"/>
      <c r="C263" s="38"/>
      <c r="D263" s="366"/>
      <c r="E263" s="366"/>
      <c r="F263" s="366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9.5" customHeight="1" x14ac:dyDescent="0.25">
      <c r="A264" s="38"/>
      <c r="B264" s="38"/>
      <c r="C264" s="38"/>
      <c r="D264" s="366"/>
      <c r="E264" s="366"/>
      <c r="F264" s="366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9.5" customHeight="1" x14ac:dyDescent="0.25">
      <c r="A265" s="38"/>
      <c r="B265" s="38"/>
      <c r="C265" s="38"/>
      <c r="D265" s="366"/>
      <c r="E265" s="366"/>
      <c r="F265" s="366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9.5" customHeight="1" x14ac:dyDescent="0.25">
      <c r="A266" s="38"/>
      <c r="B266" s="38"/>
      <c r="C266" s="38"/>
      <c r="D266" s="366"/>
      <c r="E266" s="366"/>
      <c r="F266" s="366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9.5" customHeight="1" x14ac:dyDescent="0.25">
      <c r="A267" s="38"/>
      <c r="B267" s="38"/>
      <c r="C267" s="38"/>
      <c r="D267" s="366"/>
      <c r="E267" s="366"/>
      <c r="F267" s="366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9.5" customHeight="1" x14ac:dyDescent="0.25">
      <c r="A268" s="38"/>
      <c r="B268" s="38"/>
      <c r="C268" s="38"/>
      <c r="D268" s="366"/>
      <c r="E268" s="366"/>
      <c r="F268" s="366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9.5" customHeight="1" x14ac:dyDescent="0.25">
      <c r="A269" s="38"/>
      <c r="B269" s="38"/>
      <c r="C269" s="38"/>
      <c r="D269" s="366"/>
      <c r="E269" s="366"/>
      <c r="F269" s="366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9.5" customHeight="1" x14ac:dyDescent="0.25">
      <c r="A270" s="38"/>
      <c r="B270" s="38"/>
      <c r="C270" s="38"/>
      <c r="D270" s="366"/>
      <c r="E270" s="366"/>
      <c r="F270" s="366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9.5" customHeight="1" x14ac:dyDescent="0.25">
      <c r="A271" s="38"/>
      <c r="B271" s="38"/>
      <c r="C271" s="38"/>
      <c r="D271" s="366"/>
      <c r="E271" s="366"/>
      <c r="F271" s="366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9.5" customHeight="1" x14ac:dyDescent="0.25">
      <c r="A272" s="38"/>
      <c r="B272" s="38"/>
      <c r="C272" s="38"/>
      <c r="D272" s="366"/>
      <c r="E272" s="366"/>
      <c r="F272" s="366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9.5" customHeight="1" x14ac:dyDescent="0.25">
      <c r="A273" s="38"/>
      <c r="B273" s="38"/>
      <c r="C273" s="38"/>
      <c r="D273" s="366"/>
      <c r="E273" s="366"/>
      <c r="F273" s="366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9.5" customHeight="1" x14ac:dyDescent="0.25">
      <c r="A274" s="38"/>
      <c r="B274" s="38"/>
      <c r="C274" s="38"/>
      <c r="D274" s="366"/>
      <c r="E274" s="366"/>
      <c r="F274" s="366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9.5" customHeight="1" x14ac:dyDescent="0.25">
      <c r="A275" s="38"/>
      <c r="B275" s="38"/>
      <c r="C275" s="38"/>
      <c r="D275" s="366"/>
      <c r="E275" s="366"/>
      <c r="F275" s="366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9.5" customHeight="1" x14ac:dyDescent="0.25">
      <c r="A276" s="38"/>
      <c r="B276" s="38"/>
      <c r="C276" s="38"/>
      <c r="D276" s="366"/>
      <c r="E276" s="366"/>
      <c r="F276" s="366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9.5" customHeight="1" x14ac:dyDescent="0.25">
      <c r="A277" s="38"/>
      <c r="B277" s="38"/>
      <c r="C277" s="38"/>
      <c r="D277" s="366"/>
      <c r="E277" s="366"/>
      <c r="F277" s="366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9.5" customHeight="1" x14ac:dyDescent="0.25">
      <c r="A278" s="38"/>
      <c r="B278" s="38"/>
      <c r="C278" s="38"/>
      <c r="D278" s="366"/>
      <c r="E278" s="366"/>
      <c r="F278" s="366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9.5" customHeight="1" x14ac:dyDescent="0.25">
      <c r="A279" s="38"/>
      <c r="B279" s="38"/>
      <c r="C279" s="38"/>
      <c r="D279" s="366"/>
      <c r="E279" s="366"/>
      <c r="F279" s="366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9.5" customHeight="1" x14ac:dyDescent="0.25">
      <c r="A280" s="38"/>
      <c r="B280" s="38"/>
      <c r="C280" s="38"/>
      <c r="D280" s="366"/>
      <c r="E280" s="366"/>
      <c r="F280" s="366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9.5" customHeight="1" x14ac:dyDescent="0.25">
      <c r="A281" s="38"/>
      <c r="B281" s="38"/>
      <c r="C281" s="38"/>
      <c r="D281" s="366"/>
      <c r="E281" s="366"/>
      <c r="F281" s="366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9.5" customHeight="1" x14ac:dyDescent="0.25">
      <c r="A282" s="38"/>
      <c r="B282" s="38"/>
      <c r="C282" s="38"/>
      <c r="D282" s="366"/>
      <c r="E282" s="366"/>
      <c r="F282" s="366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9.5" customHeight="1" x14ac:dyDescent="0.25">
      <c r="A283" s="38"/>
      <c r="B283" s="38"/>
      <c r="C283" s="38"/>
      <c r="D283" s="366"/>
      <c r="E283" s="366"/>
      <c r="F283" s="366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9.5" customHeight="1" x14ac:dyDescent="0.25">
      <c r="A284" s="38"/>
      <c r="B284" s="38"/>
      <c r="C284" s="38"/>
      <c r="D284" s="366"/>
      <c r="E284" s="366"/>
      <c r="F284" s="366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9.5" customHeight="1" x14ac:dyDescent="0.25">
      <c r="A285" s="38"/>
      <c r="B285" s="38"/>
      <c r="C285" s="38"/>
      <c r="D285" s="366"/>
      <c r="E285" s="366"/>
      <c r="F285" s="366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9.5" customHeight="1" x14ac:dyDescent="0.25">
      <c r="A286" s="38"/>
      <c r="B286" s="38"/>
      <c r="C286" s="38"/>
      <c r="D286" s="366"/>
      <c r="E286" s="366"/>
      <c r="F286" s="366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9.5" customHeight="1" x14ac:dyDescent="0.25">
      <c r="A287" s="38"/>
      <c r="B287" s="38"/>
      <c r="C287" s="38"/>
      <c r="D287" s="366"/>
      <c r="E287" s="366"/>
      <c r="F287" s="366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9.5" customHeight="1" x14ac:dyDescent="0.25">
      <c r="A288" s="38"/>
      <c r="B288" s="38"/>
      <c r="C288" s="38"/>
      <c r="D288" s="366"/>
      <c r="E288" s="366"/>
      <c r="F288" s="366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9.5" customHeight="1" x14ac:dyDescent="0.25">
      <c r="A289" s="38"/>
      <c r="B289" s="38"/>
      <c r="C289" s="38"/>
      <c r="D289" s="366"/>
      <c r="E289" s="366"/>
      <c r="F289" s="366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9.5" customHeight="1" x14ac:dyDescent="0.25">
      <c r="A290" s="38"/>
      <c r="B290" s="38"/>
      <c r="C290" s="38"/>
      <c r="D290" s="366"/>
      <c r="E290" s="366"/>
      <c r="F290" s="366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9.5" customHeight="1" x14ac:dyDescent="0.25">
      <c r="A291" s="38"/>
      <c r="B291" s="38"/>
      <c r="C291" s="38"/>
      <c r="D291" s="366"/>
      <c r="E291" s="366"/>
      <c r="F291" s="366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9.5" customHeight="1" x14ac:dyDescent="0.25">
      <c r="A292" s="38"/>
      <c r="B292" s="38"/>
      <c r="C292" s="38"/>
      <c r="D292" s="366"/>
      <c r="E292" s="366"/>
      <c r="F292" s="366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9.5" customHeight="1" x14ac:dyDescent="0.25">
      <c r="A293" s="38"/>
      <c r="B293" s="38"/>
      <c r="C293" s="38"/>
      <c r="D293" s="366"/>
      <c r="E293" s="366"/>
      <c r="F293" s="366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9.5" customHeight="1" x14ac:dyDescent="0.25">
      <c r="A294" s="38"/>
      <c r="B294" s="38"/>
      <c r="C294" s="38"/>
      <c r="D294" s="366"/>
      <c r="E294" s="366"/>
      <c r="F294" s="366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9.5" customHeight="1" x14ac:dyDescent="0.25">
      <c r="A295" s="38"/>
      <c r="B295" s="38"/>
      <c r="C295" s="38"/>
      <c r="D295" s="366"/>
      <c r="E295" s="366"/>
      <c r="F295" s="366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9.5" customHeight="1" x14ac:dyDescent="0.25">
      <c r="A296" s="38"/>
      <c r="B296" s="38"/>
      <c r="C296" s="38"/>
      <c r="D296" s="366"/>
      <c r="E296" s="366"/>
      <c r="F296" s="366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9.5" customHeight="1" x14ac:dyDescent="0.25">
      <c r="A297" s="38"/>
      <c r="B297" s="38"/>
      <c r="C297" s="38"/>
      <c r="D297" s="366"/>
      <c r="E297" s="366"/>
      <c r="F297" s="366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9.5" customHeight="1" x14ac:dyDescent="0.25">
      <c r="A298" s="38"/>
      <c r="B298" s="38"/>
      <c r="C298" s="38"/>
      <c r="D298" s="366"/>
      <c r="E298" s="366"/>
      <c r="F298" s="366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9.5" customHeight="1" x14ac:dyDescent="0.25">
      <c r="A299" s="38"/>
      <c r="B299" s="38"/>
      <c r="C299" s="38"/>
      <c r="D299" s="366"/>
      <c r="E299" s="366"/>
      <c r="F299" s="366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9.5" customHeight="1" x14ac:dyDescent="0.25">
      <c r="A300" s="38"/>
      <c r="B300" s="38"/>
      <c r="C300" s="38"/>
      <c r="D300" s="366"/>
      <c r="E300" s="366"/>
      <c r="F300" s="366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9.5" customHeight="1" x14ac:dyDescent="0.25">
      <c r="A301" s="38"/>
      <c r="B301" s="38"/>
      <c r="C301" s="38"/>
      <c r="D301" s="366"/>
      <c r="E301" s="366"/>
      <c r="F301" s="366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9.5" customHeight="1" x14ac:dyDescent="0.25">
      <c r="A302" s="38"/>
      <c r="B302" s="38"/>
      <c r="C302" s="38"/>
      <c r="D302" s="366"/>
      <c r="E302" s="366"/>
      <c r="F302" s="366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9.5" customHeight="1" x14ac:dyDescent="0.25">
      <c r="A303" s="38"/>
      <c r="B303" s="38"/>
      <c r="C303" s="38"/>
      <c r="D303" s="366"/>
      <c r="E303" s="366"/>
      <c r="F303" s="366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9.5" customHeight="1" x14ac:dyDescent="0.25">
      <c r="A304" s="38"/>
      <c r="B304" s="38"/>
      <c r="C304" s="38"/>
      <c r="D304" s="366"/>
      <c r="E304" s="366"/>
      <c r="F304" s="366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9.5" customHeight="1" x14ac:dyDescent="0.25">
      <c r="A305" s="38"/>
      <c r="B305" s="38"/>
      <c r="C305" s="38"/>
      <c r="D305" s="366"/>
      <c r="E305" s="366"/>
      <c r="F305" s="366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9.5" customHeight="1" x14ac:dyDescent="0.25">
      <c r="A306" s="38"/>
      <c r="B306" s="38"/>
      <c r="C306" s="38"/>
      <c r="D306" s="366"/>
      <c r="E306" s="366"/>
      <c r="F306" s="366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9.5" customHeight="1" x14ac:dyDescent="0.25">
      <c r="A307" s="38"/>
      <c r="B307" s="38"/>
      <c r="C307" s="38"/>
      <c r="D307" s="366"/>
      <c r="E307" s="366"/>
      <c r="F307" s="366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9.5" customHeight="1" x14ac:dyDescent="0.25">
      <c r="A308" s="38"/>
      <c r="B308" s="38"/>
      <c r="C308" s="38"/>
      <c r="D308" s="366"/>
      <c r="E308" s="366"/>
      <c r="F308" s="366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9.5" customHeight="1" x14ac:dyDescent="0.25">
      <c r="A309" s="38"/>
      <c r="B309" s="38"/>
      <c r="C309" s="38"/>
      <c r="D309" s="366"/>
      <c r="E309" s="366"/>
      <c r="F309" s="366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9.5" customHeight="1" x14ac:dyDescent="0.25">
      <c r="A310" s="38"/>
      <c r="B310" s="38"/>
      <c r="C310" s="38"/>
      <c r="D310" s="366"/>
      <c r="E310" s="366"/>
      <c r="F310" s="366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9.5" customHeight="1" x14ac:dyDescent="0.25">
      <c r="A311" s="38"/>
      <c r="B311" s="38"/>
      <c r="C311" s="38"/>
      <c r="D311" s="366"/>
      <c r="E311" s="366"/>
      <c r="F311" s="366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9.5" customHeight="1" x14ac:dyDescent="0.25">
      <c r="A312" s="38"/>
      <c r="B312" s="38"/>
      <c r="C312" s="38"/>
      <c r="D312" s="366"/>
      <c r="E312" s="366"/>
      <c r="F312" s="366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9.5" customHeight="1" x14ac:dyDescent="0.25">
      <c r="A313" s="38"/>
      <c r="B313" s="38"/>
      <c r="C313" s="38"/>
      <c r="D313" s="366"/>
      <c r="E313" s="366"/>
      <c r="F313" s="366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9.5" customHeight="1" x14ac:dyDescent="0.25">
      <c r="A314" s="38"/>
      <c r="B314" s="38"/>
      <c r="C314" s="38"/>
      <c r="D314" s="366"/>
      <c r="E314" s="366"/>
      <c r="F314" s="366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9.5" customHeight="1" x14ac:dyDescent="0.25">
      <c r="A315" s="38"/>
      <c r="B315" s="38"/>
      <c r="C315" s="38"/>
      <c r="D315" s="366"/>
      <c r="E315" s="366"/>
      <c r="F315" s="366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9.5" customHeight="1" x14ac:dyDescent="0.25">
      <c r="A316" s="38"/>
      <c r="B316" s="38"/>
      <c r="C316" s="38"/>
      <c r="D316" s="366"/>
      <c r="E316" s="366"/>
      <c r="F316" s="366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9.5" customHeight="1" x14ac:dyDescent="0.25">
      <c r="A317" s="38"/>
      <c r="B317" s="38"/>
      <c r="C317" s="38"/>
      <c r="D317" s="366"/>
      <c r="E317" s="366"/>
      <c r="F317" s="366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9.5" customHeight="1" x14ac:dyDescent="0.25">
      <c r="A318" s="38"/>
      <c r="B318" s="38"/>
      <c r="C318" s="38"/>
      <c r="D318" s="366"/>
      <c r="E318" s="366"/>
      <c r="F318" s="366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9.5" customHeight="1" x14ac:dyDescent="0.25">
      <c r="A319" s="38"/>
      <c r="B319" s="38"/>
      <c r="C319" s="38"/>
      <c r="D319" s="366"/>
      <c r="E319" s="366"/>
      <c r="F319" s="366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9.5" customHeight="1" x14ac:dyDescent="0.25">
      <c r="A320" s="38"/>
      <c r="B320" s="38"/>
      <c r="C320" s="38"/>
      <c r="D320" s="366"/>
      <c r="E320" s="366"/>
      <c r="F320" s="366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9.5" customHeight="1" x14ac:dyDescent="0.25">
      <c r="A321" s="38"/>
      <c r="B321" s="38"/>
      <c r="C321" s="38"/>
      <c r="D321" s="366"/>
      <c r="E321" s="366"/>
      <c r="F321" s="366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9.5" customHeight="1" x14ac:dyDescent="0.25">
      <c r="A322" s="38"/>
      <c r="B322" s="38"/>
      <c r="C322" s="38"/>
      <c r="D322" s="366"/>
      <c r="E322" s="366"/>
      <c r="F322" s="366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9.5" customHeight="1" x14ac:dyDescent="0.25">
      <c r="A323" s="38"/>
      <c r="B323" s="38"/>
      <c r="C323" s="38"/>
      <c r="D323" s="366"/>
      <c r="E323" s="366"/>
      <c r="F323" s="366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9.5" customHeight="1" x14ac:dyDescent="0.25">
      <c r="A324" s="38"/>
      <c r="B324" s="38"/>
      <c r="C324" s="38"/>
      <c r="D324" s="366"/>
      <c r="E324" s="366"/>
      <c r="F324" s="366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9.5" customHeight="1" x14ac:dyDescent="0.25">
      <c r="A325" s="38"/>
      <c r="B325" s="38"/>
      <c r="C325" s="38"/>
      <c r="D325" s="366"/>
      <c r="E325" s="366"/>
      <c r="F325" s="366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9.5" customHeight="1" x14ac:dyDescent="0.25">
      <c r="A326" s="38"/>
      <c r="B326" s="38"/>
      <c r="C326" s="38"/>
      <c r="D326" s="366"/>
      <c r="E326" s="366"/>
      <c r="F326" s="366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9.5" customHeight="1" x14ac:dyDescent="0.25">
      <c r="A327" s="38"/>
      <c r="B327" s="38"/>
      <c r="C327" s="38"/>
      <c r="D327" s="366"/>
      <c r="E327" s="366"/>
      <c r="F327" s="366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9.5" customHeight="1" x14ac:dyDescent="0.25">
      <c r="A328" s="38"/>
      <c r="B328" s="38"/>
      <c r="C328" s="38"/>
      <c r="D328" s="366"/>
      <c r="E328" s="366"/>
      <c r="F328" s="366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9.5" customHeight="1" x14ac:dyDescent="0.25">
      <c r="A329" s="38"/>
      <c r="B329" s="38"/>
      <c r="C329" s="38"/>
      <c r="D329" s="366"/>
      <c r="E329" s="366"/>
      <c r="F329" s="366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9.5" customHeight="1" x14ac:dyDescent="0.25">
      <c r="A330" s="38"/>
      <c r="B330" s="38"/>
      <c r="C330" s="38"/>
      <c r="D330" s="366"/>
      <c r="E330" s="366"/>
      <c r="F330" s="366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9.5" customHeight="1" x14ac:dyDescent="0.25">
      <c r="A331" s="38"/>
      <c r="B331" s="38"/>
      <c r="C331" s="38"/>
      <c r="D331" s="366"/>
      <c r="E331" s="366"/>
      <c r="F331" s="366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9.5" customHeight="1" x14ac:dyDescent="0.25">
      <c r="A332" s="38"/>
      <c r="B332" s="38"/>
      <c r="C332" s="38"/>
      <c r="D332" s="366"/>
      <c r="E332" s="366"/>
      <c r="F332" s="366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9.5" customHeight="1" x14ac:dyDescent="0.25">
      <c r="A333" s="38"/>
      <c r="B333" s="38"/>
      <c r="C333" s="38"/>
      <c r="D333" s="366"/>
      <c r="E333" s="366"/>
      <c r="F333" s="366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9.5" customHeight="1" x14ac:dyDescent="0.25">
      <c r="A334" s="38"/>
      <c r="B334" s="38"/>
      <c r="C334" s="38"/>
      <c r="D334" s="366"/>
      <c r="E334" s="366"/>
      <c r="F334" s="366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9.5" customHeight="1" x14ac:dyDescent="0.25">
      <c r="A335" s="38"/>
      <c r="B335" s="38"/>
      <c r="C335" s="38"/>
      <c r="D335" s="366"/>
      <c r="E335" s="366"/>
      <c r="F335" s="366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9.5" customHeight="1" x14ac:dyDescent="0.25">
      <c r="A336" s="38"/>
      <c r="B336" s="38"/>
      <c r="C336" s="38"/>
      <c r="D336" s="366"/>
      <c r="E336" s="366"/>
      <c r="F336" s="366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9.5" customHeight="1" x14ac:dyDescent="0.25">
      <c r="A337" s="38"/>
      <c r="B337" s="38"/>
      <c r="C337" s="38"/>
      <c r="D337" s="366"/>
      <c r="E337" s="366"/>
      <c r="F337" s="366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9.5" customHeight="1" x14ac:dyDescent="0.25">
      <c r="A338" s="38"/>
      <c r="B338" s="38"/>
      <c r="C338" s="38"/>
      <c r="D338" s="366"/>
      <c r="E338" s="366"/>
      <c r="F338" s="366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9.5" customHeight="1" x14ac:dyDescent="0.25">
      <c r="A339" s="38"/>
      <c r="B339" s="38"/>
      <c r="C339" s="38"/>
      <c r="D339" s="366"/>
      <c r="E339" s="366"/>
      <c r="F339" s="366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9.5" customHeight="1" x14ac:dyDescent="0.25">
      <c r="A340" s="38"/>
      <c r="B340" s="38"/>
      <c r="C340" s="38"/>
      <c r="D340" s="366"/>
      <c r="E340" s="366"/>
      <c r="F340" s="366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9.5" customHeight="1" x14ac:dyDescent="0.25">
      <c r="A341" s="38"/>
      <c r="B341" s="38"/>
      <c r="C341" s="38"/>
      <c r="D341" s="366"/>
      <c r="E341" s="366"/>
      <c r="F341" s="366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9.5" customHeight="1" x14ac:dyDescent="0.25">
      <c r="A342" s="38"/>
      <c r="B342" s="38"/>
      <c r="C342" s="38"/>
      <c r="D342" s="366"/>
      <c r="E342" s="366"/>
      <c r="F342" s="366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9.5" customHeight="1" x14ac:dyDescent="0.25">
      <c r="A343" s="38"/>
      <c r="B343" s="38"/>
      <c r="C343" s="38"/>
      <c r="D343" s="366"/>
      <c r="E343" s="366"/>
      <c r="F343" s="366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9.5" customHeight="1" x14ac:dyDescent="0.25">
      <c r="A344" s="38"/>
      <c r="B344" s="38"/>
      <c r="C344" s="38"/>
      <c r="D344" s="366"/>
      <c r="E344" s="366"/>
      <c r="F344" s="366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9.5" customHeight="1" x14ac:dyDescent="0.25">
      <c r="A345" s="38"/>
      <c r="B345" s="38"/>
      <c r="C345" s="38"/>
      <c r="D345" s="366"/>
      <c r="E345" s="366"/>
      <c r="F345" s="366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9.5" customHeight="1" x14ac:dyDescent="0.25">
      <c r="A346" s="38"/>
      <c r="B346" s="38"/>
      <c r="C346" s="38"/>
      <c r="D346" s="366"/>
      <c r="E346" s="366"/>
      <c r="F346" s="366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9.5" customHeight="1" x14ac:dyDescent="0.25">
      <c r="A347" s="38"/>
      <c r="B347" s="38"/>
      <c r="C347" s="38"/>
      <c r="D347" s="366"/>
      <c r="E347" s="366"/>
      <c r="F347" s="366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9.5" customHeight="1" x14ac:dyDescent="0.25">
      <c r="A348" s="38"/>
      <c r="B348" s="38"/>
      <c r="C348" s="38"/>
      <c r="D348" s="366"/>
      <c r="E348" s="366"/>
      <c r="F348" s="366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9.5" customHeight="1" x14ac:dyDescent="0.25">
      <c r="A349" s="38"/>
      <c r="B349" s="38"/>
      <c r="C349" s="38"/>
      <c r="D349" s="366"/>
      <c r="E349" s="366"/>
      <c r="F349" s="366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9.5" customHeight="1" x14ac:dyDescent="0.25">
      <c r="A350" s="38"/>
      <c r="B350" s="38"/>
      <c r="C350" s="38"/>
      <c r="D350" s="366"/>
      <c r="E350" s="366"/>
      <c r="F350" s="366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9.5" customHeight="1" x14ac:dyDescent="0.25">
      <c r="A351" s="38"/>
      <c r="B351" s="38"/>
      <c r="C351" s="38"/>
      <c r="D351" s="366"/>
      <c r="E351" s="366"/>
      <c r="F351" s="366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9.5" customHeight="1" x14ac:dyDescent="0.25">
      <c r="A352" s="38"/>
      <c r="B352" s="38"/>
      <c r="C352" s="38"/>
      <c r="D352" s="366"/>
      <c r="E352" s="366"/>
      <c r="F352" s="366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9.5" customHeight="1" x14ac:dyDescent="0.25">
      <c r="A353" s="38"/>
      <c r="B353" s="38"/>
      <c r="C353" s="38"/>
      <c r="D353" s="366"/>
      <c r="E353" s="366"/>
      <c r="F353" s="366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9.5" customHeight="1" x14ac:dyDescent="0.25">
      <c r="A354" s="38"/>
      <c r="B354" s="38"/>
      <c r="C354" s="38"/>
      <c r="D354" s="366"/>
      <c r="E354" s="366"/>
      <c r="F354" s="366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9.5" customHeight="1" x14ac:dyDescent="0.25">
      <c r="A355" s="38"/>
      <c r="B355" s="38"/>
      <c r="C355" s="38"/>
      <c r="D355" s="366"/>
      <c r="E355" s="366"/>
      <c r="F355" s="366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9.5" customHeight="1" x14ac:dyDescent="0.25">
      <c r="A356" s="38"/>
      <c r="B356" s="38"/>
      <c r="C356" s="38"/>
      <c r="D356" s="366"/>
      <c r="E356" s="366"/>
      <c r="F356" s="366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9.5" customHeight="1" x14ac:dyDescent="0.25">
      <c r="A357" s="38"/>
      <c r="B357" s="38"/>
      <c r="C357" s="38"/>
      <c r="D357" s="366"/>
      <c r="E357" s="366"/>
      <c r="F357" s="366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9.5" customHeight="1" x14ac:dyDescent="0.25">
      <c r="A358" s="38"/>
      <c r="B358" s="38"/>
      <c r="C358" s="38"/>
      <c r="D358" s="366"/>
      <c r="E358" s="366"/>
      <c r="F358" s="366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9.5" customHeight="1" x14ac:dyDescent="0.25">
      <c r="A359" s="38"/>
      <c r="B359" s="38"/>
      <c r="C359" s="38"/>
      <c r="D359" s="366"/>
      <c r="E359" s="366"/>
      <c r="F359" s="366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9.5" customHeight="1" x14ac:dyDescent="0.25">
      <c r="A360" s="38"/>
      <c r="B360" s="38"/>
      <c r="C360" s="38"/>
      <c r="D360" s="366"/>
      <c r="E360" s="366"/>
      <c r="F360" s="366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9.5" customHeight="1" x14ac:dyDescent="0.25">
      <c r="A361" s="38"/>
      <c r="B361" s="38"/>
      <c r="C361" s="38"/>
      <c r="D361" s="366"/>
      <c r="E361" s="366"/>
      <c r="F361" s="366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9.5" customHeight="1" x14ac:dyDescent="0.25">
      <c r="A362" s="38"/>
      <c r="B362" s="38"/>
      <c r="C362" s="38"/>
      <c r="D362" s="366"/>
      <c r="E362" s="366"/>
      <c r="F362" s="366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9.5" customHeight="1" x14ac:dyDescent="0.25">
      <c r="A363" s="38"/>
      <c r="B363" s="38"/>
      <c r="C363" s="38"/>
      <c r="D363" s="366"/>
      <c r="E363" s="366"/>
      <c r="F363" s="366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9.5" customHeight="1" x14ac:dyDescent="0.25">
      <c r="A364" s="38"/>
      <c r="B364" s="38"/>
      <c r="C364" s="38"/>
      <c r="D364" s="366"/>
      <c r="E364" s="366"/>
      <c r="F364" s="366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9.5" customHeight="1" x14ac:dyDescent="0.25">
      <c r="A365" s="38"/>
      <c r="B365" s="38"/>
      <c r="C365" s="38"/>
      <c r="D365" s="366"/>
      <c r="E365" s="366"/>
      <c r="F365" s="366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9.5" customHeight="1" x14ac:dyDescent="0.25">
      <c r="A366" s="38"/>
      <c r="B366" s="38"/>
      <c r="C366" s="38"/>
      <c r="D366" s="366"/>
      <c r="E366" s="366"/>
      <c r="F366" s="366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9.5" customHeight="1" x14ac:dyDescent="0.25">
      <c r="A367" s="38"/>
      <c r="B367" s="38"/>
      <c r="C367" s="38"/>
      <c r="D367" s="366"/>
      <c r="E367" s="366"/>
      <c r="F367" s="366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9.5" customHeight="1" x14ac:dyDescent="0.25">
      <c r="A368" s="38"/>
      <c r="B368" s="38"/>
      <c r="C368" s="38"/>
      <c r="D368" s="366"/>
      <c r="E368" s="366"/>
      <c r="F368" s="366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9.5" customHeight="1" x14ac:dyDescent="0.25">
      <c r="A369" s="38"/>
      <c r="B369" s="38"/>
      <c r="C369" s="38"/>
      <c r="D369" s="366"/>
      <c r="E369" s="366"/>
      <c r="F369" s="366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9.5" customHeight="1" x14ac:dyDescent="0.25">
      <c r="A370" s="38"/>
      <c r="B370" s="38"/>
      <c r="C370" s="38"/>
      <c r="D370" s="366"/>
      <c r="E370" s="366"/>
      <c r="F370" s="366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9.5" customHeight="1" x14ac:dyDescent="0.25">
      <c r="A371" s="38"/>
      <c r="B371" s="38"/>
      <c r="C371" s="38"/>
      <c r="D371" s="366"/>
      <c r="E371" s="366"/>
      <c r="F371" s="366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9.5" customHeight="1" x14ac:dyDescent="0.25">
      <c r="A372" s="38"/>
      <c r="B372" s="38"/>
      <c r="C372" s="38"/>
      <c r="D372" s="366"/>
      <c r="E372" s="366"/>
      <c r="F372" s="366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9.5" customHeight="1" x14ac:dyDescent="0.25">
      <c r="A373" s="38"/>
      <c r="B373" s="38"/>
      <c r="C373" s="38"/>
      <c r="D373" s="366"/>
      <c r="E373" s="366"/>
      <c r="F373" s="366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9.5" customHeight="1" x14ac:dyDescent="0.25">
      <c r="A374" s="38"/>
      <c r="B374" s="38"/>
      <c r="C374" s="38"/>
      <c r="D374" s="366"/>
      <c r="E374" s="366"/>
      <c r="F374" s="366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9.5" customHeight="1" x14ac:dyDescent="0.25">
      <c r="A375" s="38"/>
      <c r="B375" s="38"/>
      <c r="C375" s="38"/>
      <c r="D375" s="366"/>
      <c r="E375" s="366"/>
      <c r="F375" s="366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9.5" customHeight="1" x14ac:dyDescent="0.25">
      <c r="A376" s="38"/>
      <c r="B376" s="38"/>
      <c r="C376" s="38"/>
      <c r="D376" s="366"/>
      <c r="E376" s="366"/>
      <c r="F376" s="366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9.5" customHeight="1" x14ac:dyDescent="0.25">
      <c r="A377" s="38"/>
      <c r="B377" s="38"/>
      <c r="C377" s="38"/>
      <c r="D377" s="366"/>
      <c r="E377" s="366"/>
      <c r="F377" s="366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9.5" customHeight="1" x14ac:dyDescent="0.25">
      <c r="A378" s="38"/>
      <c r="B378" s="38"/>
      <c r="C378" s="38"/>
      <c r="D378" s="366"/>
      <c r="E378" s="366"/>
      <c r="F378" s="366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9.5" customHeight="1" x14ac:dyDescent="0.25">
      <c r="A379" s="38"/>
      <c r="B379" s="38"/>
      <c r="C379" s="38"/>
      <c r="D379" s="366"/>
      <c r="E379" s="366"/>
      <c r="F379" s="366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9.5" customHeight="1" x14ac:dyDescent="0.25">
      <c r="A380" s="38"/>
      <c r="B380" s="38"/>
      <c r="C380" s="38"/>
      <c r="D380" s="366"/>
      <c r="E380" s="366"/>
      <c r="F380" s="366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9.5" customHeight="1" x14ac:dyDescent="0.25">
      <c r="A381" s="38"/>
      <c r="B381" s="38"/>
      <c r="C381" s="38"/>
      <c r="D381" s="366"/>
      <c r="E381" s="366"/>
      <c r="F381" s="366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9.5" customHeight="1" x14ac:dyDescent="0.25">
      <c r="A382" s="38"/>
      <c r="B382" s="38"/>
      <c r="C382" s="38"/>
      <c r="D382" s="366"/>
      <c r="E382" s="366"/>
      <c r="F382" s="366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9.5" customHeight="1" x14ac:dyDescent="0.25">
      <c r="A383" s="38"/>
      <c r="B383" s="38"/>
      <c r="C383" s="38"/>
      <c r="D383" s="366"/>
      <c r="E383" s="366"/>
      <c r="F383" s="366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9.5" customHeight="1" x14ac:dyDescent="0.25">
      <c r="A384" s="38"/>
      <c r="B384" s="38"/>
      <c r="C384" s="38"/>
      <c r="D384" s="366"/>
      <c r="E384" s="366"/>
      <c r="F384" s="366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9.5" customHeight="1" x14ac:dyDescent="0.25">
      <c r="A385" s="38"/>
      <c r="B385" s="38"/>
      <c r="C385" s="38"/>
      <c r="D385" s="366"/>
      <c r="E385" s="366"/>
      <c r="F385" s="366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9.5" customHeight="1" x14ac:dyDescent="0.25">
      <c r="A386" s="38"/>
      <c r="B386" s="38"/>
      <c r="C386" s="38"/>
      <c r="D386" s="366"/>
      <c r="E386" s="366"/>
      <c r="F386" s="366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9.5" customHeight="1" x14ac:dyDescent="0.25">
      <c r="A387" s="38"/>
      <c r="B387" s="38"/>
      <c r="C387" s="38"/>
      <c r="D387" s="366"/>
      <c r="E387" s="366"/>
      <c r="F387" s="366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9.5" customHeight="1" x14ac:dyDescent="0.25">
      <c r="A388" s="38"/>
      <c r="B388" s="38"/>
      <c r="C388" s="38"/>
      <c r="D388" s="366"/>
      <c r="E388" s="366"/>
      <c r="F388" s="366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9.5" customHeight="1" x14ac:dyDescent="0.25">
      <c r="A389" s="38"/>
      <c r="B389" s="38"/>
      <c r="C389" s="38"/>
      <c r="D389" s="366"/>
      <c r="E389" s="366"/>
      <c r="F389" s="366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9.5" customHeight="1" x14ac:dyDescent="0.25">
      <c r="A390" s="38"/>
      <c r="B390" s="38"/>
      <c r="C390" s="38"/>
      <c r="D390" s="366"/>
      <c r="E390" s="366"/>
      <c r="F390" s="366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9.5" customHeight="1" x14ac:dyDescent="0.25">
      <c r="A391" s="38"/>
      <c r="B391" s="38"/>
      <c r="C391" s="38"/>
      <c r="D391" s="366"/>
      <c r="E391" s="366"/>
      <c r="F391" s="366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9.5" customHeight="1" x14ac:dyDescent="0.25">
      <c r="A392" s="38"/>
      <c r="B392" s="38"/>
      <c r="C392" s="38"/>
      <c r="D392" s="366"/>
      <c r="E392" s="366"/>
      <c r="F392" s="366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9.5" customHeight="1" x14ac:dyDescent="0.25">
      <c r="A393" s="38"/>
      <c r="B393" s="38"/>
      <c r="C393" s="38"/>
      <c r="D393" s="366"/>
      <c r="E393" s="366"/>
      <c r="F393" s="366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9.5" customHeight="1" x14ac:dyDescent="0.25">
      <c r="A394" s="38"/>
      <c r="B394" s="38"/>
      <c r="C394" s="38"/>
      <c r="D394" s="366"/>
      <c r="E394" s="366"/>
      <c r="F394" s="366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9.5" customHeight="1" x14ac:dyDescent="0.25">
      <c r="A395" s="38"/>
      <c r="B395" s="38"/>
      <c r="C395" s="38"/>
      <c r="D395" s="366"/>
      <c r="E395" s="366"/>
      <c r="F395" s="366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9.5" customHeight="1" x14ac:dyDescent="0.25">
      <c r="A396" s="38"/>
      <c r="B396" s="38"/>
      <c r="C396" s="38"/>
      <c r="D396" s="366"/>
      <c r="E396" s="366"/>
      <c r="F396" s="366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9.5" customHeight="1" x14ac:dyDescent="0.25">
      <c r="A397" s="38"/>
      <c r="B397" s="38"/>
      <c r="C397" s="38"/>
      <c r="D397" s="366"/>
      <c r="E397" s="366"/>
      <c r="F397" s="366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9.5" customHeight="1" x14ac:dyDescent="0.25">
      <c r="A398" s="38"/>
      <c r="B398" s="38"/>
      <c r="C398" s="38"/>
      <c r="D398" s="366"/>
      <c r="E398" s="366"/>
      <c r="F398" s="366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9.5" customHeight="1" x14ac:dyDescent="0.25">
      <c r="A399" s="38"/>
      <c r="B399" s="38"/>
      <c r="C399" s="38"/>
      <c r="D399" s="366"/>
      <c r="E399" s="366"/>
      <c r="F399" s="366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9.5" customHeight="1" x14ac:dyDescent="0.25">
      <c r="A400" s="38"/>
      <c r="B400" s="38"/>
      <c r="C400" s="38"/>
      <c r="D400" s="366"/>
      <c r="E400" s="366"/>
      <c r="F400" s="366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9.5" customHeight="1" x14ac:dyDescent="0.25">
      <c r="A401" s="38"/>
      <c r="B401" s="38"/>
      <c r="C401" s="38"/>
      <c r="D401" s="366"/>
      <c r="E401" s="366"/>
      <c r="F401" s="366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9.5" customHeight="1" x14ac:dyDescent="0.25">
      <c r="A402" s="38"/>
      <c r="B402" s="38"/>
      <c r="C402" s="38"/>
      <c r="D402" s="366"/>
      <c r="E402" s="366"/>
      <c r="F402" s="366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9.5" customHeight="1" x14ac:dyDescent="0.25">
      <c r="A403" s="38"/>
      <c r="B403" s="38"/>
      <c r="C403" s="38"/>
      <c r="D403" s="366"/>
      <c r="E403" s="366"/>
      <c r="F403" s="366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9.5" customHeight="1" x14ac:dyDescent="0.25">
      <c r="A404" s="38"/>
      <c r="B404" s="38"/>
      <c r="C404" s="38"/>
      <c r="D404" s="366"/>
      <c r="E404" s="366"/>
      <c r="F404" s="366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9.5" customHeight="1" x14ac:dyDescent="0.25">
      <c r="A405" s="38"/>
      <c r="B405" s="38"/>
      <c r="C405" s="38"/>
      <c r="D405" s="366"/>
      <c r="E405" s="366"/>
      <c r="F405" s="366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9.5" customHeight="1" x14ac:dyDescent="0.25">
      <c r="A406" s="38"/>
      <c r="B406" s="38"/>
      <c r="C406" s="38"/>
      <c r="D406" s="366"/>
      <c r="E406" s="366"/>
      <c r="F406" s="366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9.5" customHeight="1" x14ac:dyDescent="0.25">
      <c r="A407" s="38"/>
      <c r="B407" s="38"/>
      <c r="C407" s="38"/>
      <c r="D407" s="366"/>
      <c r="E407" s="366"/>
      <c r="F407" s="366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9.5" customHeight="1" x14ac:dyDescent="0.25">
      <c r="A408" s="38"/>
      <c r="B408" s="38"/>
      <c r="C408" s="38"/>
      <c r="D408" s="366"/>
      <c r="E408" s="366"/>
      <c r="F408" s="366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9.5" customHeight="1" x14ac:dyDescent="0.25">
      <c r="A409" s="38"/>
      <c r="B409" s="38"/>
      <c r="C409" s="38"/>
      <c r="D409" s="366"/>
      <c r="E409" s="366"/>
      <c r="F409" s="366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9.5" customHeight="1" x14ac:dyDescent="0.25">
      <c r="A410" s="38"/>
      <c r="B410" s="38"/>
      <c r="C410" s="38"/>
      <c r="D410" s="366"/>
      <c r="E410" s="366"/>
      <c r="F410" s="366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9.5" customHeight="1" x14ac:dyDescent="0.25">
      <c r="A411" s="38"/>
      <c r="B411" s="38"/>
      <c r="C411" s="38"/>
      <c r="D411" s="366"/>
      <c r="E411" s="366"/>
      <c r="F411" s="366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9.5" customHeight="1" x14ac:dyDescent="0.25">
      <c r="A412" s="38"/>
      <c r="B412" s="38"/>
      <c r="C412" s="38"/>
      <c r="D412" s="366"/>
      <c r="E412" s="366"/>
      <c r="F412" s="366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9.5" customHeight="1" x14ac:dyDescent="0.25">
      <c r="A413" s="38"/>
      <c r="B413" s="38"/>
      <c r="C413" s="38"/>
      <c r="D413" s="366"/>
      <c r="E413" s="366"/>
      <c r="F413" s="366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9.5" customHeight="1" x14ac:dyDescent="0.25">
      <c r="A414" s="38"/>
      <c r="B414" s="38"/>
      <c r="C414" s="38"/>
      <c r="D414" s="366"/>
      <c r="E414" s="366"/>
      <c r="F414" s="366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9.5" customHeight="1" x14ac:dyDescent="0.25">
      <c r="A415" s="38"/>
      <c r="B415" s="38"/>
      <c r="C415" s="38"/>
      <c r="D415" s="366"/>
      <c r="E415" s="366"/>
      <c r="F415" s="366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9.5" customHeight="1" x14ac:dyDescent="0.25">
      <c r="A416" s="38"/>
      <c r="B416" s="38"/>
      <c r="C416" s="38"/>
      <c r="D416" s="366"/>
      <c r="E416" s="366"/>
      <c r="F416" s="366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9.5" customHeight="1" x14ac:dyDescent="0.25">
      <c r="A417" s="38"/>
      <c r="B417" s="38"/>
      <c r="C417" s="38"/>
      <c r="D417" s="366"/>
      <c r="E417" s="366"/>
      <c r="F417" s="366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9.5" customHeight="1" x14ac:dyDescent="0.25">
      <c r="A418" s="38"/>
      <c r="B418" s="38"/>
      <c r="C418" s="38"/>
      <c r="D418" s="366"/>
      <c r="E418" s="366"/>
      <c r="F418" s="366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9.5" customHeight="1" x14ac:dyDescent="0.25">
      <c r="A419" s="38"/>
      <c r="B419" s="38"/>
      <c r="C419" s="38"/>
      <c r="D419" s="366"/>
      <c r="E419" s="366"/>
      <c r="F419" s="366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9.5" customHeight="1" x14ac:dyDescent="0.25">
      <c r="A420" s="38"/>
      <c r="B420" s="38"/>
      <c r="C420" s="38"/>
      <c r="D420" s="366"/>
      <c r="E420" s="366"/>
      <c r="F420" s="366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9.5" customHeight="1" x14ac:dyDescent="0.25">
      <c r="A421" s="38"/>
      <c r="B421" s="38"/>
      <c r="C421" s="38"/>
      <c r="D421" s="366"/>
      <c r="E421" s="366"/>
      <c r="F421" s="366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9.5" customHeight="1" x14ac:dyDescent="0.25">
      <c r="A422" s="38"/>
      <c r="B422" s="38"/>
      <c r="C422" s="38"/>
      <c r="D422" s="366"/>
      <c r="E422" s="366"/>
      <c r="F422" s="366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9.5" customHeight="1" x14ac:dyDescent="0.25">
      <c r="A423" s="38"/>
      <c r="B423" s="38"/>
      <c r="C423" s="38"/>
      <c r="D423" s="366"/>
      <c r="E423" s="366"/>
      <c r="F423" s="366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9.5" customHeight="1" x14ac:dyDescent="0.25">
      <c r="A424" s="38"/>
      <c r="B424" s="38"/>
      <c r="C424" s="38"/>
      <c r="D424" s="366"/>
      <c r="E424" s="366"/>
      <c r="F424" s="366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9.5" customHeight="1" x14ac:dyDescent="0.25">
      <c r="A425" s="38"/>
      <c r="B425" s="38"/>
      <c r="C425" s="38"/>
      <c r="D425" s="366"/>
      <c r="E425" s="366"/>
      <c r="F425" s="366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9.5" customHeight="1" x14ac:dyDescent="0.25">
      <c r="A426" s="38"/>
      <c r="B426" s="38"/>
      <c r="C426" s="38"/>
      <c r="D426" s="366"/>
      <c r="E426" s="366"/>
      <c r="F426" s="366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9.5" customHeight="1" x14ac:dyDescent="0.25">
      <c r="A427" s="38"/>
      <c r="B427" s="38"/>
      <c r="C427" s="38"/>
      <c r="D427" s="366"/>
      <c r="E427" s="366"/>
      <c r="F427" s="366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9.5" customHeight="1" x14ac:dyDescent="0.25">
      <c r="A428" s="38"/>
      <c r="B428" s="38"/>
      <c r="C428" s="38"/>
      <c r="D428" s="366"/>
      <c r="E428" s="366"/>
      <c r="F428" s="366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9.5" customHeight="1" x14ac:dyDescent="0.25">
      <c r="A429" s="38"/>
      <c r="B429" s="38"/>
      <c r="C429" s="38"/>
      <c r="D429" s="366"/>
      <c r="E429" s="366"/>
      <c r="F429" s="366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9.5" customHeight="1" x14ac:dyDescent="0.25">
      <c r="A430" s="38"/>
      <c r="B430" s="38"/>
      <c r="C430" s="38"/>
      <c r="D430" s="366"/>
      <c r="E430" s="366"/>
      <c r="F430" s="366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9.5" customHeight="1" x14ac:dyDescent="0.25">
      <c r="A431" s="38"/>
      <c r="B431" s="38"/>
      <c r="C431" s="38"/>
      <c r="D431" s="366"/>
      <c r="E431" s="366"/>
      <c r="F431" s="366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9.5" customHeight="1" x14ac:dyDescent="0.25">
      <c r="A432" s="38"/>
      <c r="B432" s="38"/>
      <c r="C432" s="38"/>
      <c r="D432" s="366"/>
      <c r="E432" s="366"/>
      <c r="F432" s="366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9.5" customHeight="1" x14ac:dyDescent="0.25">
      <c r="A433" s="38"/>
      <c r="B433" s="38"/>
      <c r="C433" s="38"/>
      <c r="D433" s="366"/>
      <c r="E433" s="366"/>
      <c r="F433" s="366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9.5" customHeight="1" x14ac:dyDescent="0.25">
      <c r="A434" s="38"/>
      <c r="B434" s="38"/>
      <c r="C434" s="38"/>
      <c r="D434" s="366"/>
      <c r="E434" s="366"/>
      <c r="F434" s="366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9.5" customHeight="1" x14ac:dyDescent="0.25">
      <c r="A435" s="38"/>
      <c r="B435" s="38"/>
      <c r="C435" s="38"/>
      <c r="D435" s="366"/>
      <c r="E435" s="366"/>
      <c r="F435" s="366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9.5" customHeight="1" x14ac:dyDescent="0.25">
      <c r="A436" s="38"/>
      <c r="B436" s="38"/>
      <c r="C436" s="38"/>
      <c r="D436" s="366"/>
      <c r="E436" s="366"/>
      <c r="F436" s="366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9.5" customHeight="1" x14ac:dyDescent="0.25">
      <c r="A437" s="38"/>
      <c r="B437" s="38"/>
      <c r="C437" s="38"/>
      <c r="D437" s="366"/>
      <c r="E437" s="366"/>
      <c r="F437" s="366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9.5" customHeight="1" x14ac:dyDescent="0.25">
      <c r="A438" s="38"/>
      <c r="B438" s="38"/>
      <c r="C438" s="38"/>
      <c r="D438" s="366"/>
      <c r="E438" s="366"/>
      <c r="F438" s="366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9.5" customHeight="1" x14ac:dyDescent="0.25">
      <c r="A439" s="38"/>
      <c r="B439" s="38"/>
      <c r="C439" s="38"/>
      <c r="D439" s="366"/>
      <c r="E439" s="366"/>
      <c r="F439" s="366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9.5" customHeight="1" x14ac:dyDescent="0.25">
      <c r="A440" s="38"/>
      <c r="B440" s="38"/>
      <c r="C440" s="38"/>
      <c r="D440" s="366"/>
      <c r="E440" s="366"/>
      <c r="F440" s="366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9.5" customHeight="1" x14ac:dyDescent="0.25">
      <c r="A441" s="38"/>
      <c r="B441" s="38"/>
      <c r="C441" s="38"/>
      <c r="D441" s="366"/>
      <c r="E441" s="366"/>
      <c r="F441" s="366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9.5" customHeight="1" x14ac:dyDescent="0.25">
      <c r="A442" s="38"/>
      <c r="B442" s="38"/>
      <c r="C442" s="38"/>
      <c r="D442" s="366"/>
      <c r="E442" s="366"/>
      <c r="F442" s="366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9.5" customHeight="1" x14ac:dyDescent="0.25">
      <c r="A443" s="38"/>
      <c r="B443" s="38"/>
      <c r="C443" s="38"/>
      <c r="D443" s="366"/>
      <c r="E443" s="366"/>
      <c r="F443" s="366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9.5" customHeight="1" x14ac:dyDescent="0.25">
      <c r="A444" s="38"/>
      <c r="B444" s="38"/>
      <c r="C444" s="38"/>
      <c r="D444" s="366"/>
      <c r="E444" s="366"/>
      <c r="F444" s="366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9.5" customHeight="1" x14ac:dyDescent="0.25">
      <c r="A445" s="38"/>
      <c r="B445" s="38"/>
      <c r="C445" s="38"/>
      <c r="D445" s="366"/>
      <c r="E445" s="366"/>
      <c r="F445" s="366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9.5" customHeight="1" x14ac:dyDescent="0.25">
      <c r="A446" s="38"/>
      <c r="B446" s="38"/>
      <c r="C446" s="38"/>
      <c r="D446" s="366"/>
      <c r="E446" s="366"/>
      <c r="F446" s="366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9.5" customHeight="1" x14ac:dyDescent="0.25">
      <c r="A447" s="38"/>
      <c r="B447" s="38"/>
      <c r="C447" s="38"/>
      <c r="D447" s="366"/>
      <c r="E447" s="366"/>
      <c r="F447" s="366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9.5" customHeight="1" x14ac:dyDescent="0.25">
      <c r="A448" s="38"/>
      <c r="B448" s="38"/>
      <c r="C448" s="38"/>
      <c r="D448" s="366"/>
      <c r="E448" s="366"/>
      <c r="F448" s="366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9.5" customHeight="1" x14ac:dyDescent="0.25">
      <c r="A449" s="38"/>
      <c r="B449" s="38"/>
      <c r="C449" s="38"/>
      <c r="D449" s="366"/>
      <c r="E449" s="366"/>
      <c r="F449" s="366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9.5" customHeight="1" x14ac:dyDescent="0.25">
      <c r="A450" s="38"/>
      <c r="B450" s="38"/>
      <c r="C450" s="38"/>
      <c r="D450" s="366"/>
      <c r="E450" s="366"/>
      <c r="F450" s="366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9.5" customHeight="1" x14ac:dyDescent="0.25">
      <c r="A451" s="38"/>
      <c r="B451" s="38"/>
      <c r="C451" s="38"/>
      <c r="D451" s="366"/>
      <c r="E451" s="366"/>
      <c r="F451" s="366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9.5" customHeight="1" x14ac:dyDescent="0.25">
      <c r="A452" s="38"/>
      <c r="B452" s="38"/>
      <c r="C452" s="38"/>
      <c r="D452" s="366"/>
      <c r="E452" s="366"/>
      <c r="F452" s="366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9.5" customHeight="1" x14ac:dyDescent="0.25">
      <c r="A453" s="38"/>
      <c r="B453" s="38"/>
      <c r="C453" s="38"/>
      <c r="D453" s="366"/>
      <c r="E453" s="366"/>
      <c r="F453" s="366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9.5" customHeight="1" x14ac:dyDescent="0.25">
      <c r="A454" s="38"/>
      <c r="B454" s="38"/>
      <c r="C454" s="38"/>
      <c r="D454" s="366"/>
      <c r="E454" s="366"/>
      <c r="F454" s="366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9.5" customHeight="1" x14ac:dyDescent="0.25">
      <c r="A455" s="38"/>
      <c r="B455" s="38"/>
      <c r="C455" s="38"/>
      <c r="D455" s="366"/>
      <c r="E455" s="366"/>
      <c r="F455" s="366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9.5" customHeight="1" x14ac:dyDescent="0.25">
      <c r="A456" s="38"/>
      <c r="B456" s="38"/>
      <c r="C456" s="38"/>
      <c r="D456" s="366"/>
      <c r="E456" s="366"/>
      <c r="F456" s="366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9.5" customHeight="1" x14ac:dyDescent="0.25">
      <c r="A457" s="38"/>
      <c r="B457" s="38"/>
      <c r="C457" s="38"/>
      <c r="D457" s="366"/>
      <c r="E457" s="366"/>
      <c r="F457" s="366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9.5" customHeight="1" x14ac:dyDescent="0.25">
      <c r="A458" s="38"/>
      <c r="B458" s="38"/>
      <c r="C458" s="38"/>
      <c r="D458" s="366"/>
      <c r="E458" s="366"/>
      <c r="F458" s="366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9.5" customHeight="1" x14ac:dyDescent="0.25">
      <c r="A459" s="38"/>
      <c r="B459" s="38"/>
      <c r="C459" s="38"/>
      <c r="D459" s="366"/>
      <c r="E459" s="366"/>
      <c r="F459" s="366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9.5" customHeight="1" x14ac:dyDescent="0.25">
      <c r="A460" s="38"/>
      <c r="B460" s="38"/>
      <c r="C460" s="38"/>
      <c r="D460" s="366"/>
      <c r="E460" s="366"/>
      <c r="F460" s="366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9.5" customHeight="1" x14ac:dyDescent="0.25">
      <c r="A461" s="38"/>
      <c r="B461" s="38"/>
      <c r="C461" s="38"/>
      <c r="D461" s="366"/>
      <c r="E461" s="366"/>
      <c r="F461" s="366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9.5" customHeight="1" x14ac:dyDescent="0.25">
      <c r="A462" s="38"/>
      <c r="B462" s="38"/>
      <c r="C462" s="38"/>
      <c r="D462" s="366"/>
      <c r="E462" s="366"/>
      <c r="F462" s="366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9.5" customHeight="1" x14ac:dyDescent="0.25">
      <c r="A463" s="38"/>
      <c r="B463" s="38"/>
      <c r="C463" s="38"/>
      <c r="D463" s="366"/>
      <c r="E463" s="366"/>
      <c r="F463" s="366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9.5" customHeight="1" x14ac:dyDescent="0.25">
      <c r="A464" s="38"/>
      <c r="B464" s="38"/>
      <c r="C464" s="38"/>
      <c r="D464" s="366"/>
      <c r="E464" s="366"/>
      <c r="F464" s="366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9.5" customHeight="1" x14ac:dyDescent="0.25">
      <c r="A465" s="38"/>
      <c r="B465" s="38"/>
      <c r="C465" s="38"/>
      <c r="D465" s="366"/>
      <c r="E465" s="366"/>
      <c r="F465" s="366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9.5" customHeight="1" x14ac:dyDescent="0.25">
      <c r="A466" s="38"/>
      <c r="B466" s="38"/>
      <c r="C466" s="38"/>
      <c r="D466" s="366"/>
      <c r="E466" s="366"/>
      <c r="F466" s="366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9.5" customHeight="1" x14ac:dyDescent="0.25">
      <c r="A467" s="38"/>
      <c r="B467" s="38"/>
      <c r="C467" s="38"/>
      <c r="D467" s="366"/>
      <c r="E467" s="366"/>
      <c r="F467" s="366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9.5" customHeight="1" x14ac:dyDescent="0.25">
      <c r="A468" s="38"/>
      <c r="B468" s="38"/>
      <c r="C468" s="38"/>
      <c r="D468" s="366"/>
      <c r="E468" s="366"/>
      <c r="F468" s="366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9.5" customHeight="1" x14ac:dyDescent="0.25">
      <c r="A469" s="38"/>
      <c r="B469" s="38"/>
      <c r="C469" s="38"/>
      <c r="D469" s="366"/>
      <c r="E469" s="366"/>
      <c r="F469" s="366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9.5" customHeight="1" x14ac:dyDescent="0.25">
      <c r="A470" s="38"/>
      <c r="B470" s="38"/>
      <c r="C470" s="38"/>
      <c r="D470" s="366"/>
      <c r="E470" s="366"/>
      <c r="F470" s="366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9.5" customHeight="1" x14ac:dyDescent="0.25">
      <c r="A471" s="38"/>
      <c r="B471" s="38"/>
      <c r="C471" s="38"/>
      <c r="D471" s="366"/>
      <c r="E471" s="366"/>
      <c r="F471" s="366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9.5" customHeight="1" x14ac:dyDescent="0.25">
      <c r="A472" s="38"/>
      <c r="B472" s="38"/>
      <c r="C472" s="38"/>
      <c r="D472" s="366"/>
      <c r="E472" s="366"/>
      <c r="F472" s="366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9.5" customHeight="1" x14ac:dyDescent="0.25">
      <c r="A473" s="38"/>
      <c r="B473" s="38"/>
      <c r="C473" s="38"/>
      <c r="D473" s="366"/>
      <c r="E473" s="366"/>
      <c r="F473" s="366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9.5" customHeight="1" x14ac:dyDescent="0.25">
      <c r="A474" s="38"/>
      <c r="B474" s="38"/>
      <c r="C474" s="38"/>
      <c r="D474" s="366"/>
      <c r="E474" s="366"/>
      <c r="F474" s="366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9.5" customHeight="1" x14ac:dyDescent="0.25">
      <c r="A475" s="38"/>
      <c r="B475" s="38"/>
      <c r="C475" s="38"/>
      <c r="D475" s="366"/>
      <c r="E475" s="366"/>
      <c r="F475" s="366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9.5" customHeight="1" x14ac:dyDescent="0.25">
      <c r="A476" s="38"/>
      <c r="B476" s="38"/>
      <c r="C476" s="38"/>
      <c r="D476" s="366"/>
      <c r="E476" s="366"/>
      <c r="F476" s="366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9.5" customHeight="1" x14ac:dyDescent="0.25">
      <c r="A477" s="38"/>
      <c r="B477" s="38"/>
      <c r="C477" s="38"/>
      <c r="D477" s="366"/>
      <c r="E477" s="366"/>
      <c r="F477" s="366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9.5" customHeight="1" x14ac:dyDescent="0.25">
      <c r="A478" s="38"/>
      <c r="B478" s="38"/>
      <c r="C478" s="38"/>
      <c r="D478" s="366"/>
      <c r="E478" s="366"/>
      <c r="F478" s="366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9.5" customHeight="1" x14ac:dyDescent="0.25">
      <c r="A479" s="38"/>
      <c r="B479" s="38"/>
      <c r="C479" s="38"/>
      <c r="D479" s="366"/>
      <c r="E479" s="366"/>
      <c r="F479" s="366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9.5" customHeight="1" x14ac:dyDescent="0.25">
      <c r="A480" s="38"/>
      <c r="B480" s="38"/>
      <c r="C480" s="38"/>
      <c r="D480" s="366"/>
      <c r="E480" s="366"/>
      <c r="F480" s="366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9.5" customHeight="1" x14ac:dyDescent="0.25">
      <c r="A481" s="38"/>
      <c r="B481" s="38"/>
      <c r="C481" s="38"/>
      <c r="D481" s="366"/>
      <c r="E481" s="366"/>
      <c r="F481" s="366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9.5" customHeight="1" x14ac:dyDescent="0.25">
      <c r="A482" s="38"/>
      <c r="B482" s="38"/>
      <c r="C482" s="38"/>
      <c r="D482" s="366"/>
      <c r="E482" s="366"/>
      <c r="F482" s="366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9.5" customHeight="1" x14ac:dyDescent="0.25">
      <c r="A483" s="38"/>
      <c r="B483" s="38"/>
      <c r="C483" s="38"/>
      <c r="D483" s="366"/>
      <c r="E483" s="366"/>
      <c r="F483" s="366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9.5" customHeight="1" x14ac:dyDescent="0.25">
      <c r="A484" s="38"/>
      <c r="B484" s="38"/>
      <c r="C484" s="38"/>
      <c r="D484" s="366"/>
      <c r="E484" s="366"/>
      <c r="F484" s="366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9.5" customHeight="1" x14ac:dyDescent="0.25">
      <c r="A485" s="38"/>
      <c r="B485" s="38"/>
      <c r="C485" s="38"/>
      <c r="D485" s="366"/>
      <c r="E485" s="366"/>
      <c r="F485" s="366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9.5" customHeight="1" x14ac:dyDescent="0.25">
      <c r="A486" s="38"/>
      <c r="B486" s="38"/>
      <c r="C486" s="38"/>
      <c r="D486" s="366"/>
      <c r="E486" s="366"/>
      <c r="F486" s="366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9.5" customHeight="1" x14ac:dyDescent="0.25">
      <c r="A487" s="38"/>
      <c r="B487" s="38"/>
      <c r="C487" s="38"/>
      <c r="D487" s="366"/>
      <c r="E487" s="366"/>
      <c r="F487" s="366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9.5" customHeight="1" x14ac:dyDescent="0.25">
      <c r="A488" s="38"/>
      <c r="B488" s="38"/>
      <c r="C488" s="38"/>
      <c r="D488" s="366"/>
      <c r="E488" s="366"/>
      <c r="F488" s="366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9.5" customHeight="1" x14ac:dyDescent="0.25">
      <c r="A489" s="38"/>
      <c r="B489" s="38"/>
      <c r="C489" s="38"/>
      <c r="D489" s="366"/>
      <c r="E489" s="366"/>
      <c r="F489" s="366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9.5" customHeight="1" x14ac:dyDescent="0.25">
      <c r="A490" s="38"/>
      <c r="B490" s="38"/>
      <c r="C490" s="38"/>
      <c r="D490" s="366"/>
      <c r="E490" s="366"/>
      <c r="F490" s="366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9.5" customHeight="1" x14ac:dyDescent="0.25">
      <c r="A491" s="38"/>
      <c r="B491" s="38"/>
      <c r="C491" s="38"/>
      <c r="D491" s="366"/>
      <c r="E491" s="366"/>
      <c r="F491" s="366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9.5" customHeight="1" x14ac:dyDescent="0.25">
      <c r="A492" s="38"/>
      <c r="B492" s="38"/>
      <c r="C492" s="38"/>
      <c r="D492" s="366"/>
      <c r="E492" s="366"/>
      <c r="F492" s="366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9.5" customHeight="1" x14ac:dyDescent="0.25">
      <c r="A493" s="38"/>
      <c r="B493" s="38"/>
      <c r="C493" s="38"/>
      <c r="D493" s="366"/>
      <c r="E493" s="366"/>
      <c r="F493" s="366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9.5" customHeight="1" x14ac:dyDescent="0.25">
      <c r="A494" s="38"/>
      <c r="B494" s="38"/>
      <c r="C494" s="38"/>
      <c r="D494" s="366"/>
      <c r="E494" s="366"/>
      <c r="F494" s="366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9.5" customHeight="1" x14ac:dyDescent="0.25">
      <c r="A495" s="38"/>
      <c r="B495" s="38"/>
      <c r="C495" s="38"/>
      <c r="D495" s="366"/>
      <c r="E495" s="366"/>
      <c r="F495" s="366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9.5" customHeight="1" x14ac:dyDescent="0.25">
      <c r="A496" s="38"/>
      <c r="B496" s="38"/>
      <c r="C496" s="38"/>
      <c r="D496" s="366"/>
      <c r="E496" s="366"/>
      <c r="F496" s="366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9.5" customHeight="1" x14ac:dyDescent="0.25">
      <c r="A497" s="38"/>
      <c r="B497" s="38"/>
      <c r="C497" s="38"/>
      <c r="D497" s="366"/>
      <c r="E497" s="366"/>
      <c r="F497" s="366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9.5" customHeight="1" x14ac:dyDescent="0.25">
      <c r="A498" s="38"/>
      <c r="B498" s="38"/>
      <c r="C498" s="38"/>
      <c r="D498" s="366"/>
      <c r="E498" s="366"/>
      <c r="F498" s="366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9.5" customHeight="1" x14ac:dyDescent="0.25">
      <c r="A499" s="38"/>
      <c r="B499" s="38"/>
      <c r="C499" s="38"/>
      <c r="D499" s="366"/>
      <c r="E499" s="366"/>
      <c r="F499" s="366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9.5" customHeight="1" x14ac:dyDescent="0.25">
      <c r="A500" s="38"/>
      <c r="B500" s="38"/>
      <c r="C500" s="38"/>
      <c r="D500" s="366"/>
      <c r="E500" s="366"/>
      <c r="F500" s="366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9.5" customHeight="1" x14ac:dyDescent="0.25">
      <c r="A501" s="38"/>
      <c r="B501" s="38"/>
      <c r="C501" s="38"/>
      <c r="D501" s="366"/>
      <c r="E501" s="366"/>
      <c r="F501" s="366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9.5" customHeight="1" x14ac:dyDescent="0.25">
      <c r="A502" s="38"/>
      <c r="B502" s="38"/>
      <c r="C502" s="38"/>
      <c r="D502" s="366"/>
      <c r="E502" s="366"/>
      <c r="F502" s="366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9.5" customHeight="1" x14ac:dyDescent="0.25">
      <c r="A503" s="38"/>
      <c r="B503" s="38"/>
      <c r="C503" s="38"/>
      <c r="D503" s="366"/>
      <c r="E503" s="366"/>
      <c r="F503" s="366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9.5" customHeight="1" x14ac:dyDescent="0.25">
      <c r="A504" s="38"/>
      <c r="B504" s="38"/>
      <c r="C504" s="38"/>
      <c r="D504" s="366"/>
      <c r="E504" s="366"/>
      <c r="F504" s="366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9.5" customHeight="1" x14ac:dyDescent="0.25">
      <c r="A505" s="38"/>
      <c r="B505" s="38"/>
      <c r="C505" s="38"/>
      <c r="D505" s="366"/>
      <c r="E505" s="366"/>
      <c r="F505" s="366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9.5" customHeight="1" x14ac:dyDescent="0.25">
      <c r="A506" s="38"/>
      <c r="B506" s="38"/>
      <c r="C506" s="38"/>
      <c r="D506" s="366"/>
      <c r="E506" s="366"/>
      <c r="F506" s="366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9.5" customHeight="1" x14ac:dyDescent="0.25">
      <c r="A507" s="38"/>
      <c r="B507" s="38"/>
      <c r="C507" s="38"/>
      <c r="D507" s="366"/>
      <c r="E507" s="366"/>
      <c r="F507" s="366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9.5" customHeight="1" x14ac:dyDescent="0.25">
      <c r="A508" s="38"/>
      <c r="B508" s="38"/>
      <c r="C508" s="38"/>
      <c r="D508" s="366"/>
      <c r="E508" s="366"/>
      <c r="F508" s="366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9.5" customHeight="1" x14ac:dyDescent="0.25">
      <c r="A509" s="38"/>
      <c r="B509" s="38"/>
      <c r="C509" s="38"/>
      <c r="D509" s="366"/>
      <c r="E509" s="366"/>
      <c r="F509" s="366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9.5" customHeight="1" x14ac:dyDescent="0.25">
      <c r="A510" s="38"/>
      <c r="B510" s="38"/>
      <c r="C510" s="38"/>
      <c r="D510" s="366"/>
      <c r="E510" s="366"/>
      <c r="F510" s="366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9.5" customHeight="1" x14ac:dyDescent="0.25">
      <c r="A511" s="38"/>
      <c r="B511" s="38"/>
      <c r="C511" s="38"/>
      <c r="D511" s="366"/>
      <c r="E511" s="366"/>
      <c r="F511" s="366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9.5" customHeight="1" x14ac:dyDescent="0.25">
      <c r="A512" s="38"/>
      <c r="B512" s="38"/>
      <c r="C512" s="38"/>
      <c r="D512" s="366"/>
      <c r="E512" s="366"/>
      <c r="F512" s="366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9.5" customHeight="1" x14ac:dyDescent="0.25">
      <c r="A513" s="38"/>
      <c r="B513" s="38"/>
      <c r="C513" s="38"/>
      <c r="D513" s="366"/>
      <c r="E513" s="366"/>
      <c r="F513" s="366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9.5" customHeight="1" x14ac:dyDescent="0.25">
      <c r="A514" s="38"/>
      <c r="B514" s="38"/>
      <c r="C514" s="38"/>
      <c r="D514" s="366"/>
      <c r="E514" s="366"/>
      <c r="F514" s="366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9.5" customHeight="1" x14ac:dyDescent="0.25">
      <c r="A515" s="38"/>
      <c r="B515" s="38"/>
      <c r="C515" s="38"/>
      <c r="D515" s="366"/>
      <c r="E515" s="366"/>
      <c r="F515" s="366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9.5" customHeight="1" x14ac:dyDescent="0.25">
      <c r="A516" s="38"/>
      <c r="B516" s="38"/>
      <c r="C516" s="38"/>
      <c r="D516" s="366"/>
      <c r="E516" s="366"/>
      <c r="F516" s="366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9.5" customHeight="1" x14ac:dyDescent="0.25">
      <c r="A517" s="38"/>
      <c r="B517" s="38"/>
      <c r="C517" s="38"/>
      <c r="D517" s="366"/>
      <c r="E517" s="366"/>
      <c r="F517" s="366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9.5" customHeight="1" x14ac:dyDescent="0.25">
      <c r="A518" s="38"/>
      <c r="B518" s="38"/>
      <c r="C518" s="38"/>
      <c r="D518" s="366"/>
      <c r="E518" s="366"/>
      <c r="F518" s="366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9.5" customHeight="1" x14ac:dyDescent="0.25">
      <c r="A519" s="38"/>
      <c r="B519" s="38"/>
      <c r="C519" s="38"/>
      <c r="D519" s="366"/>
      <c r="E519" s="366"/>
      <c r="F519" s="366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9.5" customHeight="1" x14ac:dyDescent="0.25">
      <c r="A520" s="38"/>
      <c r="B520" s="38"/>
      <c r="C520" s="38"/>
      <c r="D520" s="366"/>
      <c r="E520" s="366"/>
      <c r="F520" s="366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9.5" customHeight="1" x14ac:dyDescent="0.25">
      <c r="A521" s="38"/>
      <c r="B521" s="38"/>
      <c r="C521" s="38"/>
      <c r="D521" s="366"/>
      <c r="E521" s="366"/>
      <c r="F521" s="366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9.5" customHeight="1" x14ac:dyDescent="0.25">
      <c r="A522" s="38"/>
      <c r="B522" s="38"/>
      <c r="C522" s="38"/>
      <c r="D522" s="366"/>
      <c r="E522" s="366"/>
      <c r="F522" s="366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9.5" customHeight="1" x14ac:dyDescent="0.25">
      <c r="A523" s="38"/>
      <c r="B523" s="38"/>
      <c r="C523" s="38"/>
      <c r="D523" s="366"/>
      <c r="E523" s="366"/>
      <c r="F523" s="366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9.5" customHeight="1" x14ac:dyDescent="0.25">
      <c r="A524" s="38"/>
      <c r="B524" s="38"/>
      <c r="C524" s="38"/>
      <c r="D524" s="366"/>
      <c r="E524" s="366"/>
      <c r="F524" s="366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9.5" customHeight="1" x14ac:dyDescent="0.25">
      <c r="A525" s="38"/>
      <c r="B525" s="38"/>
      <c r="C525" s="38"/>
      <c r="D525" s="366"/>
      <c r="E525" s="366"/>
      <c r="F525" s="366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9.5" customHeight="1" x14ac:dyDescent="0.25">
      <c r="A526" s="38"/>
      <c r="B526" s="38"/>
      <c r="C526" s="38"/>
      <c r="D526" s="366"/>
      <c r="E526" s="366"/>
      <c r="F526" s="366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9.5" customHeight="1" x14ac:dyDescent="0.25">
      <c r="A527" s="38"/>
      <c r="B527" s="38"/>
      <c r="C527" s="38"/>
      <c r="D527" s="366"/>
      <c r="E527" s="366"/>
      <c r="F527" s="366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9.5" customHeight="1" x14ac:dyDescent="0.25">
      <c r="A528" s="38"/>
      <c r="B528" s="38"/>
      <c r="C528" s="38"/>
      <c r="D528" s="366"/>
      <c r="E528" s="366"/>
      <c r="F528" s="366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9.5" customHeight="1" x14ac:dyDescent="0.25">
      <c r="A529" s="38"/>
      <c r="B529" s="38"/>
      <c r="C529" s="38"/>
      <c r="D529" s="366"/>
      <c r="E529" s="366"/>
      <c r="F529" s="366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9.5" customHeight="1" x14ac:dyDescent="0.25">
      <c r="A530" s="38"/>
      <c r="B530" s="38"/>
      <c r="C530" s="38"/>
      <c r="D530" s="366"/>
      <c r="E530" s="366"/>
      <c r="F530" s="366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9.5" customHeight="1" x14ac:dyDescent="0.25">
      <c r="A531" s="38"/>
      <c r="B531" s="38"/>
      <c r="C531" s="38"/>
      <c r="D531" s="366"/>
      <c r="E531" s="366"/>
      <c r="F531" s="366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9.5" customHeight="1" x14ac:dyDescent="0.25">
      <c r="A532" s="38"/>
      <c r="B532" s="38"/>
      <c r="C532" s="38"/>
      <c r="D532" s="366"/>
      <c r="E532" s="366"/>
      <c r="F532" s="366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9.5" customHeight="1" x14ac:dyDescent="0.25">
      <c r="A533" s="38"/>
      <c r="B533" s="38"/>
      <c r="C533" s="38"/>
      <c r="D533" s="366"/>
      <c r="E533" s="366"/>
      <c r="F533" s="366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9.5" customHeight="1" x14ac:dyDescent="0.25">
      <c r="A534" s="38"/>
      <c r="B534" s="38"/>
      <c r="C534" s="38"/>
      <c r="D534" s="366"/>
      <c r="E534" s="366"/>
      <c r="F534" s="366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9.5" customHeight="1" x14ac:dyDescent="0.25">
      <c r="A535" s="38"/>
      <c r="B535" s="38"/>
      <c r="C535" s="38"/>
      <c r="D535" s="366"/>
      <c r="E535" s="366"/>
      <c r="F535" s="366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9.5" customHeight="1" x14ac:dyDescent="0.25">
      <c r="A536" s="38"/>
      <c r="B536" s="38"/>
      <c r="C536" s="38"/>
      <c r="D536" s="366"/>
      <c r="E536" s="366"/>
      <c r="F536" s="366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9.5" customHeight="1" x14ac:dyDescent="0.25">
      <c r="A537" s="38"/>
      <c r="B537" s="38"/>
      <c r="C537" s="38"/>
      <c r="D537" s="366"/>
      <c r="E537" s="366"/>
      <c r="F537" s="366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9.5" customHeight="1" x14ac:dyDescent="0.25">
      <c r="A538" s="38"/>
      <c r="B538" s="38"/>
      <c r="C538" s="38"/>
      <c r="D538" s="366"/>
      <c r="E538" s="366"/>
      <c r="F538" s="366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9.5" customHeight="1" x14ac:dyDescent="0.25">
      <c r="A539" s="38"/>
      <c r="B539" s="38"/>
      <c r="C539" s="38"/>
      <c r="D539" s="366"/>
      <c r="E539" s="366"/>
      <c r="F539" s="366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9.5" customHeight="1" x14ac:dyDescent="0.25">
      <c r="A540" s="38"/>
      <c r="B540" s="38"/>
      <c r="C540" s="38"/>
      <c r="D540" s="366"/>
      <c r="E540" s="366"/>
      <c r="F540" s="366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9.5" customHeight="1" x14ac:dyDescent="0.25">
      <c r="A541" s="38"/>
      <c r="B541" s="38"/>
      <c r="C541" s="38"/>
      <c r="D541" s="366"/>
      <c r="E541" s="366"/>
      <c r="F541" s="366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9.5" customHeight="1" x14ac:dyDescent="0.25">
      <c r="A542" s="38"/>
      <c r="B542" s="38"/>
      <c r="C542" s="38"/>
      <c r="D542" s="366"/>
      <c r="E542" s="366"/>
      <c r="F542" s="366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9.5" customHeight="1" x14ac:dyDescent="0.25">
      <c r="A543" s="38"/>
      <c r="B543" s="38"/>
      <c r="C543" s="38"/>
      <c r="D543" s="366"/>
      <c r="E543" s="366"/>
      <c r="F543" s="366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9.5" customHeight="1" x14ac:dyDescent="0.25">
      <c r="A544" s="38"/>
      <c r="B544" s="38"/>
      <c r="C544" s="38"/>
      <c r="D544" s="366"/>
      <c r="E544" s="366"/>
      <c r="F544" s="366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9.5" customHeight="1" x14ac:dyDescent="0.25">
      <c r="A545" s="38"/>
      <c r="B545" s="38"/>
      <c r="C545" s="38"/>
      <c r="D545" s="366"/>
      <c r="E545" s="366"/>
      <c r="F545" s="366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9.5" customHeight="1" x14ac:dyDescent="0.25">
      <c r="A546" s="38"/>
      <c r="B546" s="38"/>
      <c r="C546" s="38"/>
      <c r="D546" s="366"/>
      <c r="E546" s="366"/>
      <c r="F546" s="366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9.5" customHeight="1" x14ac:dyDescent="0.25">
      <c r="A547" s="38"/>
      <c r="B547" s="38"/>
      <c r="C547" s="38"/>
      <c r="D547" s="366"/>
      <c r="E547" s="366"/>
      <c r="F547" s="366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9.5" customHeight="1" x14ac:dyDescent="0.25">
      <c r="A548" s="38"/>
      <c r="B548" s="38"/>
      <c r="C548" s="38"/>
      <c r="D548" s="366"/>
      <c r="E548" s="366"/>
      <c r="F548" s="366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9.5" customHeight="1" x14ac:dyDescent="0.25">
      <c r="A549" s="38"/>
      <c r="B549" s="38"/>
      <c r="C549" s="38"/>
      <c r="D549" s="366"/>
      <c r="E549" s="366"/>
      <c r="F549" s="366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9.5" customHeight="1" x14ac:dyDescent="0.25">
      <c r="A550" s="38"/>
      <c r="B550" s="38"/>
      <c r="C550" s="38"/>
      <c r="D550" s="366"/>
      <c r="E550" s="366"/>
      <c r="F550" s="366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9.5" customHeight="1" x14ac:dyDescent="0.25">
      <c r="A551" s="38"/>
      <c r="B551" s="38"/>
      <c r="C551" s="38"/>
      <c r="D551" s="366"/>
      <c r="E551" s="366"/>
      <c r="F551" s="366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9.5" customHeight="1" x14ac:dyDescent="0.25">
      <c r="A552" s="38"/>
      <c r="B552" s="38"/>
      <c r="C552" s="38"/>
      <c r="D552" s="366"/>
      <c r="E552" s="366"/>
      <c r="F552" s="366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9.5" customHeight="1" x14ac:dyDescent="0.25">
      <c r="A553" s="38"/>
      <c r="B553" s="38"/>
      <c r="C553" s="38"/>
      <c r="D553" s="366"/>
      <c r="E553" s="366"/>
      <c r="F553" s="366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9.5" customHeight="1" x14ac:dyDescent="0.25">
      <c r="A554" s="38"/>
      <c r="B554" s="38"/>
      <c r="C554" s="38"/>
      <c r="D554" s="366"/>
      <c r="E554" s="366"/>
      <c r="F554" s="366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9.5" customHeight="1" x14ac:dyDescent="0.25">
      <c r="A555" s="38"/>
      <c r="B555" s="38"/>
      <c r="C555" s="38"/>
      <c r="D555" s="366"/>
      <c r="E555" s="366"/>
      <c r="F555" s="366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9.5" customHeight="1" x14ac:dyDescent="0.25">
      <c r="A556" s="38"/>
      <c r="B556" s="38"/>
      <c r="C556" s="38"/>
      <c r="D556" s="366"/>
      <c r="E556" s="366"/>
      <c r="F556" s="366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9.5" customHeight="1" x14ac:dyDescent="0.25">
      <c r="A557" s="38"/>
      <c r="B557" s="38"/>
      <c r="C557" s="38"/>
      <c r="D557" s="366"/>
      <c r="E557" s="366"/>
      <c r="F557" s="366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9.5" customHeight="1" x14ac:dyDescent="0.25">
      <c r="A558" s="38"/>
      <c r="B558" s="38"/>
      <c r="C558" s="38"/>
      <c r="D558" s="366"/>
      <c r="E558" s="366"/>
      <c r="F558" s="366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9.5" customHeight="1" x14ac:dyDescent="0.25">
      <c r="A559" s="38"/>
      <c r="B559" s="38"/>
      <c r="C559" s="38"/>
      <c r="D559" s="366"/>
      <c r="E559" s="366"/>
      <c r="F559" s="366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9.5" customHeight="1" x14ac:dyDescent="0.25">
      <c r="A560" s="38"/>
      <c r="B560" s="38"/>
      <c r="C560" s="38"/>
      <c r="D560" s="366"/>
      <c r="E560" s="366"/>
      <c r="F560" s="366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9.5" customHeight="1" x14ac:dyDescent="0.25">
      <c r="A561" s="38"/>
      <c r="B561" s="38"/>
      <c r="C561" s="38"/>
      <c r="D561" s="366"/>
      <c r="E561" s="366"/>
      <c r="F561" s="366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9.5" customHeight="1" x14ac:dyDescent="0.25">
      <c r="A562" s="38"/>
      <c r="B562" s="38"/>
      <c r="C562" s="38"/>
      <c r="D562" s="366"/>
      <c r="E562" s="366"/>
      <c r="F562" s="366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9.5" customHeight="1" x14ac:dyDescent="0.25">
      <c r="A563" s="38"/>
      <c r="B563" s="38"/>
      <c r="C563" s="38"/>
      <c r="D563" s="366"/>
      <c r="E563" s="366"/>
      <c r="F563" s="366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9.5" customHeight="1" x14ac:dyDescent="0.25">
      <c r="A564" s="38"/>
      <c r="B564" s="38"/>
      <c r="C564" s="38"/>
      <c r="D564" s="366"/>
      <c r="E564" s="366"/>
      <c r="F564" s="366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9.5" customHeight="1" x14ac:dyDescent="0.25">
      <c r="A565" s="38"/>
      <c r="B565" s="38"/>
      <c r="C565" s="38"/>
      <c r="D565" s="366"/>
      <c r="E565" s="366"/>
      <c r="F565" s="366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9.5" customHeight="1" x14ac:dyDescent="0.25">
      <c r="A566" s="38"/>
      <c r="B566" s="38"/>
      <c r="C566" s="38"/>
      <c r="D566" s="366"/>
      <c r="E566" s="366"/>
      <c r="F566" s="366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9.5" customHeight="1" x14ac:dyDescent="0.25">
      <c r="A567" s="38"/>
      <c r="B567" s="38"/>
      <c r="C567" s="38"/>
      <c r="D567" s="366"/>
      <c r="E567" s="366"/>
      <c r="F567" s="366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9.5" customHeight="1" x14ac:dyDescent="0.25">
      <c r="A568" s="38"/>
      <c r="B568" s="38"/>
      <c r="C568" s="38"/>
      <c r="D568" s="366"/>
      <c r="E568" s="366"/>
      <c r="F568" s="366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9.5" customHeight="1" x14ac:dyDescent="0.25">
      <c r="A569" s="38"/>
      <c r="B569" s="38"/>
      <c r="C569" s="38"/>
      <c r="D569" s="366"/>
      <c r="E569" s="366"/>
      <c r="F569" s="366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9.5" customHeight="1" x14ac:dyDescent="0.25">
      <c r="A570" s="38"/>
      <c r="B570" s="38"/>
      <c r="C570" s="38"/>
      <c r="D570" s="366"/>
      <c r="E570" s="366"/>
      <c r="F570" s="366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9.5" customHeight="1" x14ac:dyDescent="0.25">
      <c r="A571" s="38"/>
      <c r="B571" s="38"/>
      <c r="C571" s="38"/>
      <c r="D571" s="366"/>
      <c r="E571" s="366"/>
      <c r="F571" s="366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9.5" customHeight="1" x14ac:dyDescent="0.25">
      <c r="A572" s="38"/>
      <c r="B572" s="38"/>
      <c r="C572" s="38"/>
      <c r="D572" s="366"/>
      <c r="E572" s="366"/>
      <c r="F572" s="366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9.5" customHeight="1" x14ac:dyDescent="0.25">
      <c r="A573" s="38"/>
      <c r="B573" s="38"/>
      <c r="C573" s="38"/>
      <c r="D573" s="366"/>
      <c r="E573" s="366"/>
      <c r="F573" s="366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9.5" customHeight="1" x14ac:dyDescent="0.25">
      <c r="A574" s="38"/>
      <c r="B574" s="38"/>
      <c r="C574" s="38"/>
      <c r="D574" s="366"/>
      <c r="E574" s="366"/>
      <c r="F574" s="366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9.5" customHeight="1" x14ac:dyDescent="0.25">
      <c r="A575" s="38"/>
      <c r="B575" s="38"/>
      <c r="C575" s="38"/>
      <c r="D575" s="366"/>
      <c r="E575" s="366"/>
      <c r="F575" s="366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9.5" customHeight="1" x14ac:dyDescent="0.25">
      <c r="A576" s="38"/>
      <c r="B576" s="38"/>
      <c r="C576" s="38"/>
      <c r="D576" s="366"/>
      <c r="E576" s="366"/>
      <c r="F576" s="366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9.5" customHeight="1" x14ac:dyDescent="0.25">
      <c r="A577" s="38"/>
      <c r="B577" s="38"/>
      <c r="C577" s="38"/>
      <c r="D577" s="366"/>
      <c r="E577" s="366"/>
      <c r="F577" s="366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9.5" customHeight="1" x14ac:dyDescent="0.25">
      <c r="A578" s="38"/>
      <c r="B578" s="38"/>
      <c r="C578" s="38"/>
      <c r="D578" s="366"/>
      <c r="E578" s="366"/>
      <c r="F578" s="366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9.5" customHeight="1" x14ac:dyDescent="0.25">
      <c r="A579" s="38"/>
      <c r="B579" s="38"/>
      <c r="C579" s="38"/>
      <c r="D579" s="366"/>
      <c r="E579" s="366"/>
      <c r="F579" s="366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9.5" customHeight="1" x14ac:dyDescent="0.25">
      <c r="A580" s="38"/>
      <c r="B580" s="38"/>
      <c r="C580" s="38"/>
      <c r="D580" s="366"/>
      <c r="E580" s="366"/>
      <c r="F580" s="366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9.5" customHeight="1" x14ac:dyDescent="0.25">
      <c r="A581" s="38"/>
      <c r="B581" s="38"/>
      <c r="C581" s="38"/>
      <c r="D581" s="366"/>
      <c r="E581" s="366"/>
      <c r="F581" s="366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9.5" customHeight="1" x14ac:dyDescent="0.25">
      <c r="A582" s="38"/>
      <c r="B582" s="38"/>
      <c r="C582" s="38"/>
      <c r="D582" s="366"/>
      <c r="E582" s="366"/>
      <c r="F582" s="366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9.5" customHeight="1" x14ac:dyDescent="0.25">
      <c r="A583" s="38"/>
      <c r="B583" s="38"/>
      <c r="C583" s="38"/>
      <c r="D583" s="366"/>
      <c r="E583" s="366"/>
      <c r="F583" s="366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9.5" customHeight="1" x14ac:dyDescent="0.25">
      <c r="A584" s="38"/>
      <c r="B584" s="38"/>
      <c r="C584" s="38"/>
      <c r="D584" s="366"/>
      <c r="E584" s="366"/>
      <c r="F584" s="366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9.5" customHeight="1" x14ac:dyDescent="0.25">
      <c r="A585" s="38"/>
      <c r="B585" s="38"/>
      <c r="C585" s="38"/>
      <c r="D585" s="366"/>
      <c r="E585" s="366"/>
      <c r="F585" s="366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9.5" customHeight="1" x14ac:dyDescent="0.25">
      <c r="A586" s="38"/>
      <c r="B586" s="38"/>
      <c r="C586" s="38"/>
      <c r="D586" s="366"/>
      <c r="E586" s="366"/>
      <c r="F586" s="366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9.5" customHeight="1" x14ac:dyDescent="0.25">
      <c r="A587" s="38"/>
      <c r="B587" s="38"/>
      <c r="C587" s="38"/>
      <c r="D587" s="366"/>
      <c r="E587" s="366"/>
      <c r="F587" s="366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9.5" customHeight="1" x14ac:dyDescent="0.25">
      <c r="A588" s="38"/>
      <c r="B588" s="38"/>
      <c r="C588" s="38"/>
      <c r="D588" s="366"/>
      <c r="E588" s="366"/>
      <c r="F588" s="366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9.5" customHeight="1" x14ac:dyDescent="0.25">
      <c r="A589" s="38"/>
      <c r="B589" s="38"/>
      <c r="C589" s="38"/>
      <c r="D589" s="366"/>
      <c r="E589" s="366"/>
      <c r="F589" s="366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9.5" customHeight="1" x14ac:dyDescent="0.25">
      <c r="A590" s="38"/>
      <c r="B590" s="38"/>
      <c r="C590" s="38"/>
      <c r="D590" s="366"/>
      <c r="E590" s="366"/>
      <c r="F590" s="366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9.5" customHeight="1" x14ac:dyDescent="0.25">
      <c r="A591" s="38"/>
      <c r="B591" s="38"/>
      <c r="C591" s="38"/>
      <c r="D591" s="366"/>
      <c r="E591" s="366"/>
      <c r="F591" s="366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9.5" customHeight="1" x14ac:dyDescent="0.25">
      <c r="A592" s="38"/>
      <c r="B592" s="38"/>
      <c r="C592" s="38"/>
      <c r="D592" s="366"/>
      <c r="E592" s="366"/>
      <c r="F592" s="366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9.5" customHeight="1" x14ac:dyDescent="0.25">
      <c r="A593" s="38"/>
      <c r="B593" s="38"/>
      <c r="C593" s="38"/>
      <c r="D593" s="366"/>
      <c r="E593" s="366"/>
      <c r="F593" s="366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9.5" customHeight="1" x14ac:dyDescent="0.25">
      <c r="A594" s="38"/>
      <c r="B594" s="38"/>
      <c r="C594" s="38"/>
      <c r="D594" s="366"/>
      <c r="E594" s="366"/>
      <c r="F594" s="366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9.5" customHeight="1" x14ac:dyDescent="0.25">
      <c r="A595" s="38"/>
      <c r="B595" s="38"/>
      <c r="C595" s="38"/>
      <c r="D595" s="366"/>
      <c r="E595" s="366"/>
      <c r="F595" s="366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9.5" customHeight="1" x14ac:dyDescent="0.25">
      <c r="A596" s="38"/>
      <c r="B596" s="38"/>
      <c r="C596" s="38"/>
      <c r="D596" s="366"/>
      <c r="E596" s="366"/>
      <c r="F596" s="366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9.5" customHeight="1" x14ac:dyDescent="0.25">
      <c r="A597" s="38"/>
      <c r="B597" s="38"/>
      <c r="C597" s="38"/>
      <c r="D597" s="366"/>
      <c r="E597" s="366"/>
      <c r="F597" s="366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9.5" customHeight="1" x14ac:dyDescent="0.25">
      <c r="A598" s="38"/>
      <c r="B598" s="38"/>
      <c r="C598" s="38"/>
      <c r="D598" s="366"/>
      <c r="E598" s="366"/>
      <c r="F598" s="366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9.5" customHeight="1" x14ac:dyDescent="0.25">
      <c r="A599" s="38"/>
      <c r="B599" s="38"/>
      <c r="C599" s="38"/>
      <c r="D599" s="366"/>
      <c r="E599" s="366"/>
      <c r="F599" s="366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9.5" customHeight="1" x14ac:dyDescent="0.25">
      <c r="A600" s="38"/>
      <c r="B600" s="38"/>
      <c r="C600" s="38"/>
      <c r="D600" s="366"/>
      <c r="E600" s="366"/>
      <c r="F600" s="366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9.5" customHeight="1" x14ac:dyDescent="0.25">
      <c r="A601" s="38"/>
      <c r="B601" s="38"/>
      <c r="C601" s="38"/>
      <c r="D601" s="366"/>
      <c r="E601" s="366"/>
      <c r="F601" s="366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9.5" customHeight="1" x14ac:dyDescent="0.25">
      <c r="A602" s="38"/>
      <c r="B602" s="38"/>
      <c r="C602" s="38"/>
      <c r="D602" s="366"/>
      <c r="E602" s="366"/>
      <c r="F602" s="366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9.5" customHeight="1" x14ac:dyDescent="0.25">
      <c r="A603" s="38"/>
      <c r="B603" s="38"/>
      <c r="C603" s="38"/>
      <c r="D603" s="366"/>
      <c r="E603" s="366"/>
      <c r="F603" s="366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9.5" customHeight="1" x14ac:dyDescent="0.25">
      <c r="A604" s="38"/>
      <c r="B604" s="38"/>
      <c r="C604" s="38"/>
      <c r="D604" s="366"/>
      <c r="E604" s="366"/>
      <c r="F604" s="366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9.5" customHeight="1" x14ac:dyDescent="0.25">
      <c r="A605" s="38"/>
      <c r="B605" s="38"/>
      <c r="C605" s="38"/>
      <c r="D605" s="366"/>
      <c r="E605" s="366"/>
      <c r="F605" s="366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9.5" customHeight="1" x14ac:dyDescent="0.25">
      <c r="A606" s="38"/>
      <c r="B606" s="38"/>
      <c r="C606" s="38"/>
      <c r="D606" s="366"/>
      <c r="E606" s="366"/>
      <c r="F606" s="366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9.5" customHeight="1" x14ac:dyDescent="0.25">
      <c r="A607" s="38"/>
      <c r="B607" s="38"/>
      <c r="C607" s="38"/>
      <c r="D607" s="366"/>
      <c r="E607" s="366"/>
      <c r="F607" s="366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9.5" customHeight="1" x14ac:dyDescent="0.25">
      <c r="A608" s="38"/>
      <c r="B608" s="38"/>
      <c r="C608" s="38"/>
      <c r="D608" s="366"/>
      <c r="E608" s="366"/>
      <c r="F608" s="366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9.5" customHeight="1" x14ac:dyDescent="0.25">
      <c r="A609" s="38"/>
      <c r="B609" s="38"/>
      <c r="C609" s="38"/>
      <c r="D609" s="366"/>
      <c r="E609" s="366"/>
      <c r="F609" s="366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9.5" customHeight="1" x14ac:dyDescent="0.25">
      <c r="A610" s="38"/>
      <c r="B610" s="38"/>
      <c r="C610" s="38"/>
      <c r="D610" s="366"/>
      <c r="E610" s="366"/>
      <c r="F610" s="366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9.5" customHeight="1" x14ac:dyDescent="0.25">
      <c r="A611" s="38"/>
      <c r="B611" s="38"/>
      <c r="C611" s="38"/>
      <c r="D611" s="366"/>
      <c r="E611" s="366"/>
      <c r="F611" s="366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9.5" customHeight="1" x14ac:dyDescent="0.25">
      <c r="A612" s="38"/>
      <c r="B612" s="38"/>
      <c r="C612" s="38"/>
      <c r="D612" s="366"/>
      <c r="E612" s="366"/>
      <c r="F612" s="366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9.5" customHeight="1" x14ac:dyDescent="0.25">
      <c r="A613" s="38"/>
      <c r="B613" s="38"/>
      <c r="C613" s="38"/>
      <c r="D613" s="366"/>
      <c r="E613" s="366"/>
      <c r="F613" s="366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9.5" customHeight="1" x14ac:dyDescent="0.25">
      <c r="A614" s="38"/>
      <c r="B614" s="38"/>
      <c r="C614" s="38"/>
      <c r="D614" s="366"/>
      <c r="E614" s="366"/>
      <c r="F614" s="366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9.5" customHeight="1" x14ac:dyDescent="0.25">
      <c r="A615" s="38"/>
      <c r="B615" s="38"/>
      <c r="C615" s="38"/>
      <c r="D615" s="366"/>
      <c r="E615" s="366"/>
      <c r="F615" s="366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9.5" customHeight="1" x14ac:dyDescent="0.25">
      <c r="A616" s="38"/>
      <c r="B616" s="38"/>
      <c r="C616" s="38"/>
      <c r="D616" s="366"/>
      <c r="E616" s="366"/>
      <c r="F616" s="366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9.5" customHeight="1" x14ac:dyDescent="0.25">
      <c r="A617" s="38"/>
      <c r="B617" s="38"/>
      <c r="C617" s="38"/>
      <c r="D617" s="366"/>
      <c r="E617" s="366"/>
      <c r="F617" s="366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9.5" customHeight="1" x14ac:dyDescent="0.25">
      <c r="A618" s="38"/>
      <c r="B618" s="38"/>
      <c r="C618" s="38"/>
      <c r="D618" s="366"/>
      <c r="E618" s="366"/>
      <c r="F618" s="366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9.5" customHeight="1" x14ac:dyDescent="0.25">
      <c r="A619" s="38"/>
      <c r="B619" s="38"/>
      <c r="C619" s="38"/>
      <c r="D619" s="366"/>
      <c r="E619" s="366"/>
      <c r="F619" s="366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9.5" customHeight="1" x14ac:dyDescent="0.25">
      <c r="A620" s="38"/>
      <c r="B620" s="38"/>
      <c r="C620" s="38"/>
      <c r="D620" s="366"/>
      <c r="E620" s="366"/>
      <c r="F620" s="366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9.5" customHeight="1" x14ac:dyDescent="0.25">
      <c r="A621" s="38"/>
      <c r="B621" s="38"/>
      <c r="C621" s="38"/>
      <c r="D621" s="366"/>
      <c r="E621" s="366"/>
      <c r="F621" s="366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9.5" customHeight="1" x14ac:dyDescent="0.25">
      <c r="A622" s="38"/>
      <c r="B622" s="38"/>
      <c r="C622" s="38"/>
      <c r="D622" s="366"/>
      <c r="E622" s="366"/>
      <c r="F622" s="366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9.5" customHeight="1" x14ac:dyDescent="0.25">
      <c r="A623" s="38"/>
      <c r="B623" s="38"/>
      <c r="C623" s="38"/>
      <c r="D623" s="366"/>
      <c r="E623" s="366"/>
      <c r="F623" s="366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9.5" customHeight="1" x14ac:dyDescent="0.25">
      <c r="A624" s="38"/>
      <c r="B624" s="38"/>
      <c r="C624" s="38"/>
      <c r="D624" s="366"/>
      <c r="E624" s="366"/>
      <c r="F624" s="366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9.5" customHeight="1" x14ac:dyDescent="0.25">
      <c r="A625" s="38"/>
      <c r="B625" s="38"/>
      <c r="C625" s="38"/>
      <c r="D625" s="366"/>
      <c r="E625" s="366"/>
      <c r="F625" s="366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9.5" customHeight="1" x14ac:dyDescent="0.25">
      <c r="A626" s="38"/>
      <c r="B626" s="38"/>
      <c r="C626" s="38"/>
      <c r="D626" s="366"/>
      <c r="E626" s="366"/>
      <c r="F626" s="366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9.5" customHeight="1" x14ac:dyDescent="0.25">
      <c r="A627" s="38"/>
      <c r="B627" s="38"/>
      <c r="C627" s="38"/>
      <c r="D627" s="366"/>
      <c r="E627" s="366"/>
      <c r="F627" s="366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9.5" customHeight="1" x14ac:dyDescent="0.25">
      <c r="A628" s="38"/>
      <c r="B628" s="38"/>
      <c r="C628" s="38"/>
      <c r="D628" s="366"/>
      <c r="E628" s="366"/>
      <c r="F628" s="366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9.5" customHeight="1" x14ac:dyDescent="0.25">
      <c r="A629" s="38"/>
      <c r="B629" s="38"/>
      <c r="C629" s="38"/>
      <c r="D629" s="366"/>
      <c r="E629" s="366"/>
      <c r="F629" s="366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9.5" customHeight="1" x14ac:dyDescent="0.25">
      <c r="A630" s="38"/>
      <c r="B630" s="38"/>
      <c r="C630" s="38"/>
      <c r="D630" s="366"/>
      <c r="E630" s="366"/>
      <c r="F630" s="366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9.5" customHeight="1" x14ac:dyDescent="0.25">
      <c r="A631" s="38"/>
      <c r="B631" s="38"/>
      <c r="C631" s="38"/>
      <c r="D631" s="366"/>
      <c r="E631" s="366"/>
      <c r="F631" s="366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9.5" customHeight="1" x14ac:dyDescent="0.25">
      <c r="A632" s="38"/>
      <c r="B632" s="38"/>
      <c r="C632" s="38"/>
      <c r="D632" s="366"/>
      <c r="E632" s="366"/>
      <c r="F632" s="366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9.5" customHeight="1" x14ac:dyDescent="0.25">
      <c r="A633" s="38"/>
      <c r="B633" s="38"/>
      <c r="C633" s="38"/>
      <c r="D633" s="366"/>
      <c r="E633" s="366"/>
      <c r="F633" s="366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9.5" customHeight="1" x14ac:dyDescent="0.25">
      <c r="A634" s="38"/>
      <c r="B634" s="38"/>
      <c r="C634" s="38"/>
      <c r="D634" s="366"/>
      <c r="E634" s="366"/>
      <c r="F634" s="366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9.5" customHeight="1" x14ac:dyDescent="0.25">
      <c r="A635" s="38"/>
      <c r="B635" s="38"/>
      <c r="C635" s="38"/>
      <c r="D635" s="366"/>
      <c r="E635" s="366"/>
      <c r="F635" s="366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9.5" customHeight="1" x14ac:dyDescent="0.25">
      <c r="A636" s="38"/>
      <c r="B636" s="38"/>
      <c r="C636" s="38"/>
      <c r="D636" s="366"/>
      <c r="E636" s="366"/>
      <c r="F636" s="366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9.5" customHeight="1" x14ac:dyDescent="0.25">
      <c r="A637" s="38"/>
      <c r="B637" s="38"/>
      <c r="C637" s="38"/>
      <c r="D637" s="366"/>
      <c r="E637" s="366"/>
      <c r="F637" s="366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9.5" customHeight="1" x14ac:dyDescent="0.25">
      <c r="A638" s="38"/>
      <c r="B638" s="38"/>
      <c r="C638" s="38"/>
      <c r="D638" s="366"/>
      <c r="E638" s="366"/>
      <c r="F638" s="366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9.5" customHeight="1" x14ac:dyDescent="0.25">
      <c r="A639" s="38"/>
      <c r="B639" s="38"/>
      <c r="C639" s="38"/>
      <c r="D639" s="366"/>
      <c r="E639" s="366"/>
      <c r="F639" s="366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9.5" customHeight="1" x14ac:dyDescent="0.25">
      <c r="A640" s="38"/>
      <c r="B640" s="38"/>
      <c r="C640" s="38"/>
      <c r="D640" s="366"/>
      <c r="E640" s="366"/>
      <c r="F640" s="366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9.5" customHeight="1" x14ac:dyDescent="0.25">
      <c r="A641" s="38"/>
      <c r="B641" s="38"/>
      <c r="C641" s="38"/>
      <c r="D641" s="366"/>
      <c r="E641" s="366"/>
      <c r="F641" s="366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9.5" customHeight="1" x14ac:dyDescent="0.25">
      <c r="A642" s="38"/>
      <c r="B642" s="38"/>
      <c r="C642" s="38"/>
      <c r="D642" s="366"/>
      <c r="E642" s="366"/>
      <c r="F642" s="366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9.5" customHeight="1" x14ac:dyDescent="0.25">
      <c r="A643" s="38"/>
      <c r="B643" s="38"/>
      <c r="C643" s="38"/>
      <c r="D643" s="366"/>
      <c r="E643" s="366"/>
      <c r="F643" s="366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9.5" customHeight="1" x14ac:dyDescent="0.25">
      <c r="A644" s="38"/>
      <c r="B644" s="38"/>
      <c r="C644" s="38"/>
      <c r="D644" s="366"/>
      <c r="E644" s="366"/>
      <c r="F644" s="366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9.5" customHeight="1" x14ac:dyDescent="0.25">
      <c r="A645" s="38"/>
      <c r="B645" s="38"/>
      <c r="C645" s="38"/>
      <c r="D645" s="366"/>
      <c r="E645" s="366"/>
      <c r="F645" s="366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9.5" customHeight="1" x14ac:dyDescent="0.25">
      <c r="A646" s="38"/>
      <c r="B646" s="38"/>
      <c r="C646" s="38"/>
      <c r="D646" s="366"/>
      <c r="E646" s="366"/>
      <c r="F646" s="366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9.5" customHeight="1" x14ac:dyDescent="0.25">
      <c r="A647" s="38"/>
      <c r="B647" s="38"/>
      <c r="C647" s="38"/>
      <c r="D647" s="366"/>
      <c r="E647" s="366"/>
      <c r="F647" s="366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9.5" customHeight="1" x14ac:dyDescent="0.25">
      <c r="A648" s="38"/>
      <c r="B648" s="38"/>
      <c r="C648" s="38"/>
      <c r="D648" s="366"/>
      <c r="E648" s="366"/>
      <c r="F648" s="366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9.5" customHeight="1" x14ac:dyDescent="0.25">
      <c r="A649" s="38"/>
      <c r="B649" s="38"/>
      <c r="C649" s="38"/>
      <c r="D649" s="366"/>
      <c r="E649" s="366"/>
      <c r="F649" s="366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9.5" customHeight="1" x14ac:dyDescent="0.25">
      <c r="A650" s="38"/>
      <c r="B650" s="38"/>
      <c r="C650" s="38"/>
      <c r="D650" s="366"/>
      <c r="E650" s="366"/>
      <c r="F650" s="366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9.5" customHeight="1" x14ac:dyDescent="0.25">
      <c r="A651" s="38"/>
      <c r="B651" s="38"/>
      <c r="C651" s="38"/>
      <c r="D651" s="366"/>
      <c r="E651" s="366"/>
      <c r="F651" s="366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9.5" customHeight="1" x14ac:dyDescent="0.25">
      <c r="A652" s="38"/>
      <c r="B652" s="38"/>
      <c r="C652" s="38"/>
      <c r="D652" s="366"/>
      <c r="E652" s="366"/>
      <c r="F652" s="366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9.5" customHeight="1" x14ac:dyDescent="0.25">
      <c r="A653" s="38"/>
      <c r="B653" s="38"/>
      <c r="C653" s="38"/>
      <c r="D653" s="366"/>
      <c r="E653" s="366"/>
      <c r="F653" s="366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9.5" customHeight="1" x14ac:dyDescent="0.25">
      <c r="A654" s="38"/>
      <c r="B654" s="38"/>
      <c r="C654" s="38"/>
      <c r="D654" s="366"/>
      <c r="E654" s="366"/>
      <c r="F654" s="366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9.5" customHeight="1" x14ac:dyDescent="0.25">
      <c r="A655" s="38"/>
      <c r="B655" s="38"/>
      <c r="C655" s="38"/>
      <c r="D655" s="366"/>
      <c r="E655" s="366"/>
      <c r="F655" s="366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9.5" customHeight="1" x14ac:dyDescent="0.25">
      <c r="A656" s="38"/>
      <c r="B656" s="38"/>
      <c r="C656" s="38"/>
      <c r="D656" s="366"/>
      <c r="E656" s="366"/>
      <c r="F656" s="366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9.5" customHeight="1" x14ac:dyDescent="0.25">
      <c r="A657" s="38"/>
      <c r="B657" s="38"/>
      <c r="C657" s="38"/>
      <c r="D657" s="366"/>
      <c r="E657" s="366"/>
      <c r="F657" s="366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9.5" customHeight="1" x14ac:dyDescent="0.25">
      <c r="A658" s="38"/>
      <c r="B658" s="38"/>
      <c r="C658" s="38"/>
      <c r="D658" s="366"/>
      <c r="E658" s="366"/>
      <c r="F658" s="366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9.5" customHeight="1" x14ac:dyDescent="0.25">
      <c r="A659" s="38"/>
      <c r="B659" s="38"/>
      <c r="C659" s="38"/>
      <c r="D659" s="366"/>
      <c r="E659" s="366"/>
      <c r="F659" s="366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9.5" customHeight="1" x14ac:dyDescent="0.25">
      <c r="A660" s="38"/>
      <c r="B660" s="38"/>
      <c r="C660" s="38"/>
      <c r="D660" s="366"/>
      <c r="E660" s="366"/>
      <c r="F660" s="366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9.5" customHeight="1" x14ac:dyDescent="0.25">
      <c r="A661" s="38"/>
      <c r="B661" s="38"/>
      <c r="C661" s="38"/>
      <c r="D661" s="366"/>
      <c r="E661" s="366"/>
      <c r="F661" s="366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9.5" customHeight="1" x14ac:dyDescent="0.25">
      <c r="A662" s="38"/>
      <c r="B662" s="38"/>
      <c r="C662" s="38"/>
      <c r="D662" s="366"/>
      <c r="E662" s="366"/>
      <c r="F662" s="366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9.5" customHeight="1" x14ac:dyDescent="0.25">
      <c r="A663" s="38"/>
      <c r="B663" s="38"/>
      <c r="C663" s="38"/>
      <c r="D663" s="366"/>
      <c r="E663" s="366"/>
      <c r="F663" s="366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9.5" customHeight="1" x14ac:dyDescent="0.25">
      <c r="A664" s="38"/>
      <c r="B664" s="38"/>
      <c r="C664" s="38"/>
      <c r="D664" s="366"/>
      <c r="E664" s="366"/>
      <c r="F664" s="366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9.5" customHeight="1" x14ac:dyDescent="0.25">
      <c r="A665" s="38"/>
      <c r="B665" s="38"/>
      <c r="C665" s="38"/>
      <c r="D665" s="366"/>
      <c r="E665" s="366"/>
      <c r="F665" s="366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9.5" customHeight="1" x14ac:dyDescent="0.25">
      <c r="A666" s="38"/>
      <c r="B666" s="38"/>
      <c r="C666" s="38"/>
      <c r="D666" s="366"/>
      <c r="E666" s="366"/>
      <c r="F666" s="366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9.5" customHeight="1" x14ac:dyDescent="0.25">
      <c r="A667" s="38"/>
      <c r="B667" s="38"/>
      <c r="C667" s="38"/>
      <c r="D667" s="366"/>
      <c r="E667" s="366"/>
      <c r="F667" s="366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9.5" customHeight="1" x14ac:dyDescent="0.25">
      <c r="A668" s="38"/>
      <c r="B668" s="38"/>
      <c r="C668" s="38"/>
      <c r="D668" s="366"/>
      <c r="E668" s="366"/>
      <c r="F668" s="366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9.5" customHeight="1" x14ac:dyDescent="0.25">
      <c r="A669" s="38"/>
      <c r="B669" s="38"/>
      <c r="C669" s="38"/>
      <c r="D669" s="366"/>
      <c r="E669" s="366"/>
      <c r="F669" s="366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9.5" customHeight="1" x14ac:dyDescent="0.25">
      <c r="A670" s="38"/>
      <c r="B670" s="38"/>
      <c r="C670" s="38"/>
      <c r="D670" s="366"/>
      <c r="E670" s="366"/>
      <c r="F670" s="366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9.5" customHeight="1" x14ac:dyDescent="0.25">
      <c r="A671" s="38"/>
      <c r="B671" s="38"/>
      <c r="C671" s="38"/>
      <c r="D671" s="366"/>
      <c r="E671" s="366"/>
      <c r="F671" s="366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9.5" customHeight="1" x14ac:dyDescent="0.25">
      <c r="A672" s="38"/>
      <c r="B672" s="38"/>
      <c r="C672" s="38"/>
      <c r="D672" s="366"/>
      <c r="E672" s="366"/>
      <c r="F672" s="366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9.5" customHeight="1" x14ac:dyDescent="0.25">
      <c r="A673" s="38"/>
      <c r="B673" s="38"/>
      <c r="C673" s="38"/>
      <c r="D673" s="366"/>
      <c r="E673" s="366"/>
      <c r="F673" s="366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9.5" customHeight="1" x14ac:dyDescent="0.25">
      <c r="A674" s="38"/>
      <c r="B674" s="38"/>
      <c r="C674" s="38"/>
      <c r="D674" s="366"/>
      <c r="E674" s="366"/>
      <c r="F674" s="366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9.5" customHeight="1" x14ac:dyDescent="0.25">
      <c r="A675" s="38"/>
      <c r="B675" s="38"/>
      <c r="C675" s="38"/>
      <c r="D675" s="366"/>
      <c r="E675" s="366"/>
      <c r="F675" s="366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9.5" customHeight="1" x14ac:dyDescent="0.25">
      <c r="A676" s="38"/>
      <c r="B676" s="38"/>
      <c r="C676" s="38"/>
      <c r="D676" s="366"/>
      <c r="E676" s="366"/>
      <c r="F676" s="366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9.5" customHeight="1" x14ac:dyDescent="0.25">
      <c r="A677" s="38"/>
      <c r="B677" s="38"/>
      <c r="C677" s="38"/>
      <c r="D677" s="366"/>
      <c r="E677" s="366"/>
      <c r="F677" s="366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9.5" customHeight="1" x14ac:dyDescent="0.25">
      <c r="A678" s="38"/>
      <c r="B678" s="38"/>
      <c r="C678" s="38"/>
      <c r="D678" s="366"/>
      <c r="E678" s="366"/>
      <c r="F678" s="366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9.5" customHeight="1" x14ac:dyDescent="0.25">
      <c r="A679" s="38"/>
      <c r="B679" s="38"/>
      <c r="C679" s="38"/>
      <c r="D679" s="366"/>
      <c r="E679" s="366"/>
      <c r="F679" s="366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9.5" customHeight="1" x14ac:dyDescent="0.25">
      <c r="A680" s="38"/>
      <c r="B680" s="38"/>
      <c r="C680" s="38"/>
      <c r="D680" s="366"/>
      <c r="E680" s="366"/>
      <c r="F680" s="366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9.5" customHeight="1" x14ac:dyDescent="0.25">
      <c r="A681" s="38"/>
      <c r="B681" s="38"/>
      <c r="C681" s="38"/>
      <c r="D681" s="366"/>
      <c r="E681" s="366"/>
      <c r="F681" s="366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9.5" customHeight="1" x14ac:dyDescent="0.25">
      <c r="A682" s="38"/>
      <c r="B682" s="38"/>
      <c r="C682" s="38"/>
      <c r="D682" s="366"/>
      <c r="E682" s="366"/>
      <c r="F682" s="366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9.5" customHeight="1" x14ac:dyDescent="0.25">
      <c r="A683" s="38"/>
      <c r="B683" s="38"/>
      <c r="C683" s="38"/>
      <c r="D683" s="366"/>
      <c r="E683" s="366"/>
      <c r="F683" s="366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9.5" customHeight="1" x14ac:dyDescent="0.25">
      <c r="A684" s="38"/>
      <c r="B684" s="38"/>
      <c r="C684" s="38"/>
      <c r="D684" s="366"/>
      <c r="E684" s="366"/>
      <c r="F684" s="366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9.5" customHeight="1" x14ac:dyDescent="0.25">
      <c r="A685" s="38"/>
      <c r="B685" s="38"/>
      <c r="C685" s="38"/>
      <c r="D685" s="366"/>
      <c r="E685" s="366"/>
      <c r="F685" s="366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9.5" customHeight="1" x14ac:dyDescent="0.25">
      <c r="A686" s="38"/>
      <c r="B686" s="38"/>
      <c r="C686" s="38"/>
      <c r="D686" s="366"/>
      <c r="E686" s="366"/>
      <c r="F686" s="366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9.5" customHeight="1" x14ac:dyDescent="0.25">
      <c r="A687" s="38"/>
      <c r="B687" s="38"/>
      <c r="C687" s="38"/>
      <c r="D687" s="366"/>
      <c r="E687" s="366"/>
      <c r="F687" s="366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9.5" customHeight="1" x14ac:dyDescent="0.25">
      <c r="A688" s="38"/>
      <c r="B688" s="38"/>
      <c r="C688" s="38"/>
      <c r="D688" s="366"/>
      <c r="E688" s="366"/>
      <c r="F688" s="366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9.5" customHeight="1" x14ac:dyDescent="0.25">
      <c r="A689" s="38"/>
      <c r="B689" s="38"/>
      <c r="C689" s="38"/>
      <c r="D689" s="366"/>
      <c r="E689" s="366"/>
      <c r="F689" s="366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9.5" customHeight="1" x14ac:dyDescent="0.25">
      <c r="A690" s="38"/>
      <c r="B690" s="38"/>
      <c r="C690" s="38"/>
      <c r="D690" s="366"/>
      <c r="E690" s="366"/>
      <c r="F690" s="366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9.5" customHeight="1" x14ac:dyDescent="0.25">
      <c r="A691" s="38"/>
      <c r="B691" s="38"/>
      <c r="C691" s="38"/>
      <c r="D691" s="366"/>
      <c r="E691" s="366"/>
      <c r="F691" s="366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9.5" customHeight="1" x14ac:dyDescent="0.25">
      <c r="A692" s="38"/>
      <c r="B692" s="38"/>
      <c r="C692" s="38"/>
      <c r="D692" s="366"/>
      <c r="E692" s="366"/>
      <c r="F692" s="366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9.5" customHeight="1" x14ac:dyDescent="0.25">
      <c r="A693" s="38"/>
      <c r="B693" s="38"/>
      <c r="C693" s="38"/>
      <c r="D693" s="366"/>
      <c r="E693" s="366"/>
      <c r="F693" s="366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9.5" customHeight="1" x14ac:dyDescent="0.25">
      <c r="A694" s="38"/>
      <c r="B694" s="38"/>
      <c r="C694" s="38"/>
      <c r="D694" s="366"/>
      <c r="E694" s="366"/>
      <c r="F694" s="366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9.5" customHeight="1" x14ac:dyDescent="0.25">
      <c r="A695" s="38"/>
      <c r="B695" s="38"/>
      <c r="C695" s="38"/>
      <c r="D695" s="366"/>
      <c r="E695" s="366"/>
      <c r="F695" s="366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9.5" customHeight="1" x14ac:dyDescent="0.25">
      <c r="A696" s="38"/>
      <c r="B696" s="38"/>
      <c r="C696" s="38"/>
      <c r="D696" s="366"/>
      <c r="E696" s="366"/>
      <c r="F696" s="366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9.5" customHeight="1" x14ac:dyDescent="0.25">
      <c r="A697" s="38"/>
      <c r="B697" s="38"/>
      <c r="C697" s="38"/>
      <c r="D697" s="366"/>
      <c r="E697" s="366"/>
      <c r="F697" s="366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9.5" customHeight="1" x14ac:dyDescent="0.25">
      <c r="A698" s="38"/>
      <c r="B698" s="38"/>
      <c r="C698" s="38"/>
      <c r="D698" s="366"/>
      <c r="E698" s="366"/>
      <c r="F698" s="366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9.5" customHeight="1" x14ac:dyDescent="0.25">
      <c r="A699" s="38"/>
      <c r="B699" s="38"/>
      <c r="C699" s="38"/>
      <c r="D699" s="366"/>
      <c r="E699" s="366"/>
      <c r="F699" s="366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9.5" customHeight="1" x14ac:dyDescent="0.25">
      <c r="A700" s="38"/>
      <c r="B700" s="38"/>
      <c r="C700" s="38"/>
      <c r="D700" s="366"/>
      <c r="E700" s="366"/>
      <c r="F700" s="366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9.5" customHeight="1" x14ac:dyDescent="0.25">
      <c r="A701" s="38"/>
      <c r="B701" s="38"/>
      <c r="C701" s="38"/>
      <c r="D701" s="366"/>
      <c r="E701" s="366"/>
      <c r="F701" s="366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9.5" customHeight="1" x14ac:dyDescent="0.25">
      <c r="A702" s="38"/>
      <c r="B702" s="38"/>
      <c r="C702" s="38"/>
      <c r="D702" s="366"/>
      <c r="E702" s="366"/>
      <c r="F702" s="366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9.5" customHeight="1" x14ac:dyDescent="0.25">
      <c r="A703" s="38"/>
      <c r="B703" s="38"/>
      <c r="C703" s="38"/>
      <c r="D703" s="366"/>
      <c r="E703" s="366"/>
      <c r="F703" s="366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9.5" customHeight="1" x14ac:dyDescent="0.25">
      <c r="A704" s="38"/>
      <c r="B704" s="38"/>
      <c r="C704" s="38"/>
      <c r="D704" s="366"/>
      <c r="E704" s="366"/>
      <c r="F704" s="366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9.5" customHeight="1" x14ac:dyDescent="0.25">
      <c r="A705" s="38"/>
      <c r="B705" s="38"/>
      <c r="C705" s="38"/>
      <c r="D705" s="366"/>
      <c r="E705" s="366"/>
      <c r="F705" s="366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9.5" customHeight="1" x14ac:dyDescent="0.25">
      <c r="A706" s="38"/>
      <c r="B706" s="38"/>
      <c r="C706" s="38"/>
      <c r="D706" s="366"/>
      <c r="E706" s="366"/>
      <c r="F706" s="366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9.5" customHeight="1" x14ac:dyDescent="0.25">
      <c r="A707" s="38"/>
      <c r="B707" s="38"/>
      <c r="C707" s="38"/>
      <c r="D707" s="366"/>
      <c r="E707" s="366"/>
      <c r="F707" s="366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9.5" customHeight="1" x14ac:dyDescent="0.25">
      <c r="A708" s="38"/>
      <c r="B708" s="38"/>
      <c r="C708" s="38"/>
      <c r="D708" s="366"/>
      <c r="E708" s="366"/>
      <c r="F708" s="366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9.5" customHeight="1" x14ac:dyDescent="0.25">
      <c r="A709" s="38"/>
      <c r="B709" s="38"/>
      <c r="C709" s="38"/>
      <c r="D709" s="366"/>
      <c r="E709" s="366"/>
      <c r="F709" s="366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9.5" customHeight="1" x14ac:dyDescent="0.25">
      <c r="A710" s="38"/>
      <c r="B710" s="38"/>
      <c r="C710" s="38"/>
      <c r="D710" s="366"/>
      <c r="E710" s="366"/>
      <c r="F710" s="366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9.5" customHeight="1" x14ac:dyDescent="0.25">
      <c r="A711" s="38"/>
      <c r="B711" s="38"/>
      <c r="C711" s="38"/>
      <c r="D711" s="366"/>
      <c r="E711" s="366"/>
      <c r="F711" s="366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9.5" customHeight="1" x14ac:dyDescent="0.25">
      <c r="A712" s="38"/>
      <c r="B712" s="38"/>
      <c r="C712" s="38"/>
      <c r="D712" s="366"/>
      <c r="E712" s="366"/>
      <c r="F712" s="366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9.5" customHeight="1" x14ac:dyDescent="0.25">
      <c r="A713" s="38"/>
      <c r="B713" s="38"/>
      <c r="C713" s="38"/>
      <c r="D713" s="366"/>
      <c r="E713" s="366"/>
      <c r="F713" s="366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9.5" customHeight="1" x14ac:dyDescent="0.25">
      <c r="A714" s="38"/>
      <c r="B714" s="38"/>
      <c r="C714" s="38"/>
      <c r="D714" s="366"/>
      <c r="E714" s="366"/>
      <c r="F714" s="366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9.5" customHeight="1" x14ac:dyDescent="0.25">
      <c r="A715" s="38"/>
      <c r="B715" s="38"/>
      <c r="C715" s="38"/>
      <c r="D715" s="366"/>
      <c r="E715" s="366"/>
      <c r="F715" s="366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9.5" customHeight="1" x14ac:dyDescent="0.25">
      <c r="A716" s="38"/>
      <c r="B716" s="38"/>
      <c r="C716" s="38"/>
      <c r="D716" s="366"/>
      <c r="E716" s="366"/>
      <c r="F716" s="366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9.5" customHeight="1" x14ac:dyDescent="0.25">
      <c r="A717" s="38"/>
      <c r="B717" s="38"/>
      <c r="C717" s="38"/>
      <c r="D717" s="366"/>
      <c r="E717" s="366"/>
      <c r="F717" s="366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9.5" customHeight="1" x14ac:dyDescent="0.25">
      <c r="A718" s="38"/>
      <c r="B718" s="38"/>
      <c r="C718" s="38"/>
      <c r="D718" s="366"/>
      <c r="E718" s="366"/>
      <c r="F718" s="366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9.5" customHeight="1" x14ac:dyDescent="0.25">
      <c r="A719" s="38"/>
      <c r="B719" s="38"/>
      <c r="C719" s="38"/>
      <c r="D719" s="366"/>
      <c r="E719" s="366"/>
      <c r="F719" s="366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9.5" customHeight="1" x14ac:dyDescent="0.25">
      <c r="A720" s="38"/>
      <c r="B720" s="38"/>
      <c r="C720" s="38"/>
      <c r="D720" s="366"/>
      <c r="E720" s="366"/>
      <c r="F720" s="366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9.5" customHeight="1" x14ac:dyDescent="0.25">
      <c r="A721" s="38"/>
      <c r="B721" s="38"/>
      <c r="C721" s="38"/>
      <c r="D721" s="366"/>
      <c r="E721" s="366"/>
      <c r="F721" s="366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9.5" customHeight="1" x14ac:dyDescent="0.25">
      <c r="A722" s="38"/>
      <c r="B722" s="38"/>
      <c r="C722" s="38"/>
      <c r="D722" s="366"/>
      <c r="E722" s="366"/>
      <c r="F722" s="366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9.5" customHeight="1" x14ac:dyDescent="0.25">
      <c r="A723" s="38"/>
      <c r="B723" s="38"/>
      <c r="C723" s="38"/>
      <c r="D723" s="366"/>
      <c r="E723" s="366"/>
      <c r="F723" s="366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9.5" customHeight="1" x14ac:dyDescent="0.25">
      <c r="A724" s="38"/>
      <c r="B724" s="38"/>
      <c r="C724" s="38"/>
      <c r="D724" s="366"/>
      <c r="E724" s="366"/>
      <c r="F724" s="366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9.5" customHeight="1" x14ac:dyDescent="0.25">
      <c r="A725" s="38"/>
      <c r="B725" s="38"/>
      <c r="C725" s="38"/>
      <c r="D725" s="366"/>
      <c r="E725" s="366"/>
      <c r="F725" s="366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9.5" customHeight="1" x14ac:dyDescent="0.25">
      <c r="A726" s="38"/>
      <c r="B726" s="38"/>
      <c r="C726" s="38"/>
      <c r="D726" s="366"/>
      <c r="E726" s="366"/>
      <c r="F726" s="366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9.5" customHeight="1" x14ac:dyDescent="0.25">
      <c r="A727" s="38"/>
      <c r="B727" s="38"/>
      <c r="C727" s="38"/>
      <c r="D727" s="366"/>
      <c r="E727" s="366"/>
      <c r="F727" s="366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9.5" customHeight="1" x14ac:dyDescent="0.25">
      <c r="A728" s="38"/>
      <c r="B728" s="38"/>
      <c r="C728" s="38"/>
      <c r="D728" s="366"/>
      <c r="E728" s="366"/>
      <c r="F728" s="366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9.5" customHeight="1" x14ac:dyDescent="0.25">
      <c r="A729" s="38"/>
      <c r="B729" s="38"/>
      <c r="C729" s="38"/>
      <c r="D729" s="366"/>
      <c r="E729" s="366"/>
      <c r="F729" s="366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9.5" customHeight="1" x14ac:dyDescent="0.25">
      <c r="A730" s="38"/>
      <c r="B730" s="38"/>
      <c r="C730" s="38"/>
      <c r="D730" s="366"/>
      <c r="E730" s="366"/>
      <c r="F730" s="366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9.5" customHeight="1" x14ac:dyDescent="0.25">
      <c r="A731" s="38"/>
      <c r="B731" s="38"/>
      <c r="C731" s="38"/>
      <c r="D731" s="366"/>
      <c r="E731" s="366"/>
      <c r="F731" s="366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9.5" customHeight="1" x14ac:dyDescent="0.25">
      <c r="A732" s="38"/>
      <c r="B732" s="38"/>
      <c r="C732" s="38"/>
      <c r="D732" s="366"/>
      <c r="E732" s="366"/>
      <c r="F732" s="366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9.5" customHeight="1" x14ac:dyDescent="0.25">
      <c r="A733" s="38"/>
      <c r="B733" s="38"/>
      <c r="C733" s="38"/>
      <c r="D733" s="366"/>
      <c r="E733" s="366"/>
      <c r="F733" s="366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9.5" customHeight="1" x14ac:dyDescent="0.25">
      <c r="A734" s="38"/>
      <c r="B734" s="38"/>
      <c r="C734" s="38"/>
      <c r="D734" s="366"/>
      <c r="E734" s="366"/>
      <c r="F734" s="366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9.5" customHeight="1" x14ac:dyDescent="0.25">
      <c r="A735" s="38"/>
      <c r="B735" s="38"/>
      <c r="C735" s="38"/>
      <c r="D735" s="366"/>
      <c r="E735" s="366"/>
      <c r="F735" s="366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9.5" customHeight="1" x14ac:dyDescent="0.25">
      <c r="A736" s="38"/>
      <c r="B736" s="38"/>
      <c r="C736" s="38"/>
      <c r="D736" s="366"/>
      <c r="E736" s="366"/>
      <c r="F736" s="366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9.5" customHeight="1" x14ac:dyDescent="0.25">
      <c r="A737" s="38"/>
      <c r="B737" s="38"/>
      <c r="C737" s="38"/>
      <c r="D737" s="366"/>
      <c r="E737" s="366"/>
      <c r="F737" s="366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9.5" customHeight="1" x14ac:dyDescent="0.25">
      <c r="A738" s="38"/>
      <c r="B738" s="38"/>
      <c r="C738" s="38"/>
      <c r="D738" s="366"/>
      <c r="E738" s="366"/>
      <c r="F738" s="366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9.5" customHeight="1" x14ac:dyDescent="0.25">
      <c r="A739" s="38"/>
      <c r="B739" s="38"/>
      <c r="C739" s="38"/>
      <c r="D739" s="366"/>
      <c r="E739" s="366"/>
      <c r="F739" s="366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9.5" customHeight="1" x14ac:dyDescent="0.25">
      <c r="A740" s="38"/>
      <c r="B740" s="38"/>
      <c r="C740" s="38"/>
      <c r="D740" s="366"/>
      <c r="E740" s="366"/>
      <c r="F740" s="366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9.5" customHeight="1" x14ac:dyDescent="0.25">
      <c r="A741" s="38"/>
      <c r="B741" s="38"/>
      <c r="C741" s="38"/>
      <c r="D741" s="366"/>
      <c r="E741" s="366"/>
      <c r="F741" s="366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9.5" customHeight="1" x14ac:dyDescent="0.25">
      <c r="A742" s="38"/>
      <c r="B742" s="38"/>
      <c r="C742" s="38"/>
      <c r="D742" s="366"/>
      <c r="E742" s="366"/>
      <c r="F742" s="366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9.5" customHeight="1" x14ac:dyDescent="0.25">
      <c r="A743" s="38"/>
      <c r="B743" s="38"/>
      <c r="C743" s="38"/>
      <c r="D743" s="366"/>
      <c r="E743" s="366"/>
      <c r="F743" s="366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9.5" customHeight="1" x14ac:dyDescent="0.25">
      <c r="A744" s="38"/>
      <c r="B744" s="38"/>
      <c r="C744" s="38"/>
      <c r="D744" s="366"/>
      <c r="E744" s="366"/>
      <c r="F744" s="366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9.5" customHeight="1" x14ac:dyDescent="0.25">
      <c r="A745" s="38"/>
      <c r="B745" s="38"/>
      <c r="C745" s="38"/>
      <c r="D745" s="366"/>
      <c r="E745" s="366"/>
      <c r="F745" s="366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9.5" customHeight="1" x14ac:dyDescent="0.25">
      <c r="A746" s="38"/>
      <c r="B746" s="38"/>
      <c r="C746" s="38"/>
      <c r="D746" s="366"/>
      <c r="E746" s="366"/>
      <c r="F746" s="366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9.5" customHeight="1" x14ac:dyDescent="0.25">
      <c r="A747" s="38"/>
      <c r="B747" s="38"/>
      <c r="C747" s="38"/>
      <c r="D747" s="366"/>
      <c r="E747" s="366"/>
      <c r="F747" s="366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9.5" customHeight="1" x14ac:dyDescent="0.25">
      <c r="A748" s="38"/>
      <c r="B748" s="38"/>
      <c r="C748" s="38"/>
      <c r="D748" s="366"/>
      <c r="E748" s="366"/>
      <c r="F748" s="366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9.5" customHeight="1" x14ac:dyDescent="0.25">
      <c r="A749" s="38"/>
      <c r="B749" s="38"/>
      <c r="C749" s="38"/>
      <c r="D749" s="366"/>
      <c r="E749" s="366"/>
      <c r="F749" s="366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9.5" customHeight="1" x14ac:dyDescent="0.25">
      <c r="A750" s="38"/>
      <c r="B750" s="38"/>
      <c r="C750" s="38"/>
      <c r="D750" s="366"/>
      <c r="E750" s="366"/>
      <c r="F750" s="366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9.5" customHeight="1" x14ac:dyDescent="0.25">
      <c r="A751" s="38"/>
      <c r="B751" s="38"/>
      <c r="C751" s="38"/>
      <c r="D751" s="366"/>
      <c r="E751" s="366"/>
      <c r="F751" s="366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9.5" customHeight="1" x14ac:dyDescent="0.25">
      <c r="A752" s="38"/>
      <c r="B752" s="38"/>
      <c r="C752" s="38"/>
      <c r="D752" s="366"/>
      <c r="E752" s="366"/>
      <c r="F752" s="366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9.5" customHeight="1" x14ac:dyDescent="0.25">
      <c r="A753" s="38"/>
      <c r="B753" s="38"/>
      <c r="C753" s="38"/>
      <c r="D753" s="366"/>
      <c r="E753" s="366"/>
      <c r="F753" s="366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9.5" customHeight="1" x14ac:dyDescent="0.25">
      <c r="A754" s="38"/>
      <c r="B754" s="38"/>
      <c r="C754" s="38"/>
      <c r="D754" s="366"/>
      <c r="E754" s="366"/>
      <c r="F754" s="366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9.5" customHeight="1" x14ac:dyDescent="0.25">
      <c r="A755" s="38"/>
      <c r="B755" s="38"/>
      <c r="C755" s="38"/>
      <c r="D755" s="366"/>
      <c r="E755" s="366"/>
      <c r="F755" s="366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9.5" customHeight="1" x14ac:dyDescent="0.25">
      <c r="A756" s="38"/>
      <c r="B756" s="38"/>
      <c r="C756" s="38"/>
      <c r="D756" s="366"/>
      <c r="E756" s="366"/>
      <c r="F756" s="366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9.5" customHeight="1" x14ac:dyDescent="0.25">
      <c r="A757" s="38"/>
      <c r="B757" s="38"/>
      <c r="C757" s="38"/>
      <c r="D757" s="366"/>
      <c r="E757" s="366"/>
      <c r="F757" s="366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9.5" customHeight="1" x14ac:dyDescent="0.25">
      <c r="A758" s="38"/>
      <c r="B758" s="38"/>
      <c r="C758" s="38"/>
      <c r="D758" s="366"/>
      <c r="E758" s="366"/>
      <c r="F758" s="366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9.5" customHeight="1" x14ac:dyDescent="0.25">
      <c r="A759" s="38"/>
      <c r="B759" s="38"/>
      <c r="C759" s="38"/>
      <c r="D759" s="366"/>
      <c r="E759" s="366"/>
      <c r="F759" s="366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9.5" customHeight="1" x14ac:dyDescent="0.25">
      <c r="A760" s="38"/>
      <c r="B760" s="38"/>
      <c r="C760" s="38"/>
      <c r="D760" s="366"/>
      <c r="E760" s="366"/>
      <c r="F760" s="366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9.5" customHeight="1" x14ac:dyDescent="0.25">
      <c r="A761" s="38"/>
      <c r="B761" s="38"/>
      <c r="C761" s="38"/>
      <c r="D761" s="366"/>
      <c r="E761" s="366"/>
      <c r="F761" s="366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9.5" customHeight="1" x14ac:dyDescent="0.25">
      <c r="A762" s="38"/>
      <c r="B762" s="38"/>
      <c r="C762" s="38"/>
      <c r="D762" s="366"/>
      <c r="E762" s="366"/>
      <c r="F762" s="366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9.5" customHeight="1" x14ac:dyDescent="0.25">
      <c r="A763" s="38"/>
      <c r="B763" s="38"/>
      <c r="C763" s="38"/>
      <c r="D763" s="366"/>
      <c r="E763" s="366"/>
      <c r="F763" s="366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9.5" customHeight="1" x14ac:dyDescent="0.25">
      <c r="A764" s="38"/>
      <c r="B764" s="38"/>
      <c r="C764" s="38"/>
      <c r="D764" s="366"/>
      <c r="E764" s="366"/>
      <c r="F764" s="366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9.5" customHeight="1" x14ac:dyDescent="0.25">
      <c r="A765" s="38"/>
      <c r="B765" s="38"/>
      <c r="C765" s="38"/>
      <c r="D765" s="366"/>
      <c r="E765" s="366"/>
      <c r="F765" s="366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9.5" customHeight="1" x14ac:dyDescent="0.25">
      <c r="A766" s="38"/>
      <c r="B766" s="38"/>
      <c r="C766" s="38"/>
      <c r="D766" s="366"/>
      <c r="E766" s="366"/>
      <c r="F766" s="366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9.5" customHeight="1" x14ac:dyDescent="0.25">
      <c r="A767" s="38"/>
      <c r="B767" s="38"/>
      <c r="C767" s="38"/>
      <c r="D767" s="366"/>
      <c r="E767" s="366"/>
      <c r="F767" s="366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9.5" customHeight="1" x14ac:dyDescent="0.25">
      <c r="A768" s="38"/>
      <c r="B768" s="38"/>
      <c r="C768" s="38"/>
      <c r="D768" s="366"/>
      <c r="E768" s="366"/>
      <c r="F768" s="366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9.5" customHeight="1" x14ac:dyDescent="0.25">
      <c r="A769" s="38"/>
      <c r="B769" s="38"/>
      <c r="C769" s="38"/>
      <c r="D769" s="366"/>
      <c r="E769" s="366"/>
      <c r="F769" s="366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9.5" customHeight="1" x14ac:dyDescent="0.25">
      <c r="A770" s="38"/>
      <c r="B770" s="38"/>
      <c r="C770" s="38"/>
      <c r="D770" s="366"/>
      <c r="E770" s="366"/>
      <c r="F770" s="366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9.5" customHeight="1" x14ac:dyDescent="0.25">
      <c r="A771" s="38"/>
      <c r="B771" s="38"/>
      <c r="C771" s="38"/>
      <c r="D771" s="366"/>
      <c r="E771" s="366"/>
      <c r="F771" s="366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9.5" customHeight="1" x14ac:dyDescent="0.25">
      <c r="A772" s="38"/>
      <c r="B772" s="38"/>
      <c r="C772" s="38"/>
      <c r="D772" s="366"/>
      <c r="E772" s="366"/>
      <c r="F772" s="366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9.5" customHeight="1" x14ac:dyDescent="0.25">
      <c r="A773" s="38"/>
      <c r="B773" s="38"/>
      <c r="C773" s="38"/>
      <c r="D773" s="366"/>
      <c r="E773" s="366"/>
      <c r="F773" s="366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9.5" customHeight="1" x14ac:dyDescent="0.25">
      <c r="A774" s="38"/>
      <c r="B774" s="38"/>
      <c r="C774" s="38"/>
      <c r="D774" s="366"/>
      <c r="E774" s="366"/>
      <c r="F774" s="366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9.5" customHeight="1" x14ac:dyDescent="0.25">
      <c r="A775" s="38"/>
      <c r="B775" s="38"/>
      <c r="C775" s="38"/>
      <c r="D775" s="366"/>
      <c r="E775" s="366"/>
      <c r="F775" s="366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9.5" customHeight="1" x14ac:dyDescent="0.25">
      <c r="A776" s="38"/>
      <c r="B776" s="38"/>
      <c r="C776" s="38"/>
      <c r="D776" s="366"/>
      <c r="E776" s="366"/>
      <c r="F776" s="366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9.5" customHeight="1" x14ac:dyDescent="0.25">
      <c r="A777" s="38"/>
      <c r="B777" s="38"/>
      <c r="C777" s="38"/>
      <c r="D777" s="366"/>
      <c r="E777" s="366"/>
      <c r="F777" s="366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9.5" customHeight="1" x14ac:dyDescent="0.25">
      <c r="A778" s="38"/>
      <c r="B778" s="38"/>
      <c r="C778" s="38"/>
      <c r="D778" s="366"/>
      <c r="E778" s="366"/>
      <c r="F778" s="366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9.5" customHeight="1" x14ac:dyDescent="0.25">
      <c r="A779" s="38"/>
      <c r="B779" s="38"/>
      <c r="C779" s="38"/>
      <c r="D779" s="366"/>
      <c r="E779" s="366"/>
      <c r="F779" s="366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9.5" customHeight="1" x14ac:dyDescent="0.25">
      <c r="A780" s="38"/>
      <c r="B780" s="38"/>
      <c r="C780" s="38"/>
      <c r="D780" s="366"/>
      <c r="E780" s="366"/>
      <c r="F780" s="366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9.5" customHeight="1" x14ac:dyDescent="0.25">
      <c r="A781" s="38"/>
      <c r="B781" s="38"/>
      <c r="C781" s="38"/>
      <c r="D781" s="366"/>
      <c r="E781" s="366"/>
      <c r="F781" s="366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9.5" customHeight="1" x14ac:dyDescent="0.25">
      <c r="A782" s="38"/>
      <c r="B782" s="38"/>
      <c r="C782" s="38"/>
      <c r="D782" s="366"/>
      <c r="E782" s="366"/>
      <c r="F782" s="366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9.5" customHeight="1" x14ac:dyDescent="0.25">
      <c r="A783" s="38"/>
      <c r="B783" s="38"/>
      <c r="C783" s="38"/>
      <c r="D783" s="366"/>
      <c r="E783" s="366"/>
      <c r="F783" s="366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9.5" customHeight="1" x14ac:dyDescent="0.25">
      <c r="A784" s="38"/>
      <c r="B784" s="38"/>
      <c r="C784" s="38"/>
      <c r="D784" s="366"/>
      <c r="E784" s="366"/>
      <c r="F784" s="366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9.5" customHeight="1" x14ac:dyDescent="0.25">
      <c r="A785" s="38"/>
      <c r="B785" s="38"/>
      <c r="C785" s="38"/>
      <c r="D785" s="366"/>
      <c r="E785" s="366"/>
      <c r="F785" s="366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9.5" customHeight="1" x14ac:dyDescent="0.25">
      <c r="A786" s="38"/>
      <c r="B786" s="38"/>
      <c r="C786" s="38"/>
      <c r="D786" s="366"/>
      <c r="E786" s="366"/>
      <c r="F786" s="366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9.5" customHeight="1" x14ac:dyDescent="0.25">
      <c r="A787" s="38"/>
      <c r="B787" s="38"/>
      <c r="C787" s="38"/>
      <c r="D787" s="366"/>
      <c r="E787" s="366"/>
      <c r="F787" s="366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9.5" customHeight="1" x14ac:dyDescent="0.25">
      <c r="A788" s="38"/>
      <c r="B788" s="38"/>
      <c r="C788" s="38"/>
      <c r="D788" s="366"/>
      <c r="E788" s="366"/>
      <c r="F788" s="366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9.5" customHeight="1" x14ac:dyDescent="0.25">
      <c r="A789" s="38"/>
      <c r="B789" s="38"/>
      <c r="C789" s="38"/>
      <c r="D789" s="366"/>
      <c r="E789" s="366"/>
      <c r="F789" s="366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9.5" customHeight="1" x14ac:dyDescent="0.25">
      <c r="A790" s="38"/>
      <c r="B790" s="38"/>
      <c r="C790" s="38"/>
      <c r="D790" s="366"/>
      <c r="E790" s="366"/>
      <c r="F790" s="366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9.5" customHeight="1" x14ac:dyDescent="0.25">
      <c r="A791" s="38"/>
      <c r="B791" s="38"/>
      <c r="C791" s="38"/>
      <c r="D791" s="366"/>
      <c r="E791" s="366"/>
      <c r="F791" s="366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9.5" customHeight="1" x14ac:dyDescent="0.25">
      <c r="A792" s="38"/>
      <c r="B792" s="38"/>
      <c r="C792" s="38"/>
      <c r="D792" s="366"/>
      <c r="E792" s="366"/>
      <c r="F792" s="366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9.5" customHeight="1" x14ac:dyDescent="0.25">
      <c r="A793" s="38"/>
      <c r="B793" s="38"/>
      <c r="C793" s="38"/>
      <c r="D793" s="366"/>
      <c r="E793" s="366"/>
      <c r="F793" s="366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9.5" customHeight="1" x14ac:dyDescent="0.25">
      <c r="A794" s="38"/>
      <c r="B794" s="38"/>
      <c r="C794" s="38"/>
      <c r="D794" s="366"/>
      <c r="E794" s="366"/>
      <c r="F794" s="366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9.5" customHeight="1" x14ac:dyDescent="0.25">
      <c r="A795" s="38"/>
      <c r="B795" s="38"/>
      <c r="C795" s="38"/>
      <c r="D795" s="366"/>
      <c r="E795" s="366"/>
      <c r="F795" s="366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9.5" customHeight="1" x14ac:dyDescent="0.25">
      <c r="A796" s="38"/>
      <c r="B796" s="38"/>
      <c r="C796" s="38"/>
      <c r="D796" s="366"/>
      <c r="E796" s="366"/>
      <c r="F796" s="366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9.5" customHeight="1" x14ac:dyDescent="0.25">
      <c r="A797" s="38"/>
      <c r="B797" s="38"/>
      <c r="C797" s="38"/>
      <c r="D797" s="366"/>
      <c r="E797" s="366"/>
      <c r="F797" s="366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9.5" customHeight="1" x14ac:dyDescent="0.25">
      <c r="A798" s="38"/>
      <c r="B798" s="38"/>
      <c r="C798" s="38"/>
      <c r="D798" s="366"/>
      <c r="E798" s="366"/>
      <c r="F798" s="366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9.5" customHeight="1" x14ac:dyDescent="0.25">
      <c r="A799" s="38"/>
      <c r="B799" s="38"/>
      <c r="C799" s="38"/>
      <c r="D799" s="366"/>
      <c r="E799" s="366"/>
      <c r="F799" s="366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9.5" customHeight="1" x14ac:dyDescent="0.25">
      <c r="A800" s="38"/>
      <c r="B800" s="38"/>
      <c r="C800" s="38"/>
      <c r="D800" s="366"/>
      <c r="E800" s="366"/>
      <c r="F800" s="366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9.5" customHeight="1" x14ac:dyDescent="0.25">
      <c r="A801" s="38"/>
      <c r="B801" s="38"/>
      <c r="C801" s="38"/>
      <c r="D801" s="366"/>
      <c r="E801" s="366"/>
      <c r="F801" s="366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9.5" customHeight="1" x14ac:dyDescent="0.25">
      <c r="A802" s="38"/>
      <c r="B802" s="38"/>
      <c r="C802" s="38"/>
      <c r="D802" s="366"/>
      <c r="E802" s="366"/>
      <c r="F802" s="366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9.5" customHeight="1" x14ac:dyDescent="0.25">
      <c r="A803" s="38"/>
      <c r="B803" s="38"/>
      <c r="C803" s="38"/>
      <c r="D803" s="366"/>
      <c r="E803" s="366"/>
      <c r="F803" s="366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9.5" customHeight="1" x14ac:dyDescent="0.25">
      <c r="A804" s="38"/>
      <c r="B804" s="38"/>
      <c r="C804" s="38"/>
      <c r="D804" s="366"/>
      <c r="E804" s="366"/>
      <c r="F804" s="366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9.5" customHeight="1" x14ac:dyDescent="0.25">
      <c r="A805" s="38"/>
      <c r="B805" s="38"/>
      <c r="C805" s="38"/>
      <c r="D805" s="366"/>
      <c r="E805" s="366"/>
      <c r="F805" s="366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9.5" customHeight="1" x14ac:dyDescent="0.25">
      <c r="A806" s="38"/>
      <c r="B806" s="38"/>
      <c r="C806" s="38"/>
      <c r="D806" s="366"/>
      <c r="E806" s="366"/>
      <c r="F806" s="366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9.5" customHeight="1" x14ac:dyDescent="0.25">
      <c r="A807" s="38"/>
      <c r="B807" s="38"/>
      <c r="C807" s="38"/>
      <c r="D807" s="366"/>
      <c r="E807" s="366"/>
      <c r="F807" s="366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9.5" customHeight="1" x14ac:dyDescent="0.25">
      <c r="A808" s="38"/>
      <c r="B808" s="38"/>
      <c r="C808" s="38"/>
      <c r="D808" s="366"/>
      <c r="E808" s="366"/>
      <c r="F808" s="366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9.5" customHeight="1" x14ac:dyDescent="0.25">
      <c r="A809" s="38"/>
      <c r="B809" s="38"/>
      <c r="C809" s="38"/>
      <c r="D809" s="366"/>
      <c r="E809" s="366"/>
      <c r="F809" s="366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9.5" customHeight="1" x14ac:dyDescent="0.25">
      <c r="A810" s="38"/>
      <c r="B810" s="38"/>
      <c r="C810" s="38"/>
      <c r="D810" s="366"/>
      <c r="E810" s="366"/>
      <c r="F810" s="366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9.5" customHeight="1" x14ac:dyDescent="0.25">
      <c r="A811" s="38"/>
      <c r="B811" s="38"/>
      <c r="C811" s="38"/>
      <c r="D811" s="366"/>
      <c r="E811" s="366"/>
      <c r="F811" s="366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9.5" customHeight="1" x14ac:dyDescent="0.25">
      <c r="A812" s="38"/>
      <c r="B812" s="38"/>
      <c r="C812" s="38"/>
      <c r="D812" s="366"/>
      <c r="E812" s="366"/>
      <c r="F812" s="366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9.5" customHeight="1" x14ac:dyDescent="0.25">
      <c r="A813" s="38"/>
      <c r="B813" s="38"/>
      <c r="C813" s="38"/>
      <c r="D813" s="366"/>
      <c r="E813" s="366"/>
      <c r="F813" s="366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9.5" customHeight="1" x14ac:dyDescent="0.25">
      <c r="A814" s="38"/>
      <c r="B814" s="38"/>
      <c r="C814" s="38"/>
      <c r="D814" s="366"/>
      <c r="E814" s="366"/>
      <c r="F814" s="366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9.5" customHeight="1" x14ac:dyDescent="0.25">
      <c r="A815" s="38"/>
      <c r="B815" s="38"/>
      <c r="C815" s="38"/>
      <c r="D815" s="366"/>
      <c r="E815" s="366"/>
      <c r="F815" s="366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9.5" customHeight="1" x14ac:dyDescent="0.25">
      <c r="A816" s="38"/>
      <c r="B816" s="38"/>
      <c r="C816" s="38"/>
      <c r="D816" s="366"/>
      <c r="E816" s="366"/>
      <c r="F816" s="366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9.5" customHeight="1" x14ac:dyDescent="0.25">
      <c r="A817" s="38"/>
      <c r="B817" s="38"/>
      <c r="C817" s="38"/>
      <c r="D817" s="366"/>
      <c r="E817" s="366"/>
      <c r="F817" s="366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9.5" customHeight="1" x14ac:dyDescent="0.25">
      <c r="A818" s="38"/>
      <c r="B818" s="38"/>
      <c r="C818" s="38"/>
      <c r="D818" s="366"/>
      <c r="E818" s="366"/>
      <c r="F818" s="366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9.5" customHeight="1" x14ac:dyDescent="0.25">
      <c r="A819" s="38"/>
      <c r="B819" s="38"/>
      <c r="C819" s="38"/>
      <c r="D819" s="366"/>
      <c r="E819" s="366"/>
      <c r="F819" s="366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9.5" customHeight="1" x14ac:dyDescent="0.25">
      <c r="A820" s="38"/>
      <c r="B820" s="38"/>
      <c r="C820" s="38"/>
      <c r="D820" s="366"/>
      <c r="E820" s="366"/>
      <c r="F820" s="366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9.5" customHeight="1" x14ac:dyDescent="0.25">
      <c r="A821" s="38"/>
      <c r="B821" s="38"/>
      <c r="C821" s="38"/>
      <c r="D821" s="366"/>
      <c r="E821" s="366"/>
      <c r="F821" s="366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9.5" customHeight="1" x14ac:dyDescent="0.25">
      <c r="A822" s="38"/>
      <c r="B822" s="38"/>
      <c r="C822" s="38"/>
      <c r="D822" s="366"/>
      <c r="E822" s="366"/>
      <c r="F822" s="366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9.5" customHeight="1" x14ac:dyDescent="0.25">
      <c r="A823" s="38"/>
      <c r="B823" s="38"/>
      <c r="C823" s="38"/>
      <c r="D823" s="366"/>
      <c r="E823" s="366"/>
      <c r="F823" s="366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9.5" customHeight="1" x14ac:dyDescent="0.25">
      <c r="A824" s="38"/>
      <c r="B824" s="38"/>
      <c r="C824" s="38"/>
      <c r="D824" s="366"/>
      <c r="E824" s="366"/>
      <c r="F824" s="366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9.5" customHeight="1" x14ac:dyDescent="0.25">
      <c r="A825" s="38"/>
      <c r="B825" s="38"/>
      <c r="C825" s="38"/>
      <c r="D825" s="366"/>
      <c r="E825" s="366"/>
      <c r="F825" s="366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9.5" customHeight="1" x14ac:dyDescent="0.25">
      <c r="A826" s="38"/>
      <c r="B826" s="38"/>
      <c r="C826" s="38"/>
      <c r="D826" s="366"/>
      <c r="E826" s="366"/>
      <c r="F826" s="366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9.5" customHeight="1" x14ac:dyDescent="0.25">
      <c r="A827" s="38"/>
      <c r="B827" s="38"/>
      <c r="C827" s="38"/>
      <c r="D827" s="366"/>
      <c r="E827" s="366"/>
      <c r="F827" s="366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9.5" customHeight="1" x14ac:dyDescent="0.25">
      <c r="A828" s="38"/>
      <c r="B828" s="38"/>
      <c r="C828" s="38"/>
      <c r="D828" s="366"/>
      <c r="E828" s="366"/>
      <c r="F828" s="366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9.5" customHeight="1" x14ac:dyDescent="0.25">
      <c r="A829" s="38"/>
      <c r="B829" s="38"/>
      <c r="C829" s="38"/>
      <c r="D829" s="366"/>
      <c r="E829" s="366"/>
      <c r="F829" s="366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9.5" customHeight="1" x14ac:dyDescent="0.25">
      <c r="A830" s="38"/>
      <c r="B830" s="38"/>
      <c r="C830" s="38"/>
      <c r="D830" s="366"/>
      <c r="E830" s="366"/>
      <c r="F830" s="366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9.5" customHeight="1" x14ac:dyDescent="0.25">
      <c r="A831" s="38"/>
      <c r="B831" s="38"/>
      <c r="C831" s="38"/>
      <c r="D831" s="366"/>
      <c r="E831" s="366"/>
      <c r="F831" s="366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9.5" customHeight="1" x14ac:dyDescent="0.25">
      <c r="A832" s="38"/>
      <c r="B832" s="38"/>
      <c r="C832" s="38"/>
      <c r="D832" s="366"/>
      <c r="E832" s="366"/>
      <c r="F832" s="366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9.5" customHeight="1" x14ac:dyDescent="0.25">
      <c r="A833" s="38"/>
      <c r="B833" s="38"/>
      <c r="C833" s="38"/>
      <c r="D833" s="366"/>
      <c r="E833" s="366"/>
      <c r="F833" s="366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9.5" customHeight="1" x14ac:dyDescent="0.25">
      <c r="A834" s="38"/>
      <c r="B834" s="38"/>
      <c r="C834" s="38"/>
      <c r="D834" s="366"/>
      <c r="E834" s="366"/>
      <c r="F834" s="366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9.5" customHeight="1" x14ac:dyDescent="0.25">
      <c r="A835" s="38"/>
      <c r="B835" s="38"/>
      <c r="C835" s="38"/>
      <c r="D835" s="366"/>
      <c r="E835" s="366"/>
      <c r="F835" s="366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9.5" customHeight="1" x14ac:dyDescent="0.25">
      <c r="A836" s="38"/>
      <c r="B836" s="38"/>
      <c r="C836" s="38"/>
      <c r="D836" s="366"/>
      <c r="E836" s="366"/>
      <c r="F836" s="366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9.5" customHeight="1" x14ac:dyDescent="0.25">
      <c r="A837" s="38"/>
      <c r="B837" s="38"/>
      <c r="C837" s="38"/>
      <c r="D837" s="366"/>
      <c r="E837" s="366"/>
      <c r="F837" s="366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9.5" customHeight="1" x14ac:dyDescent="0.25">
      <c r="A838" s="38"/>
      <c r="B838" s="38"/>
      <c r="C838" s="38"/>
      <c r="D838" s="366"/>
      <c r="E838" s="366"/>
      <c r="F838" s="366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9.5" customHeight="1" x14ac:dyDescent="0.25">
      <c r="A839" s="38"/>
      <c r="B839" s="38"/>
      <c r="C839" s="38"/>
      <c r="D839" s="366"/>
      <c r="E839" s="366"/>
      <c r="F839" s="366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9.5" customHeight="1" x14ac:dyDescent="0.25">
      <c r="A840" s="38"/>
      <c r="B840" s="38"/>
      <c r="C840" s="38"/>
      <c r="D840" s="366"/>
      <c r="E840" s="366"/>
      <c r="F840" s="366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9.5" customHeight="1" x14ac:dyDescent="0.25">
      <c r="A841" s="38"/>
      <c r="B841" s="38"/>
      <c r="C841" s="38"/>
      <c r="D841" s="366"/>
      <c r="E841" s="366"/>
      <c r="F841" s="366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9.5" customHeight="1" x14ac:dyDescent="0.25">
      <c r="A842" s="38"/>
      <c r="B842" s="38"/>
      <c r="C842" s="38"/>
      <c r="D842" s="366"/>
      <c r="E842" s="366"/>
      <c r="F842" s="366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9.5" customHeight="1" x14ac:dyDescent="0.25">
      <c r="A843" s="38"/>
      <c r="B843" s="38"/>
      <c r="C843" s="38"/>
      <c r="D843" s="366"/>
      <c r="E843" s="366"/>
      <c r="F843" s="366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9.5" customHeight="1" x14ac:dyDescent="0.25">
      <c r="A844" s="38"/>
      <c r="B844" s="38"/>
      <c r="C844" s="38"/>
      <c r="D844" s="366"/>
      <c r="E844" s="366"/>
      <c r="F844" s="366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9.5" customHeight="1" x14ac:dyDescent="0.25">
      <c r="A845" s="38"/>
      <c r="B845" s="38"/>
      <c r="C845" s="38"/>
      <c r="D845" s="366"/>
      <c r="E845" s="366"/>
      <c r="F845" s="366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9.5" customHeight="1" x14ac:dyDescent="0.25">
      <c r="A846" s="38"/>
      <c r="B846" s="38"/>
      <c r="C846" s="38"/>
      <c r="D846" s="366"/>
      <c r="E846" s="366"/>
      <c r="F846" s="366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9.5" customHeight="1" x14ac:dyDescent="0.25">
      <c r="A847" s="38"/>
      <c r="B847" s="38"/>
      <c r="C847" s="38"/>
      <c r="D847" s="366"/>
      <c r="E847" s="366"/>
      <c r="F847" s="366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9.5" customHeight="1" x14ac:dyDescent="0.25">
      <c r="A848" s="38"/>
      <c r="B848" s="38"/>
      <c r="C848" s="38"/>
      <c r="D848" s="366"/>
      <c r="E848" s="366"/>
      <c r="F848" s="366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9.5" customHeight="1" x14ac:dyDescent="0.25">
      <c r="A849" s="38"/>
      <c r="B849" s="38"/>
      <c r="C849" s="38"/>
      <c r="D849" s="366"/>
      <c r="E849" s="366"/>
      <c r="F849" s="366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9.5" customHeight="1" x14ac:dyDescent="0.25">
      <c r="A850" s="38"/>
      <c r="B850" s="38"/>
      <c r="C850" s="38"/>
      <c r="D850" s="366"/>
      <c r="E850" s="366"/>
      <c r="F850" s="366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9.5" customHeight="1" x14ac:dyDescent="0.25">
      <c r="A851" s="38"/>
      <c r="B851" s="38"/>
      <c r="C851" s="38"/>
      <c r="D851" s="366"/>
      <c r="E851" s="366"/>
      <c r="F851" s="366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9.5" customHeight="1" x14ac:dyDescent="0.25">
      <c r="A852" s="38"/>
      <c r="B852" s="38"/>
      <c r="C852" s="38"/>
      <c r="D852" s="366"/>
      <c r="E852" s="366"/>
      <c r="F852" s="366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9.5" customHeight="1" x14ac:dyDescent="0.25">
      <c r="A853" s="38"/>
      <c r="B853" s="38"/>
      <c r="C853" s="38"/>
      <c r="D853" s="366"/>
      <c r="E853" s="366"/>
      <c r="F853" s="366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9.5" customHeight="1" x14ac:dyDescent="0.25">
      <c r="A854" s="38"/>
      <c r="B854" s="38"/>
      <c r="C854" s="38"/>
      <c r="D854" s="366"/>
      <c r="E854" s="366"/>
      <c r="F854" s="366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9.5" customHeight="1" x14ac:dyDescent="0.25">
      <c r="A855" s="38"/>
      <c r="B855" s="38"/>
      <c r="C855" s="38"/>
      <c r="D855" s="366"/>
      <c r="E855" s="366"/>
      <c r="F855" s="366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9.5" customHeight="1" x14ac:dyDescent="0.25">
      <c r="A856" s="38"/>
      <c r="B856" s="38"/>
      <c r="C856" s="38"/>
      <c r="D856" s="366"/>
      <c r="E856" s="366"/>
      <c r="F856" s="366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9.5" customHeight="1" x14ac:dyDescent="0.25">
      <c r="A857" s="38"/>
      <c r="B857" s="38"/>
      <c r="C857" s="38"/>
      <c r="D857" s="366"/>
      <c r="E857" s="366"/>
      <c r="F857" s="366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9.5" customHeight="1" x14ac:dyDescent="0.25">
      <c r="A858" s="38"/>
      <c r="B858" s="38"/>
      <c r="C858" s="38"/>
      <c r="D858" s="366"/>
      <c r="E858" s="366"/>
      <c r="F858" s="366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9.5" customHeight="1" x14ac:dyDescent="0.25">
      <c r="A859" s="38"/>
      <c r="B859" s="38"/>
      <c r="C859" s="38"/>
      <c r="D859" s="366"/>
      <c r="E859" s="366"/>
      <c r="F859" s="366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9.5" customHeight="1" x14ac:dyDescent="0.25">
      <c r="A860" s="38"/>
      <c r="B860" s="38"/>
      <c r="C860" s="38"/>
      <c r="D860" s="366"/>
      <c r="E860" s="366"/>
      <c r="F860" s="366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9.5" customHeight="1" x14ac:dyDescent="0.25">
      <c r="A861" s="38"/>
      <c r="B861" s="38"/>
      <c r="C861" s="38"/>
      <c r="D861" s="366"/>
      <c r="E861" s="366"/>
      <c r="F861" s="366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9.5" customHeight="1" x14ac:dyDescent="0.25">
      <c r="A862" s="38"/>
      <c r="B862" s="38"/>
      <c r="C862" s="38"/>
      <c r="D862" s="366"/>
      <c r="E862" s="366"/>
      <c r="F862" s="366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9.5" customHeight="1" x14ac:dyDescent="0.25">
      <c r="A863" s="38"/>
      <c r="B863" s="38"/>
      <c r="C863" s="38"/>
      <c r="D863" s="366"/>
      <c r="E863" s="366"/>
      <c r="F863" s="366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9.5" customHeight="1" x14ac:dyDescent="0.25">
      <c r="A864" s="38"/>
      <c r="B864" s="38"/>
      <c r="C864" s="38"/>
      <c r="D864" s="366"/>
      <c r="E864" s="366"/>
      <c r="F864" s="366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9.5" customHeight="1" x14ac:dyDescent="0.25">
      <c r="A865" s="38"/>
      <c r="B865" s="38"/>
      <c r="C865" s="38"/>
      <c r="D865" s="366"/>
      <c r="E865" s="366"/>
      <c r="F865" s="366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9.5" customHeight="1" x14ac:dyDescent="0.25">
      <c r="A866" s="38"/>
      <c r="B866" s="38"/>
      <c r="C866" s="38"/>
      <c r="D866" s="366"/>
      <c r="E866" s="366"/>
      <c r="F866" s="366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9.5" customHeight="1" x14ac:dyDescent="0.25">
      <c r="A867" s="38"/>
      <c r="B867" s="38"/>
      <c r="C867" s="38"/>
      <c r="D867" s="366"/>
      <c r="E867" s="366"/>
      <c r="F867" s="366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9.5" customHeight="1" x14ac:dyDescent="0.25">
      <c r="A868" s="38"/>
      <c r="B868" s="38"/>
      <c r="C868" s="38"/>
      <c r="D868" s="366"/>
      <c r="E868" s="366"/>
      <c r="F868" s="366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9.5" customHeight="1" x14ac:dyDescent="0.25">
      <c r="A869" s="38"/>
      <c r="B869" s="38"/>
      <c r="C869" s="38"/>
      <c r="D869" s="366"/>
      <c r="E869" s="366"/>
      <c r="F869" s="366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9.5" customHeight="1" x14ac:dyDescent="0.25">
      <c r="A870" s="38"/>
      <c r="B870" s="38"/>
      <c r="C870" s="38"/>
      <c r="D870" s="366"/>
      <c r="E870" s="366"/>
      <c r="F870" s="366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9.5" customHeight="1" x14ac:dyDescent="0.25">
      <c r="A871" s="38"/>
      <c r="B871" s="38"/>
      <c r="C871" s="38"/>
      <c r="D871" s="366"/>
      <c r="E871" s="366"/>
      <c r="F871" s="366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9.5" customHeight="1" x14ac:dyDescent="0.25">
      <c r="A872" s="38"/>
      <c r="B872" s="38"/>
      <c r="C872" s="38"/>
      <c r="D872" s="366"/>
      <c r="E872" s="366"/>
      <c r="F872" s="366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9.5" customHeight="1" x14ac:dyDescent="0.25">
      <c r="A873" s="38"/>
      <c r="B873" s="38"/>
      <c r="C873" s="38"/>
      <c r="D873" s="366"/>
      <c r="E873" s="366"/>
      <c r="F873" s="366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9.5" customHeight="1" x14ac:dyDescent="0.25">
      <c r="A874" s="38"/>
      <c r="B874" s="38"/>
      <c r="C874" s="38"/>
      <c r="D874" s="366"/>
      <c r="E874" s="366"/>
      <c r="F874" s="366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9.5" customHeight="1" x14ac:dyDescent="0.25">
      <c r="A875" s="38"/>
      <c r="B875" s="38"/>
      <c r="C875" s="38"/>
      <c r="D875" s="366"/>
      <c r="E875" s="366"/>
      <c r="F875" s="366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9.5" customHeight="1" x14ac:dyDescent="0.25">
      <c r="A876" s="38"/>
      <c r="B876" s="38"/>
      <c r="C876" s="38"/>
      <c r="D876" s="366"/>
      <c r="E876" s="366"/>
      <c r="F876" s="366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9.5" customHeight="1" x14ac:dyDescent="0.25">
      <c r="A877" s="38"/>
      <c r="B877" s="38"/>
      <c r="C877" s="38"/>
      <c r="D877" s="366"/>
      <c r="E877" s="366"/>
      <c r="F877" s="366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9.5" customHeight="1" x14ac:dyDescent="0.25">
      <c r="A878" s="38"/>
      <c r="B878" s="38"/>
      <c r="C878" s="38"/>
      <c r="D878" s="366"/>
      <c r="E878" s="366"/>
      <c r="F878" s="366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9.5" customHeight="1" x14ac:dyDescent="0.25">
      <c r="A879" s="38"/>
      <c r="B879" s="38"/>
      <c r="C879" s="38"/>
      <c r="D879" s="366"/>
      <c r="E879" s="366"/>
      <c r="F879" s="366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9.5" customHeight="1" x14ac:dyDescent="0.25">
      <c r="A880" s="38"/>
      <c r="B880" s="38"/>
      <c r="C880" s="38"/>
      <c r="D880" s="366"/>
      <c r="E880" s="366"/>
      <c r="F880" s="366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9.5" customHeight="1" x14ac:dyDescent="0.25">
      <c r="A881" s="38"/>
      <c r="B881" s="38"/>
      <c r="C881" s="38"/>
      <c r="D881" s="366"/>
      <c r="E881" s="366"/>
      <c r="F881" s="366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9.5" customHeight="1" x14ac:dyDescent="0.25">
      <c r="A882" s="38"/>
      <c r="B882" s="38"/>
      <c r="C882" s="38"/>
      <c r="D882" s="366"/>
      <c r="E882" s="366"/>
      <c r="F882" s="366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9.5" customHeight="1" x14ac:dyDescent="0.25">
      <c r="A883" s="38"/>
      <c r="B883" s="38"/>
      <c r="C883" s="38"/>
      <c r="D883" s="366"/>
      <c r="E883" s="366"/>
      <c r="F883" s="366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9.5" customHeight="1" x14ac:dyDescent="0.25">
      <c r="A884" s="38"/>
      <c r="B884" s="38"/>
      <c r="C884" s="38"/>
      <c r="D884" s="366"/>
      <c r="E884" s="366"/>
      <c r="F884" s="366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9.5" customHeight="1" x14ac:dyDescent="0.25">
      <c r="A885" s="38"/>
      <c r="B885" s="38"/>
      <c r="C885" s="38"/>
      <c r="D885" s="366"/>
      <c r="E885" s="366"/>
      <c r="F885" s="366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9.5" customHeight="1" x14ac:dyDescent="0.25">
      <c r="A886" s="38"/>
      <c r="B886" s="38"/>
      <c r="C886" s="38"/>
      <c r="D886" s="366"/>
      <c r="E886" s="366"/>
      <c r="F886" s="366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9.5" customHeight="1" x14ac:dyDescent="0.25">
      <c r="A887" s="38"/>
      <c r="B887" s="38"/>
      <c r="C887" s="38"/>
      <c r="D887" s="366"/>
      <c r="E887" s="366"/>
      <c r="F887" s="366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9.5" customHeight="1" x14ac:dyDescent="0.25">
      <c r="A888" s="38"/>
      <c r="B888" s="38"/>
      <c r="C888" s="38"/>
      <c r="D888" s="366"/>
      <c r="E888" s="366"/>
      <c r="F888" s="366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9.5" customHeight="1" x14ac:dyDescent="0.25">
      <c r="A889" s="38"/>
      <c r="B889" s="38"/>
      <c r="C889" s="38"/>
      <c r="D889" s="366"/>
      <c r="E889" s="366"/>
      <c r="F889" s="366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9.5" customHeight="1" x14ac:dyDescent="0.25">
      <c r="A890" s="38"/>
      <c r="B890" s="38"/>
      <c r="C890" s="38"/>
      <c r="D890" s="366"/>
      <c r="E890" s="366"/>
      <c r="F890" s="366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9.5" customHeight="1" x14ac:dyDescent="0.25">
      <c r="A891" s="38"/>
      <c r="B891" s="38"/>
      <c r="C891" s="38"/>
      <c r="D891" s="366"/>
      <c r="E891" s="366"/>
      <c r="F891" s="366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9.5" customHeight="1" x14ac:dyDescent="0.25">
      <c r="A892" s="38"/>
      <c r="B892" s="38"/>
      <c r="C892" s="38"/>
      <c r="D892" s="366"/>
      <c r="E892" s="366"/>
      <c r="F892" s="366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9.5" customHeight="1" x14ac:dyDescent="0.25">
      <c r="A893" s="38"/>
      <c r="B893" s="38"/>
      <c r="C893" s="38"/>
      <c r="D893" s="366"/>
      <c r="E893" s="366"/>
      <c r="F893" s="366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9.5" customHeight="1" x14ac:dyDescent="0.25">
      <c r="A894" s="38"/>
      <c r="B894" s="38"/>
      <c r="C894" s="38"/>
      <c r="D894" s="366"/>
      <c r="E894" s="366"/>
      <c r="F894" s="366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9.5" customHeight="1" x14ac:dyDescent="0.25">
      <c r="A895" s="38"/>
      <c r="B895" s="38"/>
      <c r="C895" s="38"/>
      <c r="D895" s="366"/>
      <c r="E895" s="366"/>
      <c r="F895" s="366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9.5" customHeight="1" x14ac:dyDescent="0.25">
      <c r="A896" s="38"/>
      <c r="B896" s="38"/>
      <c r="C896" s="38"/>
      <c r="D896" s="366"/>
      <c r="E896" s="366"/>
      <c r="F896" s="366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9.5" customHeight="1" x14ac:dyDescent="0.25">
      <c r="A897" s="38"/>
      <c r="B897" s="38"/>
      <c r="C897" s="38"/>
      <c r="D897" s="366"/>
      <c r="E897" s="366"/>
      <c r="F897" s="366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9.5" customHeight="1" x14ac:dyDescent="0.25">
      <c r="A898" s="38"/>
      <c r="B898" s="38"/>
      <c r="C898" s="38"/>
      <c r="D898" s="366"/>
      <c r="E898" s="366"/>
      <c r="F898" s="366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9.5" customHeight="1" x14ac:dyDescent="0.25">
      <c r="A899" s="38"/>
      <c r="B899" s="38"/>
      <c r="C899" s="38"/>
      <c r="D899" s="366"/>
      <c r="E899" s="366"/>
      <c r="F899" s="366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9.5" customHeight="1" x14ac:dyDescent="0.25">
      <c r="A900" s="38"/>
      <c r="B900" s="38"/>
      <c r="C900" s="38"/>
      <c r="D900" s="366"/>
      <c r="E900" s="366"/>
      <c r="F900" s="366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9.5" customHeight="1" x14ac:dyDescent="0.25">
      <c r="A901" s="38"/>
      <c r="B901" s="38"/>
      <c r="C901" s="38"/>
      <c r="D901" s="366"/>
      <c r="E901" s="366"/>
      <c r="F901" s="366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9.5" customHeight="1" x14ac:dyDescent="0.25">
      <c r="A902" s="38"/>
      <c r="B902" s="38"/>
      <c r="C902" s="38"/>
      <c r="D902" s="366"/>
      <c r="E902" s="366"/>
      <c r="F902" s="366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9.5" customHeight="1" x14ac:dyDescent="0.25">
      <c r="A903" s="38"/>
      <c r="B903" s="38"/>
      <c r="C903" s="38"/>
      <c r="D903" s="366"/>
      <c r="E903" s="366"/>
      <c r="F903" s="366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9.5" customHeight="1" x14ac:dyDescent="0.25">
      <c r="A904" s="38"/>
      <c r="B904" s="38"/>
      <c r="C904" s="38"/>
      <c r="D904" s="366"/>
      <c r="E904" s="366"/>
      <c r="F904" s="366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9.5" customHeight="1" x14ac:dyDescent="0.25">
      <c r="A905" s="38"/>
      <c r="B905" s="38"/>
      <c r="C905" s="38"/>
      <c r="D905" s="366"/>
      <c r="E905" s="366"/>
      <c r="F905" s="366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9.5" customHeight="1" x14ac:dyDescent="0.25">
      <c r="A906" s="38"/>
      <c r="B906" s="38"/>
      <c r="C906" s="38"/>
      <c r="D906" s="366"/>
      <c r="E906" s="366"/>
      <c r="F906" s="366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9.5" customHeight="1" x14ac:dyDescent="0.25">
      <c r="A907" s="38"/>
      <c r="B907" s="38"/>
      <c r="C907" s="38"/>
      <c r="D907" s="366"/>
      <c r="E907" s="366"/>
      <c r="F907" s="366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9.5" customHeight="1" x14ac:dyDescent="0.25">
      <c r="A908" s="38"/>
      <c r="B908" s="38"/>
      <c r="C908" s="38"/>
      <c r="D908" s="366"/>
      <c r="E908" s="366"/>
      <c r="F908" s="366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9.5" customHeight="1" x14ac:dyDescent="0.25">
      <c r="A909" s="38"/>
      <c r="B909" s="38"/>
      <c r="C909" s="38"/>
      <c r="D909" s="366"/>
      <c r="E909" s="366"/>
      <c r="F909" s="366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9.5" customHeight="1" x14ac:dyDescent="0.25">
      <c r="A910" s="38"/>
      <c r="B910" s="38"/>
      <c r="C910" s="38"/>
      <c r="D910" s="366"/>
      <c r="E910" s="366"/>
      <c r="F910" s="366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9.5" customHeight="1" x14ac:dyDescent="0.25">
      <c r="A911" s="38"/>
      <c r="B911" s="38"/>
      <c r="C911" s="38"/>
      <c r="D911" s="366"/>
      <c r="E911" s="366"/>
      <c r="F911" s="366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9.5" customHeight="1" x14ac:dyDescent="0.25">
      <c r="A912" s="38"/>
      <c r="B912" s="38"/>
      <c r="C912" s="38"/>
      <c r="D912" s="366"/>
      <c r="E912" s="366"/>
      <c r="F912" s="366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9.5" customHeight="1" x14ac:dyDescent="0.25">
      <c r="A913" s="38"/>
      <c r="B913" s="38"/>
      <c r="C913" s="38"/>
      <c r="D913" s="366"/>
      <c r="E913" s="366"/>
      <c r="F913" s="366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9.5" customHeight="1" x14ac:dyDescent="0.25">
      <c r="A914" s="38"/>
      <c r="B914" s="38"/>
      <c r="C914" s="38"/>
      <c r="D914" s="366"/>
      <c r="E914" s="366"/>
      <c r="F914" s="366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9.5" customHeight="1" x14ac:dyDescent="0.25">
      <c r="A915" s="38"/>
      <c r="B915" s="38"/>
      <c r="C915" s="38"/>
      <c r="D915" s="366"/>
      <c r="E915" s="366"/>
      <c r="F915" s="366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9.5" customHeight="1" x14ac:dyDescent="0.25">
      <c r="A916" s="38"/>
      <c r="B916" s="38"/>
      <c r="C916" s="38"/>
      <c r="D916" s="366"/>
      <c r="E916" s="366"/>
      <c r="F916" s="366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9.5" customHeight="1" x14ac:dyDescent="0.25">
      <c r="A917" s="38"/>
      <c r="B917" s="38"/>
      <c r="C917" s="38"/>
      <c r="D917" s="366"/>
      <c r="E917" s="366"/>
      <c r="F917" s="366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9.5" customHeight="1" x14ac:dyDescent="0.25">
      <c r="A918" s="38"/>
      <c r="B918" s="38"/>
      <c r="C918" s="38"/>
      <c r="D918" s="366"/>
      <c r="E918" s="366"/>
      <c r="F918" s="366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9.5" customHeight="1" x14ac:dyDescent="0.25">
      <c r="A919" s="38"/>
      <c r="B919" s="38"/>
      <c r="C919" s="38"/>
      <c r="D919" s="366"/>
      <c r="E919" s="366"/>
      <c r="F919" s="366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9.5" customHeight="1" x14ac:dyDescent="0.25">
      <c r="A920" s="38"/>
      <c r="B920" s="38"/>
      <c r="C920" s="38"/>
      <c r="D920" s="366"/>
      <c r="E920" s="366"/>
      <c r="F920" s="366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9.5" customHeight="1" x14ac:dyDescent="0.25">
      <c r="A921" s="38"/>
      <c r="B921" s="38"/>
      <c r="C921" s="38"/>
      <c r="D921" s="366"/>
      <c r="E921" s="366"/>
      <c r="F921" s="366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9.5" customHeight="1" x14ac:dyDescent="0.25">
      <c r="A922" s="38"/>
      <c r="B922" s="38"/>
      <c r="C922" s="38"/>
      <c r="D922" s="366"/>
      <c r="E922" s="366"/>
      <c r="F922" s="366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9.5" customHeight="1" x14ac:dyDescent="0.25">
      <c r="A923" s="38"/>
      <c r="B923" s="38"/>
      <c r="C923" s="38"/>
      <c r="D923" s="366"/>
      <c r="E923" s="366"/>
      <c r="F923" s="366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9.5" customHeight="1" x14ac:dyDescent="0.25">
      <c r="A924" s="38"/>
      <c r="B924" s="38"/>
      <c r="C924" s="38"/>
      <c r="D924" s="366"/>
      <c r="E924" s="366"/>
      <c r="F924" s="366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9.5" customHeight="1" x14ac:dyDescent="0.25">
      <c r="A925" s="38"/>
      <c r="B925" s="38"/>
      <c r="C925" s="38"/>
      <c r="D925" s="366"/>
      <c r="E925" s="366"/>
      <c r="F925" s="366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9.5" customHeight="1" x14ac:dyDescent="0.25">
      <c r="A926" s="38"/>
      <c r="B926" s="38"/>
      <c r="C926" s="38"/>
      <c r="D926" s="366"/>
      <c r="E926" s="366"/>
      <c r="F926" s="366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9.5" customHeight="1" x14ac:dyDescent="0.25">
      <c r="A927" s="38"/>
      <c r="B927" s="38"/>
      <c r="C927" s="38"/>
      <c r="D927" s="366"/>
      <c r="E927" s="366"/>
      <c r="F927" s="366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9.5" customHeight="1" x14ac:dyDescent="0.25">
      <c r="A928" s="38"/>
      <c r="B928" s="38"/>
      <c r="C928" s="38"/>
      <c r="D928" s="366"/>
      <c r="E928" s="366"/>
      <c r="F928" s="366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9.5" customHeight="1" x14ac:dyDescent="0.25">
      <c r="A929" s="38"/>
      <c r="B929" s="38"/>
      <c r="C929" s="38"/>
      <c r="D929" s="366"/>
      <c r="E929" s="366"/>
      <c r="F929" s="366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9.5" customHeight="1" x14ac:dyDescent="0.25">
      <c r="A930" s="38"/>
      <c r="B930" s="38"/>
      <c r="C930" s="38"/>
      <c r="D930" s="366"/>
      <c r="E930" s="366"/>
      <c r="F930" s="366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9.5" customHeight="1" x14ac:dyDescent="0.25">
      <c r="A931" s="38"/>
      <c r="B931" s="38"/>
      <c r="C931" s="38"/>
      <c r="D931" s="366"/>
      <c r="E931" s="366"/>
      <c r="F931" s="366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9.5" customHeight="1" x14ac:dyDescent="0.25">
      <c r="A932" s="38"/>
      <c r="B932" s="38"/>
      <c r="C932" s="38"/>
      <c r="D932" s="366"/>
      <c r="E932" s="366"/>
      <c r="F932" s="366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9.5" customHeight="1" x14ac:dyDescent="0.25">
      <c r="A933" s="38"/>
      <c r="B933" s="38"/>
      <c r="C933" s="38"/>
      <c r="D933" s="366"/>
      <c r="E933" s="366"/>
      <c r="F933" s="366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9.5" customHeight="1" x14ac:dyDescent="0.25">
      <c r="A934" s="38"/>
      <c r="B934" s="38"/>
      <c r="C934" s="38"/>
      <c r="D934" s="366"/>
      <c r="E934" s="366"/>
      <c r="F934" s="366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9.5" customHeight="1" x14ac:dyDescent="0.25">
      <c r="A935" s="38"/>
      <c r="B935" s="38"/>
      <c r="C935" s="38"/>
      <c r="D935" s="366"/>
      <c r="E935" s="366"/>
      <c r="F935" s="366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9.5" customHeight="1" x14ac:dyDescent="0.25">
      <c r="A936" s="38"/>
      <c r="B936" s="38"/>
      <c r="C936" s="38"/>
      <c r="D936" s="366"/>
      <c r="E936" s="366"/>
      <c r="F936" s="366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9.5" customHeight="1" x14ac:dyDescent="0.25">
      <c r="A937" s="38"/>
      <c r="B937" s="38"/>
      <c r="C937" s="38"/>
      <c r="D937" s="366"/>
      <c r="E937" s="366"/>
      <c r="F937" s="366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9.5" customHeight="1" x14ac:dyDescent="0.25">
      <c r="A938" s="38"/>
      <c r="B938" s="38"/>
      <c r="C938" s="38"/>
      <c r="D938" s="366"/>
      <c r="E938" s="366"/>
      <c r="F938" s="366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9.5" customHeight="1" x14ac:dyDescent="0.25">
      <c r="A939" s="38"/>
      <c r="B939" s="38"/>
      <c r="C939" s="38"/>
      <c r="D939" s="366"/>
      <c r="E939" s="366"/>
      <c r="F939" s="366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9.5" customHeight="1" x14ac:dyDescent="0.25">
      <c r="A940" s="38"/>
      <c r="B940" s="38"/>
      <c r="C940" s="38"/>
      <c r="D940" s="366"/>
      <c r="E940" s="366"/>
      <c r="F940" s="366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9.5" customHeight="1" x14ac:dyDescent="0.25">
      <c r="A941" s="38"/>
      <c r="B941" s="38"/>
      <c r="C941" s="38"/>
      <c r="D941" s="366"/>
      <c r="E941" s="366"/>
      <c r="F941" s="366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9.5" customHeight="1" x14ac:dyDescent="0.25">
      <c r="A942" s="38"/>
      <c r="B942" s="38"/>
      <c r="C942" s="38"/>
      <c r="D942" s="366"/>
      <c r="E942" s="366"/>
      <c r="F942" s="366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9.5" customHeight="1" x14ac:dyDescent="0.25">
      <c r="A943" s="38"/>
      <c r="B943" s="38"/>
      <c r="C943" s="38"/>
      <c r="D943" s="366"/>
      <c r="E943" s="366"/>
      <c r="F943" s="366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9.5" customHeight="1" x14ac:dyDescent="0.25">
      <c r="A944" s="38"/>
      <c r="B944" s="38"/>
      <c r="C944" s="38"/>
      <c r="D944" s="366"/>
      <c r="E944" s="366"/>
      <c r="F944" s="366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9.5" customHeight="1" x14ac:dyDescent="0.25">
      <c r="A945" s="38"/>
      <c r="B945" s="38"/>
      <c r="C945" s="38"/>
      <c r="D945" s="366"/>
      <c r="E945" s="366"/>
      <c r="F945" s="366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9.5" customHeight="1" x14ac:dyDescent="0.25">
      <c r="A946" s="38"/>
      <c r="B946" s="38"/>
      <c r="C946" s="38"/>
      <c r="D946" s="366"/>
      <c r="E946" s="366"/>
      <c r="F946" s="366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9.5" customHeight="1" x14ac:dyDescent="0.25">
      <c r="A947" s="38"/>
      <c r="B947" s="38"/>
      <c r="C947" s="38"/>
      <c r="D947" s="366"/>
      <c r="E947" s="366"/>
      <c r="F947" s="366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9.5" customHeight="1" x14ac:dyDescent="0.25">
      <c r="A948" s="38"/>
      <c r="B948" s="38"/>
      <c r="C948" s="38"/>
      <c r="D948" s="366"/>
      <c r="E948" s="366"/>
      <c r="F948" s="366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9.5" customHeight="1" x14ac:dyDescent="0.25">
      <c r="A949" s="38"/>
      <c r="B949" s="38"/>
      <c r="C949" s="38"/>
      <c r="D949" s="366"/>
      <c r="E949" s="366"/>
      <c r="F949" s="366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9.5" customHeight="1" x14ac:dyDescent="0.25">
      <c r="A950" s="38"/>
      <c r="B950" s="38"/>
      <c r="C950" s="38"/>
      <c r="D950" s="366"/>
      <c r="E950" s="366"/>
      <c r="F950" s="366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9.5" customHeight="1" x14ac:dyDescent="0.25">
      <c r="A951" s="38"/>
      <c r="B951" s="38"/>
      <c r="C951" s="38"/>
      <c r="D951" s="366"/>
      <c r="E951" s="366"/>
      <c r="F951" s="366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9.5" customHeight="1" x14ac:dyDescent="0.25">
      <c r="A952" s="38"/>
      <c r="B952" s="38"/>
      <c r="C952" s="38"/>
      <c r="D952" s="366"/>
      <c r="E952" s="366"/>
      <c r="F952" s="366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9.5" customHeight="1" x14ac:dyDescent="0.25">
      <c r="A953" s="38"/>
      <c r="B953" s="38"/>
      <c r="C953" s="38"/>
      <c r="D953" s="366"/>
      <c r="E953" s="366"/>
      <c r="F953" s="366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9.5" customHeight="1" x14ac:dyDescent="0.25">
      <c r="A954" s="38"/>
      <c r="B954" s="38"/>
      <c r="C954" s="38"/>
      <c r="D954" s="366"/>
      <c r="E954" s="366"/>
      <c r="F954" s="366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9.5" customHeight="1" x14ac:dyDescent="0.25">
      <c r="A955" s="38"/>
      <c r="B955" s="38"/>
      <c r="C955" s="38"/>
      <c r="D955" s="366"/>
      <c r="E955" s="366"/>
      <c r="F955" s="366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9.5" customHeight="1" x14ac:dyDescent="0.25">
      <c r="A956" s="38"/>
      <c r="B956" s="38"/>
      <c r="C956" s="38"/>
      <c r="D956" s="366"/>
      <c r="E956" s="366"/>
      <c r="F956" s="366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9.5" customHeight="1" x14ac:dyDescent="0.25">
      <c r="A957" s="38"/>
      <c r="B957" s="38"/>
      <c r="C957" s="38"/>
      <c r="D957" s="366"/>
      <c r="E957" s="366"/>
      <c r="F957" s="366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9.5" customHeight="1" x14ac:dyDescent="0.25">
      <c r="A958" s="38"/>
      <c r="B958" s="38"/>
      <c r="C958" s="38"/>
      <c r="D958" s="366"/>
      <c r="E958" s="366"/>
      <c r="F958" s="366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9.5" customHeight="1" x14ac:dyDescent="0.25">
      <c r="A959" s="38"/>
      <c r="B959" s="38"/>
      <c r="C959" s="38"/>
      <c r="D959" s="366"/>
      <c r="E959" s="366"/>
      <c r="F959" s="366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9.5" customHeight="1" x14ac:dyDescent="0.25">
      <c r="A960" s="38"/>
      <c r="B960" s="38"/>
      <c r="C960" s="38"/>
      <c r="D960" s="366"/>
      <c r="E960" s="366"/>
      <c r="F960" s="366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9.5" customHeight="1" x14ac:dyDescent="0.25">
      <c r="A961" s="38"/>
      <c r="B961" s="38"/>
      <c r="C961" s="38"/>
      <c r="D961" s="366"/>
      <c r="E961" s="366"/>
      <c r="F961" s="366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9.5" customHeight="1" x14ac:dyDescent="0.25">
      <c r="A962" s="38"/>
      <c r="B962" s="38"/>
      <c r="C962" s="38"/>
      <c r="D962" s="366"/>
      <c r="E962" s="366"/>
      <c r="F962" s="366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9.5" customHeight="1" x14ac:dyDescent="0.25">
      <c r="A963" s="38"/>
      <c r="B963" s="38"/>
      <c r="C963" s="38"/>
      <c r="D963" s="366"/>
      <c r="E963" s="366"/>
      <c r="F963" s="366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9.5" customHeight="1" x14ac:dyDescent="0.25">
      <c r="A964" s="38"/>
      <c r="B964" s="38"/>
      <c r="C964" s="38"/>
      <c r="D964" s="366"/>
      <c r="E964" s="366"/>
      <c r="F964" s="366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9.5" customHeight="1" x14ac:dyDescent="0.25">
      <c r="A965" s="38"/>
      <c r="B965" s="38"/>
      <c r="C965" s="38"/>
      <c r="D965" s="366"/>
      <c r="E965" s="366"/>
      <c r="F965" s="366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9.5" customHeight="1" x14ac:dyDescent="0.25">
      <c r="A966" s="38"/>
      <c r="B966" s="38"/>
      <c r="C966" s="38"/>
      <c r="D966" s="366"/>
      <c r="E966" s="366"/>
      <c r="F966" s="366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9.5" customHeight="1" x14ac:dyDescent="0.25">
      <c r="A967" s="38"/>
      <c r="B967" s="38"/>
      <c r="C967" s="38"/>
      <c r="D967" s="366"/>
      <c r="E967" s="366"/>
      <c r="F967" s="366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9.5" customHeight="1" x14ac:dyDescent="0.25">
      <c r="A968" s="38"/>
      <c r="B968" s="38"/>
      <c r="C968" s="38"/>
      <c r="D968" s="366"/>
      <c r="E968" s="366"/>
      <c r="F968" s="366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9.5" customHeight="1" x14ac:dyDescent="0.25">
      <c r="A969" s="38"/>
      <c r="B969" s="38"/>
      <c r="C969" s="38"/>
      <c r="D969" s="366"/>
      <c r="E969" s="366"/>
      <c r="F969" s="366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9.5" customHeight="1" x14ac:dyDescent="0.25">
      <c r="A970" s="38"/>
      <c r="B970" s="38"/>
      <c r="C970" s="38"/>
      <c r="D970" s="366"/>
      <c r="E970" s="366"/>
      <c r="F970" s="366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9.5" customHeight="1" x14ac:dyDescent="0.25">
      <c r="A971" s="38"/>
      <c r="B971" s="38"/>
      <c r="C971" s="38"/>
      <c r="D971" s="366"/>
      <c r="E971" s="366"/>
      <c r="F971" s="366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9.5" customHeight="1" x14ac:dyDescent="0.25">
      <c r="A972" s="38"/>
      <c r="B972" s="38"/>
      <c r="C972" s="38"/>
      <c r="D972" s="366"/>
      <c r="E972" s="366"/>
      <c r="F972" s="366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9.5" customHeight="1" x14ac:dyDescent="0.25">
      <c r="A973" s="38"/>
      <c r="B973" s="38"/>
      <c r="C973" s="38"/>
      <c r="D973" s="366"/>
      <c r="E973" s="366"/>
      <c r="F973" s="366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9.5" customHeight="1" x14ac:dyDescent="0.25">
      <c r="A974" s="38"/>
      <c r="B974" s="38"/>
      <c r="C974" s="38"/>
      <c r="D974" s="366"/>
      <c r="E974" s="366"/>
      <c r="F974" s="366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9.5" customHeight="1" x14ac:dyDescent="0.25">
      <c r="A975" s="38"/>
      <c r="B975" s="38"/>
      <c r="C975" s="38"/>
      <c r="D975" s="366"/>
      <c r="E975" s="366"/>
      <c r="F975" s="366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9.5" customHeight="1" x14ac:dyDescent="0.25">
      <c r="A976" s="38"/>
      <c r="B976" s="38"/>
      <c r="C976" s="38"/>
      <c r="D976" s="366"/>
      <c r="E976" s="366"/>
      <c r="F976" s="366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9.5" customHeight="1" x14ac:dyDescent="0.25">
      <c r="A977" s="38"/>
      <c r="B977" s="38"/>
      <c r="C977" s="38"/>
      <c r="D977" s="366"/>
      <c r="E977" s="366"/>
      <c r="F977" s="366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9.5" customHeight="1" x14ac:dyDescent="0.25">
      <c r="A978" s="38"/>
      <c r="B978" s="38"/>
      <c r="C978" s="38"/>
      <c r="D978" s="366"/>
      <c r="E978" s="366"/>
      <c r="F978" s="366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9.5" customHeight="1" x14ac:dyDescent="0.25">
      <c r="A979" s="38"/>
      <c r="B979" s="38"/>
      <c r="C979" s="38"/>
      <c r="D979" s="366"/>
      <c r="E979" s="366"/>
      <c r="F979" s="366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9.5" customHeight="1" x14ac:dyDescent="0.25">
      <c r="A980" s="38"/>
      <c r="B980" s="38"/>
      <c r="C980" s="38"/>
      <c r="D980" s="366"/>
      <c r="E980" s="366"/>
      <c r="F980" s="366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9.5" customHeight="1" x14ac:dyDescent="0.25">
      <c r="A981" s="38"/>
      <c r="B981" s="38"/>
      <c r="C981" s="38"/>
      <c r="D981" s="366"/>
      <c r="E981" s="366"/>
      <c r="F981" s="366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9.5" customHeight="1" x14ac:dyDescent="0.25">
      <c r="A982" s="38"/>
      <c r="B982" s="38"/>
      <c r="C982" s="38"/>
      <c r="D982" s="366"/>
      <c r="E982" s="366"/>
      <c r="F982" s="366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9.5" customHeight="1" x14ac:dyDescent="0.25">
      <c r="A983" s="38"/>
      <c r="B983" s="38"/>
      <c r="C983" s="38"/>
      <c r="D983" s="366"/>
      <c r="E983" s="366"/>
      <c r="F983" s="366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9.5" customHeight="1" x14ac:dyDescent="0.25">
      <c r="A984" s="38"/>
      <c r="B984" s="38"/>
      <c r="C984" s="38"/>
      <c r="D984" s="366"/>
      <c r="E984" s="366"/>
      <c r="F984" s="366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9.5" customHeight="1" x14ac:dyDescent="0.25">
      <c r="A985" s="38"/>
      <c r="B985" s="38"/>
      <c r="C985" s="38"/>
      <c r="D985" s="366"/>
      <c r="E985" s="366"/>
      <c r="F985" s="366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9.5" customHeight="1" x14ac:dyDescent="0.25">
      <c r="A986" s="38"/>
      <c r="B986" s="38"/>
      <c r="C986" s="38"/>
      <c r="D986" s="366"/>
      <c r="E986" s="366"/>
      <c r="F986" s="366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9.5" customHeight="1" x14ac:dyDescent="0.25">
      <c r="A987" s="38"/>
      <c r="B987" s="38"/>
      <c r="C987" s="38"/>
      <c r="D987" s="366"/>
      <c r="E987" s="366"/>
      <c r="F987" s="366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9.5" customHeight="1" x14ac:dyDescent="0.25">
      <c r="A988" s="38"/>
      <c r="B988" s="38"/>
      <c r="C988" s="38"/>
      <c r="D988" s="366"/>
      <c r="E988" s="366"/>
      <c r="F988" s="366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9.5" customHeight="1" x14ac:dyDescent="0.25">
      <c r="A989" s="38"/>
      <c r="B989" s="38"/>
      <c r="C989" s="38"/>
      <c r="D989" s="366"/>
      <c r="E989" s="366"/>
      <c r="F989" s="366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9.5" customHeight="1" x14ac:dyDescent="0.25">
      <c r="A990" s="38"/>
      <c r="B990" s="38"/>
      <c r="C990" s="38"/>
      <c r="D990" s="366"/>
      <c r="E990" s="366"/>
      <c r="F990" s="366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9.5" customHeight="1" x14ac:dyDescent="0.25">
      <c r="A991" s="38"/>
      <c r="B991" s="38"/>
      <c r="C991" s="38"/>
      <c r="D991" s="366"/>
      <c r="E991" s="366"/>
      <c r="F991" s="366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9.5" customHeight="1" x14ac:dyDescent="0.25">
      <c r="A992" s="38"/>
      <c r="B992" s="38"/>
      <c r="C992" s="38"/>
      <c r="D992" s="366"/>
      <c r="E992" s="366"/>
      <c r="F992" s="366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9.5" customHeight="1" x14ac:dyDescent="0.25">
      <c r="A993" s="38"/>
      <c r="B993" s="38"/>
      <c r="C993" s="38"/>
      <c r="D993" s="366"/>
      <c r="E993" s="366"/>
      <c r="F993" s="366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9.5" customHeight="1" x14ac:dyDescent="0.25">
      <c r="A994" s="38"/>
      <c r="B994" s="38"/>
      <c r="C994" s="38"/>
      <c r="D994" s="366"/>
      <c r="E994" s="366"/>
      <c r="F994" s="366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9.5" customHeight="1" x14ac:dyDescent="0.25">
      <c r="A995" s="38"/>
      <c r="B995" s="38"/>
      <c r="C995" s="38"/>
      <c r="D995" s="366"/>
      <c r="E995" s="366"/>
      <c r="F995" s="366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9.5" customHeight="1" x14ac:dyDescent="0.25">
      <c r="A996" s="38"/>
      <c r="B996" s="38"/>
      <c r="C996" s="38"/>
      <c r="D996" s="366"/>
      <c r="E996" s="366"/>
      <c r="F996" s="366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9.5" customHeight="1" x14ac:dyDescent="0.25">
      <c r="A997" s="38"/>
      <c r="B997" s="38"/>
      <c r="C997" s="38"/>
      <c r="D997" s="366"/>
      <c r="E997" s="366"/>
      <c r="F997" s="366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9.5" customHeight="1" x14ac:dyDescent="0.25">
      <c r="A998" s="38"/>
      <c r="B998" s="38"/>
      <c r="C998" s="38"/>
      <c r="D998" s="366"/>
      <c r="E998" s="366"/>
      <c r="F998" s="366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9.5" customHeight="1" x14ac:dyDescent="0.25">
      <c r="A999" s="38"/>
      <c r="B999" s="38"/>
      <c r="C999" s="38"/>
      <c r="D999" s="366"/>
      <c r="E999" s="366"/>
      <c r="F999" s="366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9.5" customHeight="1" x14ac:dyDescent="0.25">
      <c r="A1000" s="38"/>
      <c r="B1000" s="38"/>
      <c r="C1000" s="38"/>
      <c r="D1000" s="366"/>
      <c r="E1000" s="366"/>
      <c r="F1000" s="366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7">
    <mergeCell ref="A76:E76"/>
    <mergeCell ref="A1:F5"/>
    <mergeCell ref="B7:F7"/>
    <mergeCell ref="B8:F8"/>
    <mergeCell ref="B9:F9"/>
    <mergeCell ref="B10:F10"/>
    <mergeCell ref="A12:F12"/>
  </mergeCells>
  <pageMargins left="0.52999994886203072" right="0.52999994886203072" top="0.52999994886203072" bottom="0.68999998212799307" header="0" footer="0"/>
  <pageSetup paperSize="9" scale="63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A9C3D-2A66-427D-97CA-728BE25D9C20}">
  <sheetPr>
    <tabColor rgb="FF0070C0"/>
  </sheetPr>
  <dimension ref="A1:K65"/>
  <sheetViews>
    <sheetView showGridLines="0" topLeftCell="A11" zoomScaleNormal="100" zoomScaleSheetLayoutView="95" workbookViewId="0">
      <selection activeCell="G20" sqref="G20"/>
    </sheetView>
  </sheetViews>
  <sheetFormatPr defaultColWidth="9.140625" defaultRowHeight="12.75" x14ac:dyDescent="0.25"/>
  <cols>
    <col min="1" max="1" width="46.140625" style="1" customWidth="1"/>
    <col min="2" max="2" width="14" style="170" customWidth="1"/>
    <col min="3" max="3" width="14.140625" style="171" bestFit="1" customWidth="1"/>
    <col min="4" max="4" width="13.5703125" style="172" bestFit="1" customWidth="1"/>
    <col min="5" max="5" width="15.85546875" style="1" customWidth="1"/>
    <col min="6" max="6" width="12.85546875" style="1" customWidth="1"/>
    <col min="7" max="7" width="16.28515625" style="1" customWidth="1"/>
    <col min="8" max="8" width="15.140625" style="1" customWidth="1"/>
    <col min="9" max="16384" width="9.140625" style="1"/>
  </cols>
  <sheetData>
    <row r="1" spans="1:9" x14ac:dyDescent="0.25">
      <c r="B1" s="2"/>
      <c r="C1" s="1"/>
      <c r="D1" s="1"/>
      <c r="G1" s="102"/>
      <c r="H1" s="102"/>
    </row>
    <row r="2" spans="1:9" ht="12.75" customHeight="1" x14ac:dyDescent="0.25">
      <c r="A2" s="1049" t="s">
        <v>158</v>
      </c>
      <c r="B2" s="2"/>
      <c r="C2" s="1"/>
      <c r="D2" s="1"/>
      <c r="G2" s="103"/>
      <c r="H2" s="103"/>
    </row>
    <row r="3" spans="1:9" ht="12.75" customHeight="1" x14ac:dyDescent="0.25">
      <c r="A3" s="1050"/>
      <c r="B3" s="2"/>
      <c r="C3" s="1"/>
      <c r="D3" s="1"/>
      <c r="G3" s="103"/>
      <c r="H3" s="103"/>
    </row>
    <row r="4" spans="1:9" ht="12.75" customHeight="1" x14ac:dyDescent="0.25">
      <c r="A4" s="1050"/>
      <c r="B4" s="2"/>
      <c r="C4" s="1"/>
      <c r="D4" s="1"/>
      <c r="G4" s="103"/>
      <c r="H4" s="103"/>
    </row>
    <row r="5" spans="1:9" ht="13.5" thickBot="1" x14ac:dyDescent="0.3">
      <c r="A5" s="104"/>
      <c r="B5" s="105"/>
      <c r="C5" s="105"/>
      <c r="D5" s="105"/>
      <c r="E5" s="105"/>
      <c r="F5" s="105"/>
      <c r="G5" s="106"/>
      <c r="H5" s="106"/>
    </row>
    <row r="6" spans="1:9" x14ac:dyDescent="0.25">
      <c r="A6" s="107"/>
      <c r="B6" s="2"/>
      <c r="C6" s="1"/>
      <c r="D6" s="1"/>
      <c r="G6" s="102"/>
      <c r="H6" s="102"/>
    </row>
    <row r="7" spans="1:9" x14ac:dyDescent="0.25">
      <c r="A7" s="108" t="s">
        <v>159</v>
      </c>
      <c r="B7" s="109" t="str">
        <f>DADOS_INICIAIS!B2</f>
        <v>BLUE HEAVEN</v>
      </c>
      <c r="C7" s="110"/>
      <c r="D7" s="110"/>
      <c r="E7" s="110"/>
      <c r="F7" s="110"/>
      <c r="G7" s="110"/>
      <c r="H7" s="111"/>
    </row>
    <row r="8" spans="1:9" x14ac:dyDescent="0.25">
      <c r="A8" s="112" t="s">
        <v>0</v>
      </c>
      <c r="B8" s="109" t="str">
        <f>DADOS_INICIAIS!B1</f>
        <v>MONOLYT</v>
      </c>
      <c r="C8" s="113"/>
      <c r="D8" s="113"/>
      <c r="E8" s="113"/>
      <c r="F8" s="113"/>
      <c r="G8" s="113"/>
      <c r="H8" s="114"/>
    </row>
    <row r="9" spans="1:9" ht="15" customHeight="1" x14ac:dyDescent="0.25">
      <c r="A9" s="115" t="s">
        <v>160</v>
      </c>
      <c r="B9" s="116">
        <v>45448</v>
      </c>
      <c r="C9" s="117"/>
      <c r="D9" s="117"/>
      <c r="E9" s="117"/>
      <c r="F9" s="117"/>
      <c r="G9" s="117"/>
      <c r="H9" s="118"/>
    </row>
    <row r="10" spans="1:9" x14ac:dyDescent="0.25">
      <c r="A10" s="119" t="s">
        <v>1</v>
      </c>
      <c r="B10" s="120" t="s">
        <v>161</v>
      </c>
      <c r="C10" s="121"/>
      <c r="D10" s="121"/>
      <c r="E10" s="121"/>
      <c r="F10" s="121"/>
      <c r="G10" s="121"/>
      <c r="H10" s="122"/>
    </row>
    <row r="12" spans="1:9" ht="15.75" customHeight="1" x14ac:dyDescent="0.25">
      <c r="A12" s="123" t="s">
        <v>207</v>
      </c>
      <c r="B12" s="124"/>
      <c r="C12" s="125"/>
      <c r="D12" s="126"/>
      <c r="E12" s="127"/>
      <c r="F12" s="127"/>
      <c r="G12" s="127"/>
      <c r="H12" s="128"/>
    </row>
    <row r="13" spans="1:9" ht="15.75" customHeight="1" x14ac:dyDescent="0.25">
      <c r="A13" s="129"/>
      <c r="B13" s="130"/>
      <c r="C13" s="131"/>
      <c r="D13" s="1"/>
      <c r="E13" s="132"/>
      <c r="F13" s="132"/>
      <c r="H13" s="133"/>
    </row>
    <row r="14" spans="1:9" ht="15.75" customHeight="1" x14ac:dyDescent="0.25">
      <c r="A14" s="134" t="s">
        <v>14</v>
      </c>
      <c r="B14" s="1051" t="s">
        <v>18</v>
      </c>
      <c r="C14" s="1052"/>
      <c r="D14" s="1053" t="s">
        <v>5</v>
      </c>
      <c r="E14" s="1054"/>
      <c r="F14" s="135" t="s">
        <v>163</v>
      </c>
      <c r="G14" s="136" t="s">
        <v>16</v>
      </c>
      <c r="H14" s="133"/>
    </row>
    <row r="15" spans="1:9" ht="15.75" customHeight="1" x14ac:dyDescent="0.25">
      <c r="A15" s="196" t="s">
        <v>208</v>
      </c>
      <c r="B15" s="147">
        <f>SUM(ESQUADRIAS_DE_ALUMÍNIO!D11)</f>
        <v>3088</v>
      </c>
      <c r="C15" s="147" t="s">
        <v>2</v>
      </c>
      <c r="D15" s="197">
        <f>1500*1.1</f>
        <v>1650.0000000000002</v>
      </c>
      <c r="E15" s="198" t="s">
        <v>169</v>
      </c>
      <c r="F15" s="199" t="s">
        <v>164</v>
      </c>
      <c r="G15" s="152">
        <f>D15*B15*1.1</f>
        <v>5604720.0000000019</v>
      </c>
      <c r="H15" s="133" t="s">
        <v>1166</v>
      </c>
      <c r="I15" s="172"/>
    </row>
    <row r="16" spans="1:9" ht="15.75" customHeight="1" x14ac:dyDescent="0.25">
      <c r="A16" s="196" t="s">
        <v>1119</v>
      </c>
      <c r="B16" s="147">
        <f>SUM(ESQUADRIAS_DE_ALUMÍNIO!D12)</f>
        <v>191.19</v>
      </c>
      <c r="C16" s="147" t="s">
        <v>2</v>
      </c>
      <c r="D16" s="197">
        <v>1600</v>
      </c>
      <c r="E16" s="198" t="s">
        <v>169</v>
      </c>
      <c r="F16" s="199" t="s">
        <v>164</v>
      </c>
      <c r="G16" s="152">
        <f>D16*B16*1.1</f>
        <v>336494.4</v>
      </c>
      <c r="H16" s="133" t="s">
        <v>1271</v>
      </c>
      <c r="I16" s="172"/>
    </row>
    <row r="17" spans="1:11" ht="15.75" customHeight="1" x14ac:dyDescent="0.25">
      <c r="A17" s="196" t="s">
        <v>1118</v>
      </c>
      <c r="B17" s="147">
        <f>SUM(ESQUADRIAS_DE_ALUMÍNIO!D13)</f>
        <v>516.49</v>
      </c>
      <c r="C17" s="147" t="s">
        <v>2</v>
      </c>
      <c r="D17" s="197">
        <f>ESQUADRIAS_DE_ALUMÍNIO!F13</f>
        <v>2300</v>
      </c>
      <c r="E17" s="198" t="s">
        <v>169</v>
      </c>
      <c r="F17" s="199" t="s">
        <v>164</v>
      </c>
      <c r="G17" s="152">
        <f t="shared" ref="G17" si="0">D17*B17*1.1</f>
        <v>1306719.7000000002</v>
      </c>
      <c r="H17" s="133"/>
      <c r="I17" s="172"/>
    </row>
    <row r="18" spans="1:11" ht="15.75" customHeight="1" x14ac:dyDescent="0.25">
      <c r="A18" s="196" t="s">
        <v>1226</v>
      </c>
      <c r="B18" s="147">
        <f>SUM(ESQUADRIAS_DE_ALUMÍNIO!D14)</f>
        <v>12.09</v>
      </c>
      <c r="C18" s="147" t="s">
        <v>2</v>
      </c>
      <c r="D18" s="197">
        <f>ESQUADRIAS_DE_ALUMÍNIO!F14</f>
        <v>2100</v>
      </c>
      <c r="E18" s="198" t="s">
        <v>169</v>
      </c>
      <c r="F18" s="199" t="s">
        <v>164</v>
      </c>
      <c r="G18" s="152">
        <f>D18*B18*1.1</f>
        <v>27927.9</v>
      </c>
      <c r="H18" s="133"/>
      <c r="I18" s="172"/>
    </row>
    <row r="19" spans="1:11" ht="15.75" customHeight="1" x14ac:dyDescent="0.25">
      <c r="A19" s="196" t="s">
        <v>209</v>
      </c>
      <c r="B19" s="147">
        <f>PORTA_CORTA_FOGO!F11</f>
        <v>8</v>
      </c>
      <c r="C19" s="147" t="s">
        <v>3</v>
      </c>
      <c r="D19" s="197">
        <f>PORTA_CORTA_FOGO!H11</f>
        <v>1750</v>
      </c>
      <c r="E19" s="198" t="s">
        <v>210</v>
      </c>
      <c r="F19" s="199" t="s">
        <v>164</v>
      </c>
      <c r="G19" s="152">
        <f>D19*B19*1.1</f>
        <v>15400.000000000002</v>
      </c>
      <c r="H19" s="133"/>
    </row>
    <row r="20" spans="1:11" ht="15.75" customHeight="1" x14ac:dyDescent="0.25">
      <c r="A20" s="196" t="s">
        <v>211</v>
      </c>
      <c r="B20" s="147">
        <v>1</v>
      </c>
      <c r="C20" s="147" t="s">
        <v>27</v>
      </c>
      <c r="D20" s="200">
        <v>10</v>
      </c>
      <c r="E20" s="201" t="s">
        <v>6</v>
      </c>
      <c r="F20" s="202" t="s">
        <v>164</v>
      </c>
      <c r="G20" s="152">
        <f>D20*B20*DADOS_INICIAIS!E11*1.1</f>
        <v>161627.62000000002</v>
      </c>
      <c r="H20" s="133"/>
    </row>
    <row r="21" spans="1:11" x14ac:dyDescent="0.25">
      <c r="A21" s="188" t="s">
        <v>212</v>
      </c>
      <c r="B21" s="185">
        <f>GUARDA_CORPO!D11+GUARDA_CORPO!D12</f>
        <v>557.2985000000001</v>
      </c>
      <c r="C21" s="185" t="s">
        <v>2</v>
      </c>
      <c r="D21" s="921">
        <f>GUARDA_CORPO!F11</f>
        <v>2100</v>
      </c>
      <c r="E21" s="201" t="s">
        <v>169</v>
      </c>
      <c r="F21" s="202" t="s">
        <v>164</v>
      </c>
      <c r="G21" s="203">
        <f>+D21*B21*1.1</f>
        <v>1287359.5350000004</v>
      </c>
      <c r="H21" s="133" t="s">
        <v>1273</v>
      </c>
      <c r="K21" s="173">
        <f>B21/1.1</f>
        <v>506.63500000000005</v>
      </c>
    </row>
    <row r="22" spans="1:11" x14ac:dyDescent="0.25">
      <c r="A22" s="191" t="s">
        <v>1160</v>
      </c>
      <c r="B22" s="185">
        <f>GUARDA_CORPO!D13</f>
        <v>121.23</v>
      </c>
      <c r="C22" s="185" t="s">
        <v>4</v>
      </c>
      <c r="D22" s="200">
        <f>GUARDA_CORPO!F13</f>
        <v>150</v>
      </c>
      <c r="E22" s="201" t="s">
        <v>169</v>
      </c>
      <c r="F22" s="202" t="s">
        <v>164</v>
      </c>
      <c r="G22" s="203">
        <f>+D22*B22*1.1</f>
        <v>20002.95</v>
      </c>
      <c r="H22" s="133"/>
    </row>
    <row r="23" spans="1:11" ht="15" x14ac:dyDescent="0.25">
      <c r="A23" s="191" t="s">
        <v>213</v>
      </c>
      <c r="B23" s="185">
        <v>1</v>
      </c>
      <c r="C23" s="185" t="s">
        <v>3</v>
      </c>
      <c r="D23" s="200">
        <v>20000</v>
      </c>
      <c r="E23" s="201" t="s">
        <v>210</v>
      </c>
      <c r="F23" s="202" t="s">
        <v>164</v>
      </c>
      <c r="G23" s="203">
        <f>+D23*B23*1.1</f>
        <v>22000</v>
      </c>
      <c r="H23" s="133" t="s">
        <v>1165</v>
      </c>
      <c r="I23" s="189"/>
    </row>
    <row r="24" spans="1:11" ht="15.75" customHeight="1" x14ac:dyDescent="0.25">
      <c r="A24" s="191" t="s">
        <v>214</v>
      </c>
      <c r="B24" s="185">
        <f>SUM(ESQUADRIAS_MADEIRA!F11:F15)</f>
        <v>328</v>
      </c>
      <c r="C24" s="185" t="s">
        <v>3</v>
      </c>
      <c r="D24" s="200">
        <f>SUM(ESQUADRIAS_MADEIRA!I11:I15)/SUM(ESQUADRIAS_MADEIRA!F11:F15)</f>
        <v>1535.2391615853658</v>
      </c>
      <c r="E24" s="201" t="s">
        <v>210</v>
      </c>
      <c r="F24" s="202" t="s">
        <v>164</v>
      </c>
      <c r="G24" s="203">
        <f>D24*B24*1.1</f>
        <v>553914.28949999996</v>
      </c>
      <c r="H24" s="133"/>
    </row>
    <row r="25" spans="1:11" ht="15.75" customHeight="1" x14ac:dyDescent="0.25">
      <c r="A25" s="191" t="s">
        <v>1272</v>
      </c>
      <c r="B25" s="185">
        <f>ESQUADRIAS_MADEIRA!G16</f>
        <v>24</v>
      </c>
      <c r="C25" s="185" t="s">
        <v>3</v>
      </c>
      <c r="D25" s="200">
        <f>ESQUADRIAS_MADEIRA!H16</f>
        <v>2500</v>
      </c>
      <c r="E25" s="201" t="s">
        <v>210</v>
      </c>
      <c r="F25" s="202" t="s">
        <v>164</v>
      </c>
      <c r="G25" s="203">
        <f>D25*B25*1.1</f>
        <v>66000</v>
      </c>
      <c r="H25" s="133"/>
    </row>
    <row r="26" spans="1:11" ht="15.75" customHeight="1" x14ac:dyDescent="0.25">
      <c r="A26" s="1055" t="s">
        <v>17</v>
      </c>
      <c r="B26" s="1056"/>
      <c r="C26" s="1056"/>
      <c r="D26" s="1056"/>
      <c r="E26" s="1056"/>
      <c r="F26" s="1056"/>
      <c r="G26" s="160">
        <f>SUM(G15:G25)</f>
        <v>9402166.3945000023</v>
      </c>
      <c r="H26" s="161"/>
    </row>
    <row r="27" spans="1:11" ht="15.75" customHeight="1" x14ac:dyDescent="0.25">
      <c r="A27" s="1057"/>
      <c r="B27" s="1058"/>
      <c r="C27" s="1058"/>
      <c r="D27" s="1058"/>
      <c r="E27" s="1058"/>
      <c r="F27" s="1058"/>
      <c r="G27" s="181"/>
      <c r="H27" s="165"/>
    </row>
    <row r="29" spans="1:11" ht="15.6" customHeight="1" x14ac:dyDescent="0.25">
      <c r="A29" s="1047" t="s">
        <v>215</v>
      </c>
      <c r="B29" s="1047"/>
      <c r="C29" s="1047"/>
      <c r="D29" s="1047"/>
      <c r="E29" s="1047"/>
      <c r="F29" s="1047"/>
      <c r="G29" s="168">
        <f>G26</f>
        <v>9402166.3945000023</v>
      </c>
      <c r="H29" s="169">
        <f>G29/DADOS_INICIAIS!E11</f>
        <v>639.88958285409399</v>
      </c>
    </row>
    <row r="30" spans="1:11" x14ac:dyDescent="0.25">
      <c r="E30" s="173"/>
      <c r="G30" s="769"/>
    </row>
    <row r="31" spans="1:11" x14ac:dyDescent="0.25">
      <c r="E31" s="173"/>
      <c r="G31" s="173"/>
    </row>
    <row r="32" spans="1:11" x14ac:dyDescent="0.25">
      <c r="E32" s="173"/>
    </row>
    <row r="33" spans="2:5" x14ac:dyDescent="0.25">
      <c r="B33" s="1"/>
    </row>
    <row r="34" spans="2:5" x14ac:dyDescent="0.25">
      <c r="B34" s="1"/>
      <c r="C34" s="170"/>
      <c r="D34" s="170"/>
    </row>
    <row r="35" spans="2:5" x14ac:dyDescent="0.25">
      <c r="E35" s="204"/>
    </row>
    <row r="36" spans="2:5" x14ac:dyDescent="0.25">
      <c r="E36" s="204"/>
    </row>
    <row r="38" spans="2:5" x14ac:dyDescent="0.25">
      <c r="B38" s="1"/>
      <c r="C38" s="170"/>
      <c r="D38" s="170"/>
    </row>
    <row r="39" spans="2:5" x14ac:dyDescent="0.25">
      <c r="B39" s="1"/>
      <c r="E39" s="204"/>
    </row>
    <row r="40" spans="2:5" x14ac:dyDescent="0.25">
      <c r="E40" s="204"/>
    </row>
    <row r="41" spans="2:5" x14ac:dyDescent="0.25">
      <c r="E41" s="204"/>
    </row>
    <row r="42" spans="2:5" x14ac:dyDescent="0.25">
      <c r="E42" s="204"/>
    </row>
    <row r="43" spans="2:5" x14ac:dyDescent="0.25">
      <c r="E43" s="204"/>
    </row>
    <row r="44" spans="2:5" x14ac:dyDescent="0.25">
      <c r="E44" s="204"/>
    </row>
    <row r="45" spans="2:5" x14ac:dyDescent="0.25">
      <c r="E45" s="204"/>
    </row>
    <row r="46" spans="2:5" x14ac:dyDescent="0.25">
      <c r="E46" s="204"/>
    </row>
    <row r="47" spans="2:5" x14ac:dyDescent="0.25">
      <c r="E47" s="204"/>
    </row>
    <row r="48" spans="2:5" x14ac:dyDescent="0.25">
      <c r="E48" s="204"/>
    </row>
    <row r="49" spans="1:5" x14ac:dyDescent="0.25">
      <c r="E49" s="204"/>
    </row>
    <row r="50" spans="1:5" x14ac:dyDescent="0.25">
      <c r="E50" s="204"/>
    </row>
    <row r="51" spans="1:5" x14ac:dyDescent="0.25">
      <c r="E51" s="204"/>
    </row>
    <row r="52" spans="1:5" x14ac:dyDescent="0.25">
      <c r="E52" s="204"/>
    </row>
    <row r="53" spans="1:5" x14ac:dyDescent="0.25">
      <c r="E53" s="205"/>
    </row>
    <row r="54" spans="1:5" x14ac:dyDescent="0.25">
      <c r="A54" s="206"/>
      <c r="E54" s="204"/>
    </row>
    <row r="55" spans="1:5" x14ac:dyDescent="0.25">
      <c r="A55" s="206"/>
      <c r="E55" s="204"/>
    </row>
    <row r="56" spans="1:5" x14ac:dyDescent="0.25">
      <c r="A56" s="206"/>
      <c r="E56" s="204"/>
    </row>
    <row r="57" spans="1:5" x14ac:dyDescent="0.25">
      <c r="A57" s="207"/>
      <c r="D57" s="208"/>
    </row>
    <row r="59" spans="1:5" x14ac:dyDescent="0.25">
      <c r="A59" s="206"/>
    </row>
    <row r="65" spans="4:4" x14ac:dyDescent="0.25">
      <c r="D65" s="208"/>
    </row>
  </sheetData>
  <mergeCells count="6">
    <mergeCell ref="A29:F29"/>
    <mergeCell ref="A2:A4"/>
    <mergeCell ref="B14:C14"/>
    <mergeCell ref="D14:E14"/>
    <mergeCell ref="A26:F26"/>
    <mergeCell ref="A27:F27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BE6CD-F5B5-4CCA-BD47-E1BD4DBF814D}">
  <sheetPr>
    <tabColor rgb="FF0070C0"/>
  </sheetPr>
  <dimension ref="A1:W735"/>
  <sheetViews>
    <sheetView showGridLines="0" zoomScale="85" zoomScaleNormal="85" workbookViewId="0">
      <selection activeCell="I11" sqref="I11:I15"/>
    </sheetView>
  </sheetViews>
  <sheetFormatPr defaultColWidth="14.42578125" defaultRowHeight="15" customHeight="1" x14ac:dyDescent="0.25"/>
  <cols>
    <col min="1" max="1" width="10.7109375" customWidth="1"/>
    <col min="2" max="2" width="14.5703125" customWidth="1"/>
    <col min="3" max="3" width="28.85546875" bestFit="1" customWidth="1"/>
    <col min="4" max="7" width="13.28515625" customWidth="1"/>
    <col min="8" max="9" width="16.7109375" customWidth="1"/>
    <col min="10" max="10" width="13.85546875" customWidth="1"/>
    <col min="11" max="11" width="28.5703125" customWidth="1"/>
    <col min="12" max="12" width="20.7109375" customWidth="1"/>
    <col min="13" max="13" width="27" customWidth="1"/>
    <col min="14" max="23" width="8.7109375" customWidth="1"/>
  </cols>
  <sheetData>
    <row r="1" spans="1:23" ht="15" customHeight="1" x14ac:dyDescent="0.25">
      <c r="A1" s="214" t="s">
        <v>0</v>
      </c>
      <c r="B1" s="712" t="str">
        <f>DADOS_INICIAIS!B1</f>
        <v>MONOLYT</v>
      </c>
      <c r="C1" s="400"/>
      <c r="D1" s="401"/>
      <c r="E1" s="401"/>
      <c r="F1" s="401"/>
      <c r="G1" s="401"/>
      <c r="H1" s="401"/>
      <c r="I1" s="401"/>
      <c r="J1" s="402"/>
      <c r="K1" s="402"/>
      <c r="L1" s="401"/>
      <c r="M1" s="403"/>
    </row>
    <row r="2" spans="1:23" ht="15" customHeight="1" x14ac:dyDescent="0.25">
      <c r="A2" s="219" t="s">
        <v>113</v>
      </c>
      <c r="B2" s="399" t="str">
        <f>DADOS_INICIAIS!B2</f>
        <v>BLUE HEAVEN</v>
      </c>
      <c r="C2" s="405"/>
      <c r="D2" s="406"/>
      <c r="E2" s="406"/>
      <c r="F2" s="406"/>
      <c r="G2" s="406"/>
      <c r="H2" s="406"/>
      <c r="I2" s="406"/>
      <c r="J2" s="407"/>
      <c r="K2" s="407"/>
      <c r="L2" s="406"/>
      <c r="M2" s="408"/>
    </row>
    <row r="3" spans="1:23" ht="15" customHeight="1" x14ac:dyDescent="0.25">
      <c r="A3" s="219" t="s">
        <v>1</v>
      </c>
      <c r="B3" s="404" t="s">
        <v>161</v>
      </c>
      <c r="C3" s="405"/>
      <c r="D3" s="406"/>
      <c r="E3" s="406"/>
      <c r="F3" s="406"/>
      <c r="G3" s="406"/>
      <c r="H3" s="406"/>
      <c r="I3" s="406"/>
      <c r="J3" s="407"/>
      <c r="K3" s="407"/>
      <c r="L3" s="406"/>
      <c r="M3" s="408"/>
    </row>
    <row r="4" spans="1:23" ht="15" customHeight="1" x14ac:dyDescent="0.25">
      <c r="A4" s="409" t="s">
        <v>160</v>
      </c>
      <c r="B4" s="713">
        <v>45447</v>
      </c>
      <c r="C4" s="405"/>
      <c r="D4" s="411"/>
      <c r="E4" s="411"/>
      <c r="F4" s="411"/>
      <c r="G4" s="411"/>
      <c r="H4" s="411"/>
      <c r="I4" s="411"/>
      <c r="J4" s="412"/>
      <c r="K4" s="412"/>
      <c r="L4" s="411"/>
      <c r="M4" s="408"/>
    </row>
    <row r="5" spans="1:23" ht="24.6" customHeight="1" x14ac:dyDescent="0.25">
      <c r="A5" s="1061" t="s">
        <v>283</v>
      </c>
      <c r="B5" s="1062"/>
      <c r="C5" s="1062"/>
      <c r="D5" s="1062"/>
      <c r="E5" s="1062"/>
      <c r="F5" s="1062"/>
      <c r="G5" s="1062"/>
      <c r="H5" s="1062"/>
      <c r="I5" s="1062"/>
      <c r="J5" s="1062"/>
      <c r="K5" s="1062"/>
      <c r="L5" s="1062"/>
      <c r="M5" s="1063"/>
    </row>
    <row r="6" spans="1:23" ht="9.6" customHeight="1" x14ac:dyDescent="0.25">
      <c r="A6" s="284"/>
      <c r="B6" s="289"/>
      <c r="C6" s="289"/>
      <c r="D6" s="413"/>
      <c r="E6" s="413"/>
      <c r="F6" s="413"/>
      <c r="G6" s="413"/>
      <c r="H6" s="413"/>
      <c r="I6" s="413"/>
      <c r="J6" s="289"/>
      <c r="K6" s="289"/>
      <c r="L6" s="413"/>
      <c r="M6" s="285"/>
    </row>
    <row r="7" spans="1:23" ht="23.45" customHeight="1" x14ac:dyDescent="0.25">
      <c r="A7" s="1064" t="s">
        <v>534</v>
      </c>
      <c r="B7" s="1062"/>
      <c r="C7" s="1062"/>
      <c r="D7" s="1062"/>
      <c r="E7" s="1062"/>
      <c r="F7" s="1062"/>
      <c r="G7" s="1062"/>
      <c r="H7" s="1062"/>
      <c r="I7" s="1062"/>
      <c r="J7" s="1062"/>
      <c r="K7" s="1062"/>
      <c r="L7" s="1062"/>
      <c r="M7" s="1063"/>
    </row>
    <row r="8" spans="1:23" ht="24" customHeight="1" thickBot="1" x14ac:dyDescent="0.3">
      <c r="A8" s="284"/>
      <c r="B8" s="289"/>
      <c r="C8" s="289"/>
      <c r="D8" s="413"/>
      <c r="E8" s="413"/>
      <c r="F8" s="413"/>
      <c r="G8" s="413"/>
      <c r="H8" s="413"/>
      <c r="I8" s="413"/>
      <c r="J8" s="289"/>
      <c r="K8" s="289"/>
      <c r="L8" s="413"/>
      <c r="M8" s="285"/>
      <c r="N8" s="289"/>
      <c r="O8" s="289"/>
      <c r="P8" s="289"/>
      <c r="Q8" s="289"/>
      <c r="R8" s="289"/>
      <c r="S8" s="289"/>
      <c r="T8" s="289"/>
      <c r="U8" s="289"/>
      <c r="V8" s="289"/>
      <c r="W8" s="289"/>
    </row>
    <row r="9" spans="1:23" s="189" customFormat="1" ht="18.600000000000001" customHeight="1" thickBot="1" x14ac:dyDescent="0.3">
      <c r="A9" s="724"/>
      <c r="B9" s="1122" t="s">
        <v>521</v>
      </c>
      <c r="C9" s="1123"/>
      <c r="D9" s="1123"/>
      <c r="E9" s="1123"/>
      <c r="F9" s="1123"/>
      <c r="G9" s="1123"/>
      <c r="H9" s="1123"/>
      <c r="I9" s="1124"/>
      <c r="J9" s="725"/>
      <c r="K9" s="1122" t="s">
        <v>534</v>
      </c>
      <c r="L9" s="1124"/>
      <c r="M9" s="726"/>
    </row>
    <row r="10" spans="1:23" ht="14.25" customHeight="1" x14ac:dyDescent="0.25">
      <c r="A10" s="284"/>
      <c r="B10" s="525" t="s">
        <v>522</v>
      </c>
      <c r="C10" s="415" t="s">
        <v>535</v>
      </c>
      <c r="D10" s="435" t="s">
        <v>536</v>
      </c>
      <c r="E10" s="435" t="s">
        <v>537</v>
      </c>
      <c r="F10" s="416" t="s">
        <v>18</v>
      </c>
      <c r="G10" s="417" t="s">
        <v>524</v>
      </c>
      <c r="H10" s="727" t="s">
        <v>1124</v>
      </c>
      <c r="I10" s="526" t="s">
        <v>520</v>
      </c>
      <c r="J10" s="289"/>
      <c r="K10" s="733" t="s">
        <v>538</v>
      </c>
      <c r="L10" s="526" t="s">
        <v>520</v>
      </c>
      <c r="M10" s="285"/>
    </row>
    <row r="11" spans="1:23" ht="14.25" customHeight="1" x14ac:dyDescent="0.25">
      <c r="A11" s="284"/>
      <c r="B11" s="527" t="s">
        <v>202</v>
      </c>
      <c r="C11" s="420" t="s">
        <v>1110</v>
      </c>
      <c r="D11" s="437">
        <v>1.1000000000000001</v>
      </c>
      <c r="E11" s="437">
        <v>2.1</v>
      </c>
      <c r="F11" s="421">
        <f>5</f>
        <v>5</v>
      </c>
      <c r="G11" s="422">
        <v>1</v>
      </c>
      <c r="H11" s="729">
        <f>1938.7+130</f>
        <v>2068.6999999999998</v>
      </c>
      <c r="I11" s="528">
        <f>G11*ESQUADRIAS_MADEIRA!$F11*H11</f>
        <v>10343.5</v>
      </c>
      <c r="J11" s="730"/>
      <c r="K11" s="734" t="str" cm="1">
        <f t="array" ref="K11:K17">_xlfn.UNIQUE(C11:C17)</f>
        <v>PORTA GIRO 1 FOLHA 110X210cm</v>
      </c>
      <c r="L11" s="539">
        <f t="shared" ref="L11:L16" si="0">SUMIF(C:C,K11,I:I)</f>
        <v>10343.5</v>
      </c>
      <c r="M11" s="285"/>
    </row>
    <row r="12" spans="1:23" ht="14.25" customHeight="1" x14ac:dyDescent="0.25">
      <c r="A12" s="284"/>
      <c r="B12" s="529" t="s">
        <v>202</v>
      </c>
      <c r="C12" s="426" t="s">
        <v>1111</v>
      </c>
      <c r="D12" s="440">
        <v>0.6</v>
      </c>
      <c r="E12" s="440">
        <v>2.1</v>
      </c>
      <c r="F12" s="427">
        <v>23</v>
      </c>
      <c r="G12" s="428">
        <v>1</v>
      </c>
      <c r="H12" s="729">
        <f>1317.48+130</f>
        <v>1447.48</v>
      </c>
      <c r="I12" s="530">
        <f>G12*ESQUADRIAS_MADEIRA!$F12*H12</f>
        <v>33292.04</v>
      </c>
      <c r="J12" s="730" t="s">
        <v>1125</v>
      </c>
      <c r="K12" s="540" t="str">
        <v>PORTA GIRO 1 FOLHA 60X210cm</v>
      </c>
      <c r="L12" s="530">
        <f t="shared" si="0"/>
        <v>33292.04</v>
      </c>
      <c r="M12" s="285"/>
    </row>
    <row r="13" spans="1:23" ht="14.25" customHeight="1" x14ac:dyDescent="0.25">
      <c r="A13" s="284"/>
      <c r="B13" s="529" t="s">
        <v>202</v>
      </c>
      <c r="C13" s="426" t="s">
        <v>1112</v>
      </c>
      <c r="D13" s="440">
        <v>0.7</v>
      </c>
      <c r="E13" s="440">
        <v>2.1</v>
      </c>
      <c r="F13" s="427">
        <v>45</v>
      </c>
      <c r="G13" s="428">
        <v>1</v>
      </c>
      <c r="H13" s="729">
        <f>1233.719+130</f>
        <v>1363.7190000000001</v>
      </c>
      <c r="I13" s="530">
        <f>G13*ESQUADRIAS_MADEIRA!$F13*H13</f>
        <v>61367.355000000003</v>
      </c>
      <c r="J13" s="730"/>
      <c r="K13" s="540" t="str">
        <v>PORTA GIRO 1 FOLHA 70X210cm</v>
      </c>
      <c r="L13" s="530">
        <f t="shared" si="0"/>
        <v>61367.355000000003</v>
      </c>
      <c r="M13" s="285"/>
    </row>
    <row r="14" spans="1:23" ht="14.25" customHeight="1" x14ac:dyDescent="0.25">
      <c r="A14" s="284"/>
      <c r="B14" s="529" t="s">
        <v>202</v>
      </c>
      <c r="C14" s="426" t="s">
        <v>1113</v>
      </c>
      <c r="D14" s="440">
        <v>0.8</v>
      </c>
      <c r="E14" s="440">
        <v>2.1</v>
      </c>
      <c r="F14" s="427">
        <f>211+14</f>
        <v>225</v>
      </c>
      <c r="G14" s="428">
        <v>1</v>
      </c>
      <c r="H14" s="729">
        <f>1412.53+130</f>
        <v>1542.53</v>
      </c>
      <c r="I14" s="530">
        <f>G14*ESQUADRIAS_MADEIRA!$F14*H14</f>
        <v>347069.25</v>
      </c>
      <c r="J14" s="730" t="s">
        <v>1125</v>
      </c>
      <c r="K14" s="540" t="str">
        <v>PORTA GIRO 1 FOLHA 80X210cm</v>
      </c>
      <c r="L14" s="530">
        <f t="shared" si="0"/>
        <v>347069.25</v>
      </c>
      <c r="M14" s="285"/>
    </row>
    <row r="15" spans="1:23" ht="14.25" customHeight="1" x14ac:dyDescent="0.25">
      <c r="A15" s="284"/>
      <c r="B15" s="529" t="s">
        <v>202</v>
      </c>
      <c r="C15" s="426" t="s">
        <v>1114</v>
      </c>
      <c r="D15" s="440">
        <v>0.9</v>
      </c>
      <c r="E15" s="440">
        <v>2.1</v>
      </c>
      <c r="F15" s="427">
        <v>30</v>
      </c>
      <c r="G15" s="428">
        <v>1</v>
      </c>
      <c r="H15" s="729">
        <f>1586.21+130</f>
        <v>1716.21</v>
      </c>
      <c r="I15" s="530">
        <f>G15*ESQUADRIAS_MADEIRA!$F15*H15</f>
        <v>51486.3</v>
      </c>
      <c r="J15" s="730" t="s">
        <v>1125</v>
      </c>
      <c r="K15" s="540" t="str">
        <v>PORTA GIRO 1 FOLHA 90X210cm</v>
      </c>
      <c r="L15" s="530">
        <f t="shared" si="0"/>
        <v>51486.3</v>
      </c>
      <c r="M15" s="285"/>
    </row>
    <row r="16" spans="1:23" ht="14.25" customHeight="1" x14ac:dyDescent="0.25">
      <c r="A16" s="284"/>
      <c r="B16" s="529"/>
      <c r="C16" s="426" t="s">
        <v>1127</v>
      </c>
      <c r="D16" s="440"/>
      <c r="E16" s="440"/>
      <c r="F16" s="427">
        <v>1</v>
      </c>
      <c r="G16" s="428">
        <f>DADOS_INICIAIS!E26</f>
        <v>24</v>
      </c>
      <c r="H16" s="729">
        <v>2500</v>
      </c>
      <c r="I16" s="530">
        <f>G16*ESQUADRIAS_MADEIRA!$F16*H16</f>
        <v>60000</v>
      </c>
      <c r="J16" s="730" t="s">
        <v>1130</v>
      </c>
      <c r="K16" s="540" t="str">
        <v>FECHADURA BIOMÉTRICA</v>
      </c>
      <c r="L16" s="530">
        <f t="shared" si="0"/>
        <v>60000</v>
      </c>
      <c r="M16" s="285"/>
    </row>
    <row r="17" spans="1:13" ht="14.25" customHeight="1" thickBot="1" x14ac:dyDescent="0.3">
      <c r="A17" s="284"/>
      <c r="B17" s="532"/>
      <c r="C17" s="534"/>
      <c r="D17" s="535"/>
      <c r="E17" s="535"/>
      <c r="F17" s="731"/>
      <c r="G17" s="537"/>
      <c r="H17" s="732"/>
      <c r="I17" s="538">
        <f>G17*ESQUADRIAS_MADEIRA!$F17*H17</f>
        <v>0</v>
      </c>
      <c r="J17" s="730"/>
      <c r="K17" s="541">
        <v>0</v>
      </c>
      <c r="L17" s="538"/>
      <c r="M17" s="285"/>
    </row>
    <row r="18" spans="1:13" ht="14.25" customHeight="1" x14ac:dyDescent="0.25">
      <c r="A18" s="289"/>
      <c r="D18" s="251"/>
      <c r="E18" s="251"/>
      <c r="F18" s="251"/>
      <c r="G18" s="251"/>
      <c r="H18" s="251"/>
      <c r="I18" s="735">
        <f>SUM(I11:I17)</f>
        <v>563558.44500000007</v>
      </c>
      <c r="J18" s="736"/>
      <c r="L18" s="251"/>
      <c r="M18" s="289"/>
    </row>
    <row r="19" spans="1:13" ht="14.25" customHeight="1" x14ac:dyDescent="0.25">
      <c r="A19" s="289"/>
      <c r="D19" s="251"/>
      <c r="E19" s="251"/>
      <c r="F19" s="251"/>
      <c r="G19" s="251"/>
      <c r="H19" s="251"/>
      <c r="I19" s="251">
        <f>I18*1.1</f>
        <v>619914.28950000007</v>
      </c>
      <c r="J19" s="289"/>
      <c r="L19" s="251"/>
      <c r="M19" s="289"/>
    </row>
    <row r="20" spans="1:13" ht="14.25" customHeight="1" x14ac:dyDescent="0.25">
      <c r="A20" s="289"/>
      <c r="D20" s="251"/>
      <c r="E20" s="251"/>
      <c r="F20" s="251"/>
      <c r="G20" s="251"/>
      <c r="H20" s="251"/>
      <c r="I20" s="251"/>
      <c r="J20" s="289"/>
      <c r="L20" s="251"/>
      <c r="M20" s="289"/>
    </row>
    <row r="21" spans="1:13" ht="14.25" customHeight="1" x14ac:dyDescent="0.25">
      <c r="A21" s="289"/>
      <c r="D21" s="251"/>
      <c r="E21" s="251"/>
      <c r="F21" s="251"/>
      <c r="G21" s="251"/>
      <c r="H21" s="251"/>
      <c r="I21" s="251"/>
      <c r="J21" s="289"/>
      <c r="L21" s="251"/>
      <c r="M21" s="289"/>
    </row>
    <row r="22" spans="1:13" ht="14.25" customHeight="1" x14ac:dyDescent="0.25">
      <c r="A22" s="289"/>
      <c r="D22" s="251"/>
      <c r="E22" s="251"/>
      <c r="F22" s="251"/>
      <c r="G22" s="251"/>
      <c r="H22" s="251"/>
      <c r="I22" s="251"/>
      <c r="J22" s="289"/>
      <c r="L22" s="251"/>
      <c r="M22" s="289"/>
    </row>
    <row r="23" spans="1:13" ht="14.25" customHeight="1" x14ac:dyDescent="0.25">
      <c r="A23" s="289"/>
      <c r="D23" s="251"/>
      <c r="E23" s="251"/>
      <c r="F23" s="251"/>
      <c r="G23" s="251"/>
      <c r="H23" s="251"/>
      <c r="I23" s="251"/>
      <c r="J23" s="289"/>
      <c r="L23" s="251"/>
      <c r="M23" s="289"/>
    </row>
    <row r="24" spans="1:13" ht="14.25" customHeight="1" x14ac:dyDescent="0.25">
      <c r="A24" s="289"/>
      <c r="D24" s="251"/>
      <c r="E24" s="251"/>
      <c r="F24" s="251"/>
      <c r="G24" s="251"/>
      <c r="H24" s="251"/>
      <c r="I24" s="251"/>
      <c r="J24" s="289"/>
      <c r="L24" s="251"/>
      <c r="M24" s="289"/>
    </row>
    <row r="25" spans="1:13" ht="14.25" customHeight="1" x14ac:dyDescent="0.25">
      <c r="A25" s="289"/>
      <c r="D25" s="251"/>
      <c r="E25" s="251"/>
      <c r="F25" s="251"/>
      <c r="G25" s="251"/>
      <c r="H25" s="251"/>
      <c r="I25" s="251"/>
      <c r="J25" s="289"/>
      <c r="L25" s="251"/>
      <c r="M25" s="289"/>
    </row>
    <row r="26" spans="1:13" ht="14.25" customHeight="1" x14ac:dyDescent="0.25">
      <c r="A26" s="289"/>
      <c r="D26" s="251"/>
      <c r="E26" s="251"/>
      <c r="F26" s="251"/>
      <c r="G26" s="251"/>
      <c r="H26" s="251"/>
      <c r="I26" s="251"/>
      <c r="J26" s="289"/>
      <c r="L26" s="251"/>
      <c r="M26" s="289"/>
    </row>
    <row r="27" spans="1:13" ht="14.25" customHeight="1" x14ac:dyDescent="0.25">
      <c r="A27" s="289"/>
      <c r="D27" s="251"/>
      <c r="E27" s="251"/>
      <c r="F27" s="251"/>
      <c r="G27" s="251"/>
      <c r="H27" s="251"/>
      <c r="I27" s="251"/>
      <c r="J27" s="289"/>
      <c r="L27" s="251"/>
      <c r="M27" s="289"/>
    </row>
    <row r="28" spans="1:13" ht="14.25" customHeight="1" x14ac:dyDescent="0.25">
      <c r="A28" s="289"/>
      <c r="D28" s="251"/>
      <c r="E28" s="251"/>
      <c r="F28" s="251"/>
      <c r="G28" s="251"/>
      <c r="H28" s="251"/>
      <c r="I28" s="251"/>
      <c r="J28" s="289"/>
      <c r="L28" s="251"/>
      <c r="M28" s="289"/>
    </row>
    <row r="29" spans="1:13" ht="14.25" customHeight="1" x14ac:dyDescent="0.25">
      <c r="A29" s="289"/>
      <c r="D29" s="251"/>
      <c r="E29" s="251"/>
      <c r="F29" s="251"/>
      <c r="G29" s="251"/>
      <c r="H29" s="251"/>
      <c r="I29" s="251"/>
      <c r="J29" s="289"/>
      <c r="L29" s="251"/>
      <c r="M29" s="289"/>
    </row>
    <row r="30" spans="1:13" ht="14.25" customHeight="1" x14ac:dyDescent="0.25">
      <c r="A30" s="289"/>
      <c r="D30" s="251"/>
      <c r="E30" s="251"/>
      <c r="F30" s="251"/>
      <c r="G30" s="251"/>
      <c r="H30" s="251"/>
      <c r="I30" s="251"/>
      <c r="J30" s="289"/>
      <c r="L30" s="251"/>
      <c r="M30" s="289"/>
    </row>
    <row r="31" spans="1:13" ht="14.25" customHeight="1" x14ac:dyDescent="0.25">
      <c r="A31" s="289"/>
      <c r="D31" s="251"/>
      <c r="E31" s="251"/>
      <c r="F31" s="251"/>
      <c r="G31" s="251"/>
      <c r="H31" s="251"/>
      <c r="I31" s="251"/>
      <c r="J31" s="289"/>
      <c r="L31" s="251"/>
      <c r="M31" s="289"/>
    </row>
    <row r="32" spans="1:13" ht="14.25" customHeight="1" x14ac:dyDescent="0.25">
      <c r="A32" s="289"/>
      <c r="D32" s="251"/>
      <c r="E32" s="251"/>
      <c r="F32" s="251"/>
      <c r="G32" s="251"/>
      <c r="H32" s="251"/>
      <c r="I32" s="251"/>
      <c r="J32" s="289"/>
      <c r="L32" s="251"/>
      <c r="M32" s="289"/>
    </row>
    <row r="33" spans="1:13" ht="14.25" customHeight="1" x14ac:dyDescent="0.25">
      <c r="A33" s="289"/>
      <c r="D33" s="251"/>
      <c r="E33" s="251"/>
      <c r="F33" s="251"/>
      <c r="G33" s="251"/>
      <c r="H33" s="251"/>
      <c r="I33" s="251"/>
      <c r="J33" s="289"/>
      <c r="L33" s="251"/>
      <c r="M33" s="289"/>
    </row>
    <row r="34" spans="1:13" ht="14.25" customHeight="1" x14ac:dyDescent="0.25">
      <c r="A34" s="289"/>
      <c r="D34" s="251"/>
      <c r="E34" s="251"/>
      <c r="F34" s="251"/>
      <c r="G34" s="251"/>
      <c r="H34" s="251"/>
      <c r="I34" s="251"/>
      <c r="J34" s="289"/>
      <c r="L34" s="251"/>
      <c r="M34" s="289"/>
    </row>
    <row r="35" spans="1:13" ht="14.25" customHeight="1" x14ac:dyDescent="0.25">
      <c r="A35" s="289"/>
      <c r="D35" s="251"/>
      <c r="E35" s="251"/>
      <c r="F35" s="251"/>
      <c r="G35" s="251"/>
      <c r="H35" s="251"/>
      <c r="I35" s="251"/>
      <c r="J35" s="289"/>
      <c r="L35" s="251"/>
      <c r="M35" s="289"/>
    </row>
    <row r="36" spans="1:13" ht="14.25" customHeight="1" x14ac:dyDescent="0.25">
      <c r="A36" s="289"/>
      <c r="D36" s="251"/>
      <c r="E36" s="251"/>
      <c r="F36" s="251"/>
      <c r="G36" s="251"/>
      <c r="H36" s="251"/>
      <c r="I36" s="251"/>
      <c r="J36" s="289"/>
      <c r="L36" s="251"/>
      <c r="M36" s="289"/>
    </row>
    <row r="37" spans="1:13" ht="14.25" customHeight="1" x14ac:dyDescent="0.25">
      <c r="A37" s="289"/>
      <c r="D37" s="251"/>
      <c r="E37" s="251"/>
      <c r="F37" s="251"/>
      <c r="G37" s="251"/>
      <c r="H37" s="251"/>
      <c r="I37" s="251"/>
      <c r="J37" s="289"/>
      <c r="L37" s="251"/>
      <c r="M37" s="289"/>
    </row>
    <row r="38" spans="1:13" ht="14.25" customHeight="1" x14ac:dyDescent="0.25">
      <c r="A38" s="289"/>
      <c r="D38" s="251"/>
      <c r="E38" s="251"/>
      <c r="F38" s="251"/>
      <c r="G38" s="251"/>
      <c r="H38" s="251"/>
      <c r="I38" s="251"/>
      <c r="J38" s="289"/>
      <c r="L38" s="251"/>
      <c r="M38" s="289"/>
    </row>
    <row r="39" spans="1:13" ht="14.25" customHeight="1" x14ac:dyDescent="0.25">
      <c r="A39" s="289"/>
      <c r="D39" s="251"/>
      <c r="E39" s="251"/>
      <c r="F39" s="251"/>
      <c r="G39" s="251"/>
      <c r="H39" s="251"/>
      <c r="I39" s="251"/>
      <c r="J39" s="289"/>
      <c r="L39" s="251"/>
      <c r="M39" s="289"/>
    </row>
    <row r="40" spans="1:13" ht="14.25" customHeight="1" x14ac:dyDescent="0.25">
      <c r="A40" s="289"/>
      <c r="D40" s="251"/>
      <c r="E40" s="251"/>
      <c r="F40" s="251"/>
      <c r="G40" s="251"/>
      <c r="H40" s="251"/>
      <c r="I40" s="251"/>
      <c r="J40" s="289"/>
      <c r="L40" s="251"/>
      <c r="M40" s="289"/>
    </row>
    <row r="41" spans="1:13" ht="14.25" customHeight="1" x14ac:dyDescent="0.25">
      <c r="A41" s="289"/>
      <c r="D41" s="251"/>
      <c r="E41" s="251"/>
      <c r="F41" s="251"/>
      <c r="G41" s="251"/>
      <c r="H41" s="251"/>
      <c r="I41" s="251"/>
      <c r="J41" s="289"/>
      <c r="L41" s="251"/>
      <c r="M41" s="289"/>
    </row>
    <row r="42" spans="1:13" ht="14.25" customHeight="1" x14ac:dyDescent="0.25">
      <c r="A42" s="289"/>
      <c r="D42" s="251"/>
      <c r="E42" s="251"/>
      <c r="F42" s="251"/>
      <c r="G42" s="251"/>
      <c r="H42" s="251"/>
      <c r="I42" s="251"/>
      <c r="J42" s="289"/>
      <c r="L42" s="251"/>
      <c r="M42" s="289"/>
    </row>
    <row r="43" spans="1:13" ht="14.25" customHeight="1" x14ac:dyDescent="0.25">
      <c r="A43" s="289"/>
      <c r="D43" s="251"/>
      <c r="E43" s="251"/>
      <c r="F43" s="251"/>
      <c r="G43" s="251"/>
      <c r="H43" s="251"/>
      <c r="I43" s="251"/>
      <c r="J43" s="289"/>
      <c r="L43" s="251"/>
      <c r="M43" s="289"/>
    </row>
    <row r="44" spans="1:13" ht="14.25" customHeight="1" x14ac:dyDescent="0.25">
      <c r="A44" s="289"/>
      <c r="D44" s="251"/>
      <c r="E44" s="251"/>
      <c r="F44" s="251"/>
      <c r="G44" s="251"/>
      <c r="H44" s="251"/>
      <c r="I44" s="251"/>
      <c r="J44" s="289"/>
      <c r="L44" s="251"/>
      <c r="M44" s="289"/>
    </row>
    <row r="45" spans="1:13" ht="14.25" customHeight="1" x14ac:dyDescent="0.25">
      <c r="A45" s="289"/>
      <c r="D45" s="251"/>
      <c r="E45" s="251"/>
      <c r="F45" s="251"/>
      <c r="G45" s="251"/>
      <c r="H45" s="251"/>
      <c r="I45" s="251"/>
      <c r="J45" s="289"/>
      <c r="L45" s="251"/>
      <c r="M45" s="289"/>
    </row>
    <row r="46" spans="1:13" ht="14.25" customHeight="1" x14ac:dyDescent="0.25">
      <c r="A46" s="289"/>
      <c r="D46" s="251"/>
      <c r="E46" s="251"/>
      <c r="F46" s="251"/>
      <c r="G46" s="251"/>
      <c r="H46" s="251"/>
      <c r="I46" s="251"/>
      <c r="J46" s="289"/>
      <c r="L46" s="251"/>
      <c r="M46" s="289"/>
    </row>
    <row r="47" spans="1:13" ht="14.25" customHeight="1" x14ac:dyDescent="0.25">
      <c r="A47" s="289"/>
      <c r="D47" s="251"/>
      <c r="E47" s="251"/>
      <c r="F47" s="251"/>
      <c r="G47" s="251"/>
      <c r="H47" s="251"/>
      <c r="I47" s="251"/>
      <c r="J47" s="289"/>
      <c r="L47" s="251"/>
      <c r="M47" s="289"/>
    </row>
    <row r="48" spans="1:13" ht="14.25" customHeight="1" x14ac:dyDescent="0.25">
      <c r="A48" s="289"/>
      <c r="D48" s="251"/>
      <c r="E48" s="251"/>
      <c r="F48" s="251"/>
      <c r="G48" s="251"/>
      <c r="H48" s="251"/>
      <c r="I48" s="251"/>
      <c r="J48" s="289"/>
      <c r="L48" s="251"/>
      <c r="M48" s="289"/>
    </row>
    <row r="49" spans="1:13" ht="14.25" customHeight="1" x14ac:dyDescent="0.25">
      <c r="A49" s="289"/>
      <c r="D49" s="251"/>
      <c r="E49" s="251"/>
      <c r="F49" s="251"/>
      <c r="G49" s="251"/>
      <c r="H49" s="251"/>
      <c r="I49" s="251"/>
      <c r="J49" s="289"/>
      <c r="L49" s="251"/>
      <c r="M49" s="289"/>
    </row>
    <row r="50" spans="1:13" ht="14.25" customHeight="1" x14ac:dyDescent="0.25">
      <c r="A50" s="289"/>
      <c r="D50" s="251"/>
      <c r="E50" s="251"/>
      <c r="F50" s="251"/>
      <c r="G50" s="251"/>
      <c r="H50" s="251"/>
      <c r="I50" s="251"/>
      <c r="J50" s="289"/>
      <c r="L50" s="251"/>
      <c r="M50" s="289"/>
    </row>
    <row r="51" spans="1:13" ht="14.25" customHeight="1" x14ac:dyDescent="0.25">
      <c r="A51" s="289"/>
      <c r="D51" s="251"/>
      <c r="E51" s="251"/>
      <c r="F51" s="251"/>
      <c r="G51" s="251"/>
      <c r="H51" s="251"/>
      <c r="I51" s="251"/>
      <c r="J51" s="289"/>
      <c r="L51" s="251"/>
      <c r="M51" s="289"/>
    </row>
    <row r="52" spans="1:13" ht="14.25" customHeight="1" x14ac:dyDescent="0.25">
      <c r="A52" s="289"/>
      <c r="D52" s="251"/>
      <c r="E52" s="251"/>
      <c r="F52" s="251"/>
      <c r="G52" s="251"/>
      <c r="H52" s="251"/>
      <c r="I52" s="251"/>
      <c r="J52" s="289"/>
      <c r="L52" s="251"/>
      <c r="M52" s="289"/>
    </row>
    <row r="53" spans="1:13" ht="14.25" customHeight="1" x14ac:dyDescent="0.25">
      <c r="A53" s="289"/>
      <c r="D53" s="251"/>
      <c r="E53" s="251"/>
      <c r="F53" s="251"/>
      <c r="G53" s="251"/>
      <c r="H53" s="251"/>
      <c r="I53" s="251"/>
      <c r="J53" s="289"/>
      <c r="L53" s="251"/>
      <c r="M53" s="289"/>
    </row>
    <row r="54" spans="1:13" ht="14.25" customHeight="1" x14ac:dyDescent="0.25">
      <c r="A54" s="289"/>
      <c r="D54" s="251"/>
      <c r="E54" s="251"/>
      <c r="F54" s="251"/>
      <c r="G54" s="251"/>
      <c r="H54" s="251"/>
      <c r="I54" s="251"/>
      <c r="J54" s="289"/>
      <c r="L54" s="251"/>
      <c r="M54" s="289"/>
    </row>
    <row r="55" spans="1:13" ht="14.25" customHeight="1" x14ac:dyDescent="0.25">
      <c r="A55" s="289"/>
      <c r="D55" s="251"/>
      <c r="E55" s="251"/>
      <c r="F55" s="251"/>
      <c r="G55" s="251"/>
      <c r="H55" s="251"/>
      <c r="I55" s="251"/>
      <c r="J55" s="289"/>
      <c r="L55" s="251"/>
      <c r="M55" s="289"/>
    </row>
    <row r="56" spans="1:13" ht="14.25" customHeight="1" x14ac:dyDescent="0.25">
      <c r="A56" s="289"/>
      <c r="D56" s="251"/>
      <c r="E56" s="251"/>
      <c r="F56" s="251"/>
      <c r="G56" s="251"/>
      <c r="H56" s="251"/>
      <c r="I56" s="251"/>
      <c r="J56" s="289"/>
      <c r="L56" s="251"/>
      <c r="M56" s="289"/>
    </row>
    <row r="57" spans="1:13" ht="14.25" customHeight="1" x14ac:dyDescent="0.25">
      <c r="A57" s="289"/>
      <c r="D57" s="251"/>
      <c r="E57" s="251"/>
      <c r="F57" s="251"/>
      <c r="G57" s="251"/>
      <c r="H57" s="251"/>
      <c r="I57" s="251"/>
      <c r="J57" s="289"/>
      <c r="L57" s="251"/>
      <c r="M57" s="289"/>
    </row>
    <row r="58" spans="1:13" ht="14.25" customHeight="1" x14ac:dyDescent="0.25">
      <c r="A58" s="289"/>
      <c r="D58" s="251"/>
      <c r="E58" s="251"/>
      <c r="F58" s="251"/>
      <c r="G58" s="251"/>
      <c r="H58" s="251"/>
      <c r="I58" s="251"/>
      <c r="J58" s="289"/>
      <c r="L58" s="251"/>
      <c r="M58" s="289"/>
    </row>
    <row r="59" spans="1:13" ht="14.25" customHeight="1" x14ac:dyDescent="0.25">
      <c r="A59" s="289"/>
      <c r="D59" s="251"/>
      <c r="E59" s="251"/>
      <c r="F59" s="251"/>
      <c r="G59" s="251"/>
      <c r="H59" s="251"/>
      <c r="I59" s="251"/>
      <c r="J59" s="289"/>
      <c r="L59" s="251"/>
      <c r="M59" s="289"/>
    </row>
    <row r="60" spans="1:13" ht="14.25" customHeight="1" x14ac:dyDescent="0.25">
      <c r="A60" s="289"/>
      <c r="D60" s="251"/>
      <c r="E60" s="251"/>
      <c r="F60" s="251"/>
      <c r="G60" s="251"/>
      <c r="H60" s="251"/>
      <c r="I60" s="251"/>
      <c r="J60" s="289"/>
      <c r="L60" s="251"/>
      <c r="M60" s="289"/>
    </row>
    <row r="61" spans="1:13" ht="14.25" customHeight="1" x14ac:dyDescent="0.25">
      <c r="A61" s="289"/>
      <c r="D61" s="251"/>
      <c r="E61" s="251"/>
      <c r="F61" s="251"/>
      <c r="G61" s="251"/>
      <c r="H61" s="251"/>
      <c r="I61" s="251"/>
      <c r="J61" s="289"/>
      <c r="L61" s="251"/>
      <c r="M61" s="289"/>
    </row>
    <row r="62" spans="1:13" ht="14.25" customHeight="1" x14ac:dyDescent="0.25">
      <c r="A62" s="289"/>
      <c r="D62" s="251"/>
      <c r="E62" s="251"/>
      <c r="F62" s="251"/>
      <c r="G62" s="251"/>
      <c r="H62" s="251"/>
      <c r="I62" s="251"/>
      <c r="J62" s="289"/>
      <c r="L62" s="251"/>
      <c r="M62" s="289"/>
    </row>
    <row r="63" spans="1:13" ht="14.25" customHeight="1" x14ac:dyDescent="0.25">
      <c r="A63" s="289"/>
      <c r="D63" s="251"/>
      <c r="E63" s="251"/>
      <c r="F63" s="251"/>
      <c r="G63" s="251"/>
      <c r="H63" s="251"/>
      <c r="I63" s="251"/>
      <c r="J63" s="289"/>
      <c r="L63" s="251"/>
      <c r="M63" s="289"/>
    </row>
    <row r="64" spans="1:13" ht="14.25" customHeight="1" x14ac:dyDescent="0.25">
      <c r="A64" s="289"/>
      <c r="D64" s="251"/>
      <c r="E64" s="251"/>
      <c r="F64" s="251"/>
      <c r="G64" s="251"/>
      <c r="H64" s="251"/>
      <c r="I64" s="251"/>
      <c r="J64" s="289"/>
      <c r="L64" s="251"/>
      <c r="M64" s="289"/>
    </row>
    <row r="65" spans="1:13" ht="14.25" customHeight="1" x14ac:dyDescent="0.25">
      <c r="A65" s="289"/>
      <c r="D65" s="251"/>
      <c r="E65" s="251"/>
      <c r="F65" s="251"/>
      <c r="G65" s="251"/>
      <c r="H65" s="251"/>
      <c r="I65" s="251"/>
      <c r="J65" s="289"/>
      <c r="L65" s="251"/>
      <c r="M65" s="289"/>
    </row>
    <row r="66" spans="1:13" ht="14.25" customHeight="1" x14ac:dyDescent="0.25">
      <c r="A66" s="289"/>
      <c r="D66" s="251"/>
      <c r="E66" s="251"/>
      <c r="F66" s="251"/>
      <c r="G66" s="251"/>
      <c r="H66" s="251"/>
      <c r="I66" s="251"/>
      <c r="J66" s="289"/>
      <c r="L66" s="251"/>
      <c r="M66" s="289"/>
    </row>
    <row r="67" spans="1:13" ht="14.25" customHeight="1" x14ac:dyDescent="0.25">
      <c r="A67" s="289"/>
      <c r="D67" s="251"/>
      <c r="E67" s="251"/>
      <c r="F67" s="251"/>
      <c r="G67" s="251"/>
      <c r="H67" s="251"/>
      <c r="I67" s="251"/>
      <c r="J67" s="289"/>
      <c r="L67" s="251"/>
      <c r="M67" s="289"/>
    </row>
    <row r="68" spans="1:13" ht="14.25" customHeight="1" x14ac:dyDescent="0.25">
      <c r="A68" s="289"/>
      <c r="D68" s="251"/>
      <c r="E68" s="251"/>
      <c r="F68" s="251"/>
      <c r="G68" s="251"/>
      <c r="H68" s="251"/>
      <c r="I68" s="251"/>
      <c r="J68" s="289"/>
      <c r="L68" s="251"/>
      <c r="M68" s="289"/>
    </row>
    <row r="69" spans="1:13" ht="14.25" customHeight="1" x14ac:dyDescent="0.25">
      <c r="A69" s="289"/>
      <c r="D69" s="251"/>
      <c r="E69" s="251"/>
      <c r="F69" s="251"/>
      <c r="G69" s="251"/>
      <c r="H69" s="251"/>
      <c r="I69" s="251"/>
      <c r="J69" s="289"/>
      <c r="L69" s="251"/>
      <c r="M69" s="289"/>
    </row>
    <row r="70" spans="1:13" ht="14.25" customHeight="1" x14ac:dyDescent="0.25">
      <c r="A70" s="289"/>
      <c r="D70" s="251"/>
      <c r="E70" s="251"/>
      <c r="F70" s="251"/>
      <c r="G70" s="251"/>
      <c r="H70" s="251"/>
      <c r="I70" s="251"/>
      <c r="J70" s="289"/>
      <c r="L70" s="251"/>
      <c r="M70" s="289"/>
    </row>
    <row r="71" spans="1:13" ht="14.25" customHeight="1" x14ac:dyDescent="0.25">
      <c r="A71" s="289"/>
      <c r="D71" s="251"/>
      <c r="E71" s="251"/>
      <c r="F71" s="251"/>
      <c r="G71" s="251"/>
      <c r="H71" s="251"/>
      <c r="I71" s="251"/>
      <c r="J71" s="289"/>
      <c r="L71" s="251"/>
      <c r="M71" s="289"/>
    </row>
    <row r="72" spans="1:13" ht="14.25" customHeight="1" x14ac:dyDescent="0.25">
      <c r="A72" s="289"/>
      <c r="D72" s="251"/>
      <c r="E72" s="251"/>
      <c r="F72" s="251"/>
      <c r="G72" s="251"/>
      <c r="H72" s="251"/>
      <c r="I72" s="251"/>
      <c r="J72" s="289"/>
      <c r="L72" s="251"/>
      <c r="M72" s="289"/>
    </row>
    <row r="73" spans="1:13" ht="14.25" customHeight="1" x14ac:dyDescent="0.25">
      <c r="A73" s="289"/>
      <c r="D73" s="251"/>
      <c r="E73" s="251"/>
      <c r="F73" s="251"/>
      <c r="G73" s="251"/>
      <c r="H73" s="251"/>
      <c r="I73" s="251"/>
      <c r="J73" s="289"/>
      <c r="L73" s="251"/>
      <c r="M73" s="289"/>
    </row>
    <row r="74" spans="1:13" ht="14.25" customHeight="1" x14ac:dyDescent="0.25">
      <c r="A74" s="289"/>
      <c r="D74" s="251"/>
      <c r="E74" s="251"/>
      <c r="F74" s="251"/>
      <c r="G74" s="251"/>
      <c r="H74" s="251"/>
      <c r="I74" s="251"/>
      <c r="J74" s="289"/>
      <c r="L74" s="251"/>
      <c r="M74" s="289"/>
    </row>
    <row r="75" spans="1:13" ht="14.25" customHeight="1" x14ac:dyDescent="0.25">
      <c r="A75" s="289"/>
      <c r="D75" s="251"/>
      <c r="E75" s="251"/>
      <c r="F75" s="251"/>
      <c r="G75" s="251"/>
      <c r="H75" s="251"/>
      <c r="I75" s="251"/>
      <c r="J75" s="289"/>
      <c r="L75" s="251"/>
      <c r="M75" s="289"/>
    </row>
    <row r="76" spans="1:13" ht="14.25" customHeight="1" x14ac:dyDescent="0.25">
      <c r="A76" s="289"/>
      <c r="D76" s="251"/>
      <c r="E76" s="251"/>
      <c r="F76" s="251"/>
      <c r="G76" s="251"/>
      <c r="H76" s="251"/>
      <c r="I76" s="251"/>
      <c r="J76" s="289"/>
      <c r="L76" s="251"/>
      <c r="M76" s="289"/>
    </row>
    <row r="77" spans="1:13" ht="14.25" customHeight="1" x14ac:dyDescent="0.25">
      <c r="A77" s="289"/>
      <c r="D77" s="251"/>
      <c r="E77" s="251"/>
      <c r="F77" s="251"/>
      <c r="G77" s="251"/>
      <c r="H77" s="251"/>
      <c r="I77" s="251"/>
      <c r="J77" s="289"/>
      <c r="L77" s="251"/>
      <c r="M77" s="289"/>
    </row>
    <row r="78" spans="1:13" ht="14.25" customHeight="1" x14ac:dyDescent="0.25">
      <c r="A78" s="289"/>
      <c r="D78" s="251"/>
      <c r="E78" s="251"/>
      <c r="F78" s="251"/>
      <c r="G78" s="251"/>
      <c r="H78" s="251"/>
      <c r="I78" s="251"/>
      <c r="J78" s="289"/>
      <c r="L78" s="251"/>
      <c r="M78" s="289"/>
    </row>
    <row r="79" spans="1:13" ht="14.25" customHeight="1" x14ac:dyDescent="0.25">
      <c r="A79" s="289"/>
      <c r="D79" s="251"/>
      <c r="E79" s="251"/>
      <c r="F79" s="251"/>
      <c r="G79" s="251"/>
      <c r="H79" s="251"/>
      <c r="I79" s="251"/>
      <c r="J79" s="289"/>
      <c r="L79" s="251"/>
      <c r="M79" s="289"/>
    </row>
    <row r="80" spans="1:13" ht="14.25" customHeight="1" x14ac:dyDescent="0.25">
      <c r="A80" s="289"/>
      <c r="D80" s="251"/>
      <c r="E80" s="251"/>
      <c r="F80" s="251"/>
      <c r="G80" s="251"/>
      <c r="H80" s="251"/>
      <c r="I80" s="251"/>
      <c r="J80" s="289"/>
      <c r="L80" s="251"/>
      <c r="M80" s="289"/>
    </row>
    <row r="81" spans="1:13" ht="14.25" customHeight="1" x14ac:dyDescent="0.25">
      <c r="A81" s="289"/>
      <c r="D81" s="251"/>
      <c r="E81" s="251"/>
      <c r="F81" s="251"/>
      <c r="G81" s="251"/>
      <c r="H81" s="251"/>
      <c r="I81" s="251"/>
      <c r="J81" s="289"/>
      <c r="L81" s="251"/>
      <c r="M81" s="289"/>
    </row>
    <row r="82" spans="1:13" ht="14.25" customHeight="1" x14ac:dyDescent="0.25">
      <c r="A82" s="289"/>
      <c r="D82" s="251"/>
      <c r="E82" s="251"/>
      <c r="F82" s="251"/>
      <c r="G82" s="251"/>
      <c r="H82" s="251"/>
      <c r="I82" s="251"/>
      <c r="J82" s="289"/>
      <c r="L82" s="251"/>
      <c r="M82" s="289"/>
    </row>
    <row r="83" spans="1:13" ht="14.25" customHeight="1" x14ac:dyDescent="0.25">
      <c r="A83" s="289"/>
      <c r="D83" s="251"/>
      <c r="E83" s="251"/>
      <c r="F83" s="251"/>
      <c r="G83" s="251"/>
      <c r="H83" s="251"/>
      <c r="I83" s="251"/>
      <c r="J83" s="289"/>
      <c r="L83" s="251"/>
      <c r="M83" s="289"/>
    </row>
    <row r="84" spans="1:13" ht="14.25" customHeight="1" x14ac:dyDescent="0.25">
      <c r="A84" s="289"/>
      <c r="D84" s="251"/>
      <c r="E84" s="251"/>
      <c r="F84" s="251"/>
      <c r="G84" s="251"/>
      <c r="H84" s="251"/>
      <c r="I84" s="251"/>
      <c r="J84" s="289"/>
      <c r="L84" s="251"/>
      <c r="M84" s="289"/>
    </row>
    <row r="85" spans="1:13" ht="14.25" customHeight="1" x14ac:dyDescent="0.25">
      <c r="A85" s="289"/>
      <c r="D85" s="251"/>
      <c r="E85" s="251"/>
      <c r="F85" s="251"/>
      <c r="G85" s="251"/>
      <c r="H85" s="251"/>
      <c r="I85" s="251"/>
      <c r="J85" s="289"/>
      <c r="L85" s="251"/>
      <c r="M85" s="289"/>
    </row>
    <row r="86" spans="1:13" ht="14.25" customHeight="1" x14ac:dyDescent="0.25">
      <c r="A86" s="289"/>
      <c r="D86" s="251"/>
      <c r="E86" s="251"/>
      <c r="F86" s="251"/>
      <c r="G86" s="251"/>
      <c r="H86" s="251"/>
      <c r="I86" s="251"/>
      <c r="J86" s="289"/>
      <c r="L86" s="251"/>
      <c r="M86" s="289"/>
    </row>
    <row r="87" spans="1:13" ht="14.25" customHeight="1" x14ac:dyDescent="0.25">
      <c r="A87" s="289"/>
      <c r="D87" s="251"/>
      <c r="E87" s="251"/>
      <c r="F87" s="251"/>
      <c r="G87" s="251"/>
      <c r="H87" s="251"/>
      <c r="I87" s="251"/>
      <c r="J87" s="289"/>
      <c r="L87" s="251"/>
      <c r="M87" s="289"/>
    </row>
    <row r="88" spans="1:13" ht="14.25" customHeight="1" x14ac:dyDescent="0.25">
      <c r="A88" s="289"/>
      <c r="D88" s="251"/>
      <c r="E88" s="251"/>
      <c r="F88" s="251"/>
      <c r="G88" s="251"/>
      <c r="H88" s="251"/>
      <c r="I88" s="251"/>
      <c r="J88" s="289"/>
      <c r="L88" s="251"/>
      <c r="M88" s="289"/>
    </row>
    <row r="89" spans="1:13" ht="14.25" customHeight="1" x14ac:dyDescent="0.25">
      <c r="A89" s="289"/>
      <c r="D89" s="251"/>
      <c r="E89" s="251"/>
      <c r="F89" s="251"/>
      <c r="G89" s="251"/>
      <c r="H89" s="251"/>
      <c r="I89" s="251"/>
      <c r="J89" s="289"/>
      <c r="L89" s="251"/>
      <c r="M89" s="289"/>
    </row>
    <row r="90" spans="1:13" ht="14.25" customHeight="1" x14ac:dyDescent="0.25">
      <c r="A90" s="289"/>
      <c r="D90" s="251"/>
      <c r="E90" s="251"/>
      <c r="F90" s="251"/>
      <c r="G90" s="251"/>
      <c r="H90" s="251"/>
      <c r="I90" s="251"/>
      <c r="J90" s="289"/>
      <c r="L90" s="251"/>
      <c r="M90" s="289"/>
    </row>
    <row r="91" spans="1:13" ht="14.25" customHeight="1" x14ac:dyDescent="0.25">
      <c r="A91" s="289"/>
      <c r="D91" s="251"/>
      <c r="E91" s="251"/>
      <c r="F91" s="251"/>
      <c r="G91" s="251"/>
      <c r="H91" s="251"/>
      <c r="I91" s="251"/>
      <c r="J91" s="289"/>
      <c r="L91" s="251"/>
      <c r="M91" s="289"/>
    </row>
    <row r="92" spans="1:13" ht="14.25" customHeight="1" x14ac:dyDescent="0.25">
      <c r="A92" s="289"/>
      <c r="D92" s="251"/>
      <c r="E92" s="251"/>
      <c r="F92" s="251"/>
      <c r="G92" s="251"/>
      <c r="H92" s="251"/>
      <c r="I92" s="251"/>
      <c r="J92" s="289"/>
      <c r="L92" s="251"/>
      <c r="M92" s="289"/>
    </row>
    <row r="93" spans="1:13" ht="14.25" customHeight="1" x14ac:dyDescent="0.25">
      <c r="A93" s="289"/>
      <c r="D93" s="251"/>
      <c r="E93" s="251"/>
      <c r="F93" s="251"/>
      <c r="G93" s="251"/>
      <c r="H93" s="251"/>
      <c r="I93" s="251"/>
      <c r="J93" s="289"/>
      <c r="L93" s="251"/>
      <c r="M93" s="289"/>
    </row>
    <row r="94" spans="1:13" ht="14.25" customHeight="1" x14ac:dyDescent="0.25">
      <c r="A94" s="289"/>
      <c r="D94" s="251"/>
      <c r="E94" s="251"/>
      <c r="F94" s="251"/>
      <c r="G94" s="251"/>
      <c r="H94" s="251"/>
      <c r="I94" s="251"/>
      <c r="J94" s="289"/>
      <c r="L94" s="251"/>
      <c r="M94" s="289"/>
    </row>
    <row r="95" spans="1:13" ht="14.25" customHeight="1" x14ac:dyDescent="0.25">
      <c r="A95" s="289"/>
      <c r="D95" s="251"/>
      <c r="E95" s="251"/>
      <c r="F95" s="251"/>
      <c r="G95" s="251"/>
      <c r="H95" s="251"/>
      <c r="I95" s="251"/>
      <c r="J95" s="289"/>
      <c r="L95" s="251"/>
      <c r="M95" s="289"/>
    </row>
    <row r="96" spans="1:13" ht="14.25" customHeight="1" x14ac:dyDescent="0.25">
      <c r="A96" s="289"/>
      <c r="D96" s="251"/>
      <c r="E96" s="251"/>
      <c r="F96" s="251"/>
      <c r="G96" s="251"/>
      <c r="H96" s="251"/>
      <c r="I96" s="251"/>
      <c r="J96" s="289"/>
      <c r="L96" s="251"/>
      <c r="M96" s="289"/>
    </row>
    <row r="97" spans="1:13" ht="14.25" customHeight="1" x14ac:dyDescent="0.25">
      <c r="A97" s="289"/>
      <c r="D97" s="251"/>
      <c r="E97" s="251"/>
      <c r="F97" s="251"/>
      <c r="G97" s="251"/>
      <c r="H97" s="251"/>
      <c r="I97" s="251"/>
      <c r="J97" s="289"/>
      <c r="L97" s="251"/>
      <c r="M97" s="289"/>
    </row>
    <row r="98" spans="1:13" ht="14.25" customHeight="1" x14ac:dyDescent="0.25">
      <c r="A98" s="289"/>
      <c r="D98" s="251"/>
      <c r="E98" s="251"/>
      <c r="F98" s="251"/>
      <c r="G98" s="251"/>
      <c r="H98" s="251"/>
      <c r="I98" s="251"/>
      <c r="J98" s="289"/>
      <c r="L98" s="251"/>
      <c r="M98" s="289"/>
    </row>
    <row r="99" spans="1:13" ht="14.25" customHeight="1" x14ac:dyDescent="0.25">
      <c r="A99" s="289"/>
      <c r="D99" s="251"/>
      <c r="E99" s="251"/>
      <c r="F99" s="251"/>
      <c r="G99" s="251"/>
      <c r="H99" s="251"/>
      <c r="I99" s="251"/>
      <c r="J99" s="289"/>
      <c r="L99" s="251"/>
      <c r="M99" s="289"/>
    </row>
    <row r="100" spans="1:13" ht="14.25" customHeight="1" x14ac:dyDescent="0.25">
      <c r="A100" s="289"/>
      <c r="D100" s="251"/>
      <c r="E100" s="251"/>
      <c r="F100" s="251"/>
      <c r="G100" s="251"/>
      <c r="H100" s="251"/>
      <c r="I100" s="251"/>
      <c r="J100" s="289"/>
      <c r="L100" s="251"/>
      <c r="M100" s="289"/>
    </row>
    <row r="101" spans="1:13" ht="14.25" customHeight="1" x14ac:dyDescent="0.25">
      <c r="A101" s="289"/>
      <c r="D101" s="251"/>
      <c r="E101" s="251"/>
      <c r="F101" s="251"/>
      <c r="G101" s="251"/>
      <c r="H101" s="251"/>
      <c r="I101" s="251"/>
      <c r="J101" s="289"/>
      <c r="L101" s="251"/>
      <c r="M101" s="289"/>
    </row>
    <row r="102" spans="1:13" ht="14.25" customHeight="1" x14ac:dyDescent="0.25">
      <c r="A102" s="289"/>
      <c r="D102" s="251"/>
      <c r="E102" s="251"/>
      <c r="F102" s="251"/>
      <c r="G102" s="251"/>
      <c r="H102" s="251"/>
      <c r="I102" s="251"/>
      <c r="J102" s="289"/>
      <c r="L102" s="251"/>
      <c r="M102" s="289"/>
    </row>
    <row r="103" spans="1:13" ht="14.25" customHeight="1" x14ac:dyDescent="0.25">
      <c r="A103" s="289"/>
      <c r="D103" s="251"/>
      <c r="E103" s="251"/>
      <c r="F103" s="251"/>
      <c r="G103" s="251"/>
      <c r="H103" s="251"/>
      <c r="I103" s="251"/>
      <c r="J103" s="289"/>
      <c r="L103" s="251"/>
      <c r="M103" s="289"/>
    </row>
    <row r="104" spans="1:13" ht="14.25" customHeight="1" x14ac:dyDescent="0.25">
      <c r="A104" s="289"/>
      <c r="D104" s="251"/>
      <c r="E104" s="251"/>
      <c r="F104" s="251"/>
      <c r="G104" s="251"/>
      <c r="H104" s="251"/>
      <c r="I104" s="251"/>
      <c r="J104" s="289"/>
      <c r="L104" s="251"/>
      <c r="M104" s="289"/>
    </row>
    <row r="105" spans="1:13" ht="14.25" customHeight="1" x14ac:dyDescent="0.25">
      <c r="A105" s="289"/>
      <c r="D105" s="251"/>
      <c r="E105" s="251"/>
      <c r="F105" s="251"/>
      <c r="G105" s="251"/>
      <c r="H105" s="251"/>
      <c r="I105" s="251"/>
      <c r="J105" s="289"/>
      <c r="L105" s="251"/>
      <c r="M105" s="289"/>
    </row>
    <row r="106" spans="1:13" ht="14.25" customHeight="1" x14ac:dyDescent="0.25">
      <c r="A106" s="289"/>
      <c r="D106" s="251"/>
      <c r="E106" s="251"/>
      <c r="F106" s="251"/>
      <c r="G106" s="251"/>
      <c r="H106" s="251"/>
      <c r="I106" s="251"/>
      <c r="J106" s="289"/>
      <c r="L106" s="251"/>
      <c r="M106" s="289"/>
    </row>
    <row r="107" spans="1:13" ht="14.25" customHeight="1" x14ac:dyDescent="0.25">
      <c r="A107" s="289"/>
      <c r="D107" s="251"/>
      <c r="E107" s="251"/>
      <c r="F107" s="251"/>
      <c r="G107" s="251"/>
      <c r="H107" s="251"/>
      <c r="I107" s="251"/>
      <c r="J107" s="289"/>
      <c r="L107" s="251"/>
      <c r="M107" s="289"/>
    </row>
    <row r="108" spans="1:13" ht="14.25" customHeight="1" x14ac:dyDescent="0.25">
      <c r="A108" s="289"/>
      <c r="D108" s="251"/>
      <c r="E108" s="251"/>
      <c r="F108" s="251"/>
      <c r="G108" s="251"/>
      <c r="H108" s="251"/>
      <c r="I108" s="251"/>
      <c r="J108" s="289"/>
      <c r="L108" s="251"/>
      <c r="M108" s="289"/>
    </row>
    <row r="109" spans="1:13" ht="14.25" customHeight="1" x14ac:dyDescent="0.25">
      <c r="A109" s="289"/>
      <c r="D109" s="251"/>
      <c r="E109" s="251"/>
      <c r="F109" s="251"/>
      <c r="G109" s="251"/>
      <c r="H109" s="251"/>
      <c r="I109" s="251"/>
      <c r="J109" s="289"/>
      <c r="L109" s="251"/>
      <c r="M109" s="289"/>
    </row>
    <row r="110" spans="1:13" ht="14.25" customHeight="1" x14ac:dyDescent="0.25">
      <c r="A110" s="289"/>
      <c r="D110" s="251"/>
      <c r="E110" s="251"/>
      <c r="F110" s="251"/>
      <c r="G110" s="251"/>
      <c r="H110" s="251"/>
      <c r="I110" s="251"/>
      <c r="J110" s="289"/>
      <c r="L110" s="251"/>
      <c r="M110" s="289"/>
    </row>
    <row r="111" spans="1:13" ht="14.25" customHeight="1" x14ac:dyDescent="0.25">
      <c r="A111" s="289"/>
      <c r="D111" s="251"/>
      <c r="E111" s="251"/>
      <c r="F111" s="251"/>
      <c r="G111" s="251"/>
      <c r="H111" s="251"/>
      <c r="I111" s="251"/>
      <c r="J111" s="289"/>
      <c r="L111" s="251"/>
      <c r="M111" s="289"/>
    </row>
    <row r="112" spans="1:13" ht="14.25" customHeight="1" x14ac:dyDescent="0.25">
      <c r="A112" s="289"/>
      <c r="D112" s="251"/>
      <c r="E112" s="251"/>
      <c r="F112" s="251"/>
      <c r="G112" s="251"/>
      <c r="H112" s="251"/>
      <c r="I112" s="251"/>
      <c r="J112" s="289"/>
      <c r="L112" s="251"/>
      <c r="M112" s="289"/>
    </row>
    <row r="113" spans="1:13" ht="14.25" customHeight="1" x14ac:dyDescent="0.25">
      <c r="A113" s="289"/>
      <c r="D113" s="251"/>
      <c r="E113" s="251"/>
      <c r="F113" s="251"/>
      <c r="G113" s="251"/>
      <c r="H113" s="251"/>
      <c r="I113" s="251"/>
      <c r="J113" s="289"/>
      <c r="L113" s="251"/>
      <c r="M113" s="289"/>
    </row>
    <row r="114" spans="1:13" ht="14.25" customHeight="1" x14ac:dyDescent="0.25">
      <c r="A114" s="289"/>
      <c r="D114" s="251"/>
      <c r="E114" s="251"/>
      <c r="F114" s="251"/>
      <c r="G114" s="251"/>
      <c r="H114" s="251"/>
      <c r="I114" s="251"/>
      <c r="J114" s="289"/>
      <c r="L114" s="251"/>
      <c r="M114" s="289"/>
    </row>
    <row r="115" spans="1:13" ht="14.25" customHeight="1" x14ac:dyDescent="0.25">
      <c r="A115" s="289"/>
      <c r="D115" s="251"/>
      <c r="E115" s="251"/>
      <c r="F115" s="251"/>
      <c r="G115" s="251"/>
      <c r="H115" s="251"/>
      <c r="I115" s="251"/>
      <c r="J115" s="289"/>
      <c r="L115" s="251"/>
      <c r="M115" s="289"/>
    </row>
    <row r="116" spans="1:13" ht="14.25" customHeight="1" x14ac:dyDescent="0.25">
      <c r="A116" s="289"/>
      <c r="D116" s="251"/>
      <c r="E116" s="251"/>
      <c r="F116" s="251"/>
      <c r="G116" s="251"/>
      <c r="H116" s="251"/>
      <c r="I116" s="251"/>
      <c r="J116" s="289"/>
      <c r="L116" s="251"/>
      <c r="M116" s="289"/>
    </row>
    <row r="117" spans="1:13" ht="14.25" customHeight="1" x14ac:dyDescent="0.25">
      <c r="A117" s="289"/>
      <c r="D117" s="251"/>
      <c r="E117" s="251"/>
      <c r="F117" s="251"/>
      <c r="G117" s="251"/>
      <c r="H117" s="251"/>
      <c r="I117" s="251"/>
      <c r="J117" s="289"/>
      <c r="L117" s="251"/>
      <c r="M117" s="289"/>
    </row>
    <row r="118" spans="1:13" ht="14.25" customHeight="1" x14ac:dyDescent="0.25">
      <c r="A118" s="289"/>
      <c r="D118" s="251"/>
      <c r="E118" s="251"/>
      <c r="F118" s="251"/>
      <c r="G118" s="251"/>
      <c r="H118" s="251"/>
      <c r="I118" s="251"/>
      <c r="J118" s="289"/>
      <c r="L118" s="251"/>
      <c r="M118" s="289"/>
    </row>
    <row r="119" spans="1:13" ht="14.25" customHeight="1" x14ac:dyDescent="0.25">
      <c r="A119" s="289"/>
      <c r="D119" s="251"/>
      <c r="E119" s="251"/>
      <c r="F119" s="251"/>
      <c r="G119" s="251"/>
      <c r="H119" s="251"/>
      <c r="I119" s="251"/>
      <c r="J119" s="289"/>
      <c r="L119" s="251"/>
      <c r="M119" s="289"/>
    </row>
    <row r="120" spans="1:13" ht="14.25" customHeight="1" x14ac:dyDescent="0.25">
      <c r="A120" s="289"/>
      <c r="D120" s="251"/>
      <c r="E120" s="251"/>
      <c r="F120" s="251"/>
      <c r="G120" s="251"/>
      <c r="H120" s="251"/>
      <c r="I120" s="251"/>
      <c r="J120" s="289"/>
      <c r="L120" s="251"/>
      <c r="M120" s="289"/>
    </row>
    <row r="121" spans="1:13" ht="14.25" customHeight="1" x14ac:dyDescent="0.25">
      <c r="A121" s="289"/>
      <c r="D121" s="251"/>
      <c r="E121" s="251"/>
      <c r="F121" s="251"/>
      <c r="G121" s="251"/>
      <c r="H121" s="251"/>
      <c r="I121" s="251"/>
      <c r="J121" s="289"/>
      <c r="L121" s="251"/>
      <c r="M121" s="289"/>
    </row>
    <row r="122" spans="1:13" ht="14.25" customHeight="1" x14ac:dyDescent="0.25">
      <c r="A122" s="289"/>
      <c r="D122" s="251"/>
      <c r="E122" s="251"/>
      <c r="F122" s="251"/>
      <c r="G122" s="251"/>
      <c r="H122" s="251"/>
      <c r="I122" s="251"/>
      <c r="J122" s="289"/>
      <c r="L122" s="251"/>
      <c r="M122" s="289"/>
    </row>
    <row r="123" spans="1:13" ht="14.25" customHeight="1" x14ac:dyDescent="0.25">
      <c r="A123" s="289"/>
      <c r="D123" s="251"/>
      <c r="E123" s="251"/>
      <c r="F123" s="251"/>
      <c r="G123" s="251"/>
      <c r="H123" s="251"/>
      <c r="I123" s="251"/>
      <c r="J123" s="289"/>
      <c r="L123" s="251"/>
      <c r="M123" s="289"/>
    </row>
    <row r="124" spans="1:13" ht="14.25" customHeight="1" x14ac:dyDescent="0.25">
      <c r="A124" s="289"/>
      <c r="D124" s="251"/>
      <c r="E124" s="251"/>
      <c r="F124" s="251"/>
      <c r="G124" s="251"/>
      <c r="H124" s="251"/>
      <c r="I124" s="251"/>
      <c r="J124" s="289"/>
      <c r="L124" s="251"/>
      <c r="M124" s="289"/>
    </row>
    <row r="125" spans="1:13" ht="14.25" customHeight="1" x14ac:dyDescent="0.25">
      <c r="A125" s="289"/>
      <c r="D125" s="251"/>
      <c r="E125" s="251"/>
      <c r="F125" s="251"/>
      <c r="G125" s="251"/>
      <c r="H125" s="251"/>
      <c r="I125" s="251"/>
      <c r="J125" s="289"/>
      <c r="L125" s="251"/>
      <c r="M125" s="289"/>
    </row>
    <row r="126" spans="1:13" ht="14.25" customHeight="1" x14ac:dyDescent="0.25">
      <c r="A126" s="289"/>
      <c r="D126" s="251"/>
      <c r="E126" s="251"/>
      <c r="F126" s="251"/>
      <c r="G126" s="251"/>
      <c r="H126" s="251"/>
      <c r="I126" s="251"/>
      <c r="J126" s="289"/>
      <c r="L126" s="251"/>
      <c r="M126" s="289"/>
    </row>
    <row r="127" spans="1:13" ht="14.25" customHeight="1" x14ac:dyDescent="0.25">
      <c r="A127" s="289"/>
      <c r="D127" s="251"/>
      <c r="E127" s="251"/>
      <c r="F127" s="251"/>
      <c r="G127" s="251"/>
      <c r="H127" s="251"/>
      <c r="I127" s="251"/>
      <c r="J127" s="289"/>
      <c r="L127" s="251"/>
      <c r="M127" s="289"/>
    </row>
    <row r="128" spans="1:13" ht="14.25" customHeight="1" x14ac:dyDescent="0.25">
      <c r="A128" s="289"/>
      <c r="D128" s="251"/>
      <c r="E128" s="251"/>
      <c r="F128" s="251"/>
      <c r="G128" s="251"/>
      <c r="H128" s="251"/>
      <c r="I128" s="251"/>
      <c r="J128" s="289"/>
      <c r="L128" s="251"/>
      <c r="M128" s="289"/>
    </row>
    <row r="129" spans="1:13" ht="14.25" customHeight="1" x14ac:dyDescent="0.25">
      <c r="A129" s="289"/>
      <c r="D129" s="251"/>
      <c r="E129" s="251"/>
      <c r="F129" s="251"/>
      <c r="G129" s="251"/>
      <c r="H129" s="251"/>
      <c r="I129" s="251"/>
      <c r="J129" s="289"/>
      <c r="L129" s="251"/>
      <c r="M129" s="289"/>
    </row>
    <row r="130" spans="1:13" ht="14.25" customHeight="1" x14ac:dyDescent="0.25">
      <c r="A130" s="289"/>
      <c r="D130" s="251"/>
      <c r="E130" s="251"/>
      <c r="F130" s="251"/>
      <c r="G130" s="251"/>
      <c r="H130" s="251"/>
      <c r="I130" s="251"/>
      <c r="J130" s="289"/>
      <c r="L130" s="251"/>
      <c r="M130" s="289"/>
    </row>
    <row r="131" spans="1:13" ht="14.25" customHeight="1" x14ac:dyDescent="0.25">
      <c r="A131" s="289"/>
      <c r="D131" s="251"/>
      <c r="E131" s="251"/>
      <c r="F131" s="251"/>
      <c r="G131" s="251"/>
      <c r="H131" s="251"/>
      <c r="I131" s="251"/>
      <c r="J131" s="289"/>
      <c r="L131" s="251"/>
      <c r="M131" s="289"/>
    </row>
    <row r="132" spans="1:13" ht="14.25" customHeight="1" x14ac:dyDescent="0.25">
      <c r="A132" s="289"/>
      <c r="D132" s="251"/>
      <c r="E132" s="251"/>
      <c r="F132" s="251"/>
      <c r="G132" s="251"/>
      <c r="H132" s="251"/>
      <c r="I132" s="251"/>
      <c r="J132" s="289"/>
      <c r="L132" s="251"/>
      <c r="M132" s="289"/>
    </row>
    <row r="133" spans="1:13" ht="14.25" customHeight="1" x14ac:dyDescent="0.25">
      <c r="A133" s="289"/>
      <c r="D133" s="251"/>
      <c r="E133" s="251"/>
      <c r="F133" s="251"/>
      <c r="G133" s="251"/>
      <c r="H133" s="251"/>
      <c r="I133" s="251"/>
      <c r="J133" s="289"/>
      <c r="L133" s="251"/>
      <c r="M133" s="289"/>
    </row>
    <row r="134" spans="1:13" ht="14.25" customHeight="1" x14ac:dyDescent="0.25">
      <c r="A134" s="289"/>
      <c r="D134" s="251"/>
      <c r="E134" s="251"/>
      <c r="F134" s="251"/>
      <c r="G134" s="251"/>
      <c r="H134" s="251"/>
      <c r="I134" s="251"/>
      <c r="J134" s="289"/>
      <c r="L134" s="251"/>
      <c r="M134" s="289"/>
    </row>
    <row r="135" spans="1:13" ht="14.25" customHeight="1" x14ac:dyDescent="0.25">
      <c r="A135" s="289"/>
      <c r="D135" s="251"/>
      <c r="E135" s="251"/>
      <c r="F135" s="251"/>
      <c r="G135" s="251"/>
      <c r="H135" s="251"/>
      <c r="I135" s="251"/>
      <c r="J135" s="289"/>
      <c r="L135" s="251"/>
      <c r="M135" s="289"/>
    </row>
    <row r="136" spans="1:13" ht="14.25" customHeight="1" x14ac:dyDescent="0.25">
      <c r="A136" s="289"/>
      <c r="D136" s="251"/>
      <c r="E136" s="251"/>
      <c r="F136" s="251"/>
      <c r="G136" s="251"/>
      <c r="H136" s="251"/>
      <c r="I136" s="251"/>
      <c r="J136" s="289"/>
      <c r="L136" s="251"/>
      <c r="M136" s="289"/>
    </row>
    <row r="137" spans="1:13" ht="14.25" customHeight="1" x14ac:dyDescent="0.25">
      <c r="A137" s="289"/>
      <c r="D137" s="251"/>
      <c r="E137" s="251"/>
      <c r="F137" s="251"/>
      <c r="G137" s="251"/>
      <c r="H137" s="251"/>
      <c r="I137" s="251"/>
      <c r="J137" s="289"/>
      <c r="L137" s="251"/>
      <c r="M137" s="289"/>
    </row>
    <row r="138" spans="1:13" ht="14.25" customHeight="1" x14ac:dyDescent="0.25">
      <c r="A138" s="289"/>
      <c r="D138" s="251"/>
      <c r="E138" s="251"/>
      <c r="F138" s="251"/>
      <c r="G138" s="251"/>
      <c r="H138" s="251"/>
      <c r="I138" s="251"/>
      <c r="J138" s="289"/>
      <c r="L138" s="251"/>
      <c r="M138" s="289"/>
    </row>
    <row r="139" spans="1:13" ht="14.25" customHeight="1" x14ac:dyDescent="0.25">
      <c r="A139" s="289"/>
      <c r="D139" s="251"/>
      <c r="E139" s="251"/>
      <c r="F139" s="251"/>
      <c r="G139" s="251"/>
      <c r="H139" s="251"/>
      <c r="I139" s="251"/>
      <c r="J139" s="289"/>
      <c r="L139" s="251"/>
      <c r="M139" s="289"/>
    </row>
    <row r="140" spans="1:13" ht="14.25" customHeight="1" x14ac:dyDescent="0.25">
      <c r="A140" s="289"/>
      <c r="D140" s="251"/>
      <c r="E140" s="251"/>
      <c r="F140" s="251"/>
      <c r="G140" s="251"/>
      <c r="H140" s="251"/>
      <c r="I140" s="251"/>
      <c r="J140" s="289"/>
      <c r="L140" s="251"/>
      <c r="M140" s="289"/>
    </row>
    <row r="141" spans="1:13" ht="14.25" customHeight="1" x14ac:dyDescent="0.25">
      <c r="A141" s="289"/>
      <c r="D141" s="251"/>
      <c r="E141" s="251"/>
      <c r="F141" s="251"/>
      <c r="G141" s="251"/>
      <c r="H141" s="251"/>
      <c r="I141" s="251"/>
      <c r="J141" s="289"/>
      <c r="L141" s="251"/>
      <c r="M141" s="289"/>
    </row>
    <row r="142" spans="1:13" ht="14.25" customHeight="1" x14ac:dyDescent="0.25">
      <c r="A142" s="289"/>
      <c r="D142" s="251"/>
      <c r="E142" s="251"/>
      <c r="F142" s="251"/>
      <c r="G142" s="251"/>
      <c r="H142" s="251"/>
      <c r="I142" s="251"/>
      <c r="J142" s="289"/>
      <c r="L142" s="251"/>
      <c r="M142" s="289"/>
    </row>
    <row r="143" spans="1:13" ht="14.25" customHeight="1" x14ac:dyDescent="0.25">
      <c r="A143" s="289"/>
      <c r="D143" s="251"/>
      <c r="E143" s="251"/>
      <c r="F143" s="251"/>
      <c r="G143" s="251"/>
      <c r="H143" s="251"/>
      <c r="I143" s="251"/>
      <c r="J143" s="289"/>
      <c r="L143" s="251"/>
      <c r="M143" s="289"/>
    </row>
    <row r="144" spans="1:13" ht="14.25" customHeight="1" x14ac:dyDescent="0.25">
      <c r="A144" s="289"/>
      <c r="D144" s="251"/>
      <c r="E144" s="251"/>
      <c r="F144" s="251"/>
      <c r="G144" s="251"/>
      <c r="H144" s="251"/>
      <c r="I144" s="251"/>
      <c r="J144" s="289"/>
      <c r="L144" s="251"/>
      <c r="M144" s="289"/>
    </row>
    <row r="145" spans="1:13" ht="14.25" customHeight="1" x14ac:dyDescent="0.25">
      <c r="A145" s="289"/>
      <c r="D145" s="251"/>
      <c r="E145" s="251"/>
      <c r="F145" s="251"/>
      <c r="G145" s="251"/>
      <c r="H145" s="251"/>
      <c r="I145" s="251"/>
      <c r="J145" s="289"/>
      <c r="L145" s="251"/>
      <c r="M145" s="289"/>
    </row>
    <row r="146" spans="1:13" ht="14.25" customHeight="1" x14ac:dyDescent="0.25">
      <c r="A146" s="289"/>
      <c r="D146" s="251"/>
      <c r="E146" s="251"/>
      <c r="F146" s="251"/>
      <c r="G146" s="251"/>
      <c r="H146" s="251"/>
      <c r="I146" s="251"/>
      <c r="J146" s="289"/>
      <c r="L146" s="251"/>
      <c r="M146" s="289"/>
    </row>
    <row r="147" spans="1:13" ht="14.25" customHeight="1" x14ac:dyDescent="0.25">
      <c r="A147" s="289"/>
      <c r="D147" s="251"/>
      <c r="E147" s="251"/>
      <c r="F147" s="251"/>
      <c r="G147" s="251"/>
      <c r="H147" s="251"/>
      <c r="I147" s="251"/>
      <c r="J147" s="289"/>
      <c r="L147" s="251"/>
      <c r="M147" s="289"/>
    </row>
    <row r="148" spans="1:13" ht="14.25" customHeight="1" x14ac:dyDescent="0.25">
      <c r="A148" s="289"/>
      <c r="D148" s="251"/>
      <c r="E148" s="251"/>
      <c r="F148" s="251"/>
      <c r="G148" s="251"/>
      <c r="H148" s="251"/>
      <c r="I148" s="251"/>
      <c r="J148" s="289"/>
      <c r="L148" s="251"/>
      <c r="M148" s="289"/>
    </row>
    <row r="149" spans="1:13" ht="14.25" customHeight="1" x14ac:dyDescent="0.25">
      <c r="A149" s="289"/>
      <c r="D149" s="251"/>
      <c r="E149" s="251"/>
      <c r="F149" s="251"/>
      <c r="G149" s="251"/>
      <c r="H149" s="251"/>
      <c r="I149" s="251"/>
      <c r="J149" s="289"/>
      <c r="L149" s="251"/>
      <c r="M149" s="289"/>
    </row>
    <row r="150" spans="1:13" ht="14.25" customHeight="1" x14ac:dyDescent="0.25">
      <c r="A150" s="289"/>
      <c r="D150" s="251"/>
      <c r="E150" s="251"/>
      <c r="F150" s="251"/>
      <c r="G150" s="251"/>
      <c r="H150" s="251"/>
      <c r="I150" s="251"/>
      <c r="J150" s="289"/>
      <c r="L150" s="251"/>
      <c r="M150" s="289"/>
    </row>
    <row r="151" spans="1:13" ht="14.25" customHeight="1" x14ac:dyDescent="0.25">
      <c r="A151" s="289"/>
      <c r="D151" s="251"/>
      <c r="E151" s="251"/>
      <c r="F151" s="251"/>
      <c r="G151" s="251"/>
      <c r="H151" s="251"/>
      <c r="I151" s="251"/>
      <c r="J151" s="289"/>
      <c r="L151" s="251"/>
      <c r="M151" s="289"/>
    </row>
    <row r="152" spans="1:13" ht="14.25" customHeight="1" x14ac:dyDescent="0.25">
      <c r="A152" s="289"/>
      <c r="D152" s="251"/>
      <c r="E152" s="251"/>
      <c r="F152" s="251"/>
      <c r="G152" s="251"/>
      <c r="H152" s="251"/>
      <c r="I152" s="251"/>
      <c r="J152" s="289"/>
      <c r="L152" s="251"/>
      <c r="M152" s="289"/>
    </row>
    <row r="153" spans="1:13" ht="14.25" customHeight="1" x14ac:dyDescent="0.25">
      <c r="A153" s="289"/>
      <c r="D153" s="251"/>
      <c r="E153" s="251"/>
      <c r="F153" s="251"/>
      <c r="G153" s="251"/>
      <c r="H153" s="251"/>
      <c r="I153" s="251"/>
      <c r="J153" s="289"/>
      <c r="L153" s="251"/>
      <c r="M153" s="289"/>
    </row>
    <row r="154" spans="1:13" ht="14.25" customHeight="1" x14ac:dyDescent="0.25">
      <c r="A154" s="289"/>
      <c r="D154" s="251"/>
      <c r="E154" s="251"/>
      <c r="F154" s="251"/>
      <c r="G154" s="251"/>
      <c r="H154" s="251"/>
      <c r="I154" s="251"/>
      <c r="J154" s="289"/>
      <c r="L154" s="251"/>
      <c r="M154" s="289"/>
    </row>
    <row r="155" spans="1:13" ht="14.25" customHeight="1" x14ac:dyDescent="0.25">
      <c r="A155" s="289"/>
      <c r="D155" s="251"/>
      <c r="E155" s="251"/>
      <c r="F155" s="251"/>
      <c r="G155" s="251"/>
      <c r="H155" s="251"/>
      <c r="I155" s="251"/>
      <c r="J155" s="289"/>
      <c r="L155" s="251"/>
      <c r="M155" s="289"/>
    </row>
    <row r="156" spans="1:13" ht="14.25" customHeight="1" x14ac:dyDescent="0.25">
      <c r="A156" s="289"/>
      <c r="D156" s="251"/>
      <c r="E156" s="251"/>
      <c r="F156" s="251"/>
      <c r="G156" s="251"/>
      <c r="H156" s="251"/>
      <c r="I156" s="251"/>
      <c r="J156" s="289"/>
      <c r="L156" s="251"/>
      <c r="M156" s="289"/>
    </row>
    <row r="157" spans="1:13" ht="14.25" customHeight="1" x14ac:dyDescent="0.25">
      <c r="A157" s="289"/>
      <c r="D157" s="251"/>
      <c r="E157" s="251"/>
      <c r="F157" s="251"/>
      <c r="G157" s="251"/>
      <c r="H157" s="251"/>
      <c r="I157" s="251"/>
      <c r="J157" s="289"/>
      <c r="L157" s="251"/>
      <c r="M157" s="289"/>
    </row>
    <row r="158" spans="1:13" ht="14.25" customHeight="1" x14ac:dyDescent="0.25">
      <c r="A158" s="289"/>
      <c r="D158" s="251"/>
      <c r="E158" s="251"/>
      <c r="F158" s="251"/>
      <c r="G158" s="251"/>
      <c r="H158" s="251"/>
      <c r="I158" s="251"/>
      <c r="J158" s="289"/>
      <c r="L158" s="251"/>
      <c r="M158" s="289"/>
    </row>
    <row r="159" spans="1:13" ht="14.25" customHeight="1" x14ac:dyDescent="0.25">
      <c r="A159" s="289"/>
      <c r="D159" s="251"/>
      <c r="E159" s="251"/>
      <c r="F159" s="251"/>
      <c r="G159" s="251"/>
      <c r="H159" s="251"/>
      <c r="I159" s="251"/>
      <c r="J159" s="289"/>
      <c r="L159" s="251"/>
      <c r="M159" s="289"/>
    </row>
    <row r="160" spans="1:13" ht="14.25" customHeight="1" x14ac:dyDescent="0.25">
      <c r="A160" s="289"/>
      <c r="D160" s="251"/>
      <c r="E160" s="251"/>
      <c r="F160" s="251"/>
      <c r="G160" s="251"/>
      <c r="H160" s="251"/>
      <c r="I160" s="251"/>
      <c r="J160" s="289"/>
      <c r="L160" s="251"/>
      <c r="M160" s="289"/>
    </row>
    <row r="161" spans="1:13" ht="14.25" customHeight="1" x14ac:dyDescent="0.25">
      <c r="A161" s="289"/>
      <c r="D161" s="251"/>
      <c r="E161" s="251"/>
      <c r="F161" s="251"/>
      <c r="G161" s="251"/>
      <c r="H161" s="251"/>
      <c r="I161" s="251"/>
      <c r="J161" s="289"/>
      <c r="L161" s="251"/>
      <c r="M161" s="289"/>
    </row>
    <row r="162" spans="1:13" ht="14.25" customHeight="1" x14ac:dyDescent="0.25">
      <c r="A162" s="289"/>
      <c r="D162" s="251"/>
      <c r="E162" s="251"/>
      <c r="F162" s="251"/>
      <c r="G162" s="251"/>
      <c r="H162" s="251"/>
      <c r="I162" s="251"/>
      <c r="J162" s="289"/>
      <c r="L162" s="251"/>
      <c r="M162" s="289"/>
    </row>
    <row r="163" spans="1:13" ht="14.25" customHeight="1" x14ac:dyDescent="0.25">
      <c r="A163" s="289"/>
      <c r="D163" s="251"/>
      <c r="E163" s="251"/>
      <c r="F163" s="251"/>
      <c r="G163" s="251"/>
      <c r="H163" s="251"/>
      <c r="I163" s="251"/>
      <c r="J163" s="289"/>
      <c r="L163" s="251"/>
      <c r="M163" s="289"/>
    </row>
    <row r="164" spans="1:13" ht="14.25" customHeight="1" x14ac:dyDescent="0.25">
      <c r="A164" s="289"/>
      <c r="D164" s="251"/>
      <c r="E164" s="251"/>
      <c r="F164" s="251"/>
      <c r="G164" s="251"/>
      <c r="H164" s="251"/>
      <c r="I164" s="251"/>
      <c r="J164" s="289"/>
      <c r="L164" s="251"/>
      <c r="M164" s="289"/>
    </row>
    <row r="165" spans="1:13" ht="14.25" customHeight="1" x14ac:dyDescent="0.25">
      <c r="A165" s="289"/>
      <c r="D165" s="251"/>
      <c r="E165" s="251"/>
      <c r="F165" s="251"/>
      <c r="G165" s="251"/>
      <c r="H165" s="251"/>
      <c r="I165" s="251"/>
      <c r="J165" s="289"/>
      <c r="L165" s="251"/>
      <c r="M165" s="289"/>
    </row>
    <row r="166" spans="1:13" ht="14.25" customHeight="1" x14ac:dyDescent="0.25">
      <c r="A166" s="289"/>
      <c r="D166" s="251"/>
      <c r="E166" s="251"/>
      <c r="F166" s="251"/>
      <c r="G166" s="251"/>
      <c r="H166" s="251"/>
      <c r="I166" s="251"/>
      <c r="J166" s="289"/>
      <c r="L166" s="251"/>
      <c r="M166" s="289"/>
    </row>
    <row r="167" spans="1:13" ht="14.25" customHeight="1" x14ac:dyDescent="0.25">
      <c r="A167" s="289"/>
      <c r="D167" s="251"/>
      <c r="E167" s="251"/>
      <c r="F167" s="251"/>
      <c r="G167" s="251"/>
      <c r="H167" s="251"/>
      <c r="I167" s="251"/>
      <c r="J167" s="289"/>
      <c r="L167" s="251"/>
      <c r="M167" s="289"/>
    </row>
    <row r="168" spans="1:13" ht="14.25" customHeight="1" x14ac:dyDescent="0.25">
      <c r="A168" s="289"/>
      <c r="D168" s="251"/>
      <c r="E168" s="251"/>
      <c r="F168" s="251"/>
      <c r="G168" s="251"/>
      <c r="H168" s="251"/>
      <c r="I168" s="251"/>
      <c r="J168" s="289"/>
      <c r="L168" s="251"/>
      <c r="M168" s="289"/>
    </row>
    <row r="169" spans="1:13" ht="14.25" customHeight="1" x14ac:dyDescent="0.25">
      <c r="A169" s="289"/>
      <c r="D169" s="251"/>
      <c r="E169" s="251"/>
      <c r="F169" s="251"/>
      <c r="G169" s="251"/>
      <c r="H169" s="251"/>
      <c r="I169" s="251"/>
      <c r="J169" s="289"/>
      <c r="L169" s="251"/>
      <c r="M169" s="289"/>
    </row>
    <row r="170" spans="1:13" ht="14.25" customHeight="1" x14ac:dyDescent="0.25">
      <c r="A170" s="289"/>
      <c r="D170" s="251"/>
      <c r="E170" s="251"/>
      <c r="F170" s="251"/>
      <c r="G170" s="251"/>
      <c r="H170" s="251"/>
      <c r="I170" s="251"/>
      <c r="J170" s="289"/>
      <c r="L170" s="251"/>
      <c r="M170" s="289"/>
    </row>
    <row r="171" spans="1:13" ht="14.25" customHeight="1" x14ac:dyDescent="0.25">
      <c r="A171" s="289"/>
      <c r="D171" s="251"/>
      <c r="E171" s="251"/>
      <c r="F171" s="251"/>
      <c r="G171" s="251"/>
      <c r="H171" s="251"/>
      <c r="I171" s="251"/>
      <c r="J171" s="289"/>
      <c r="L171" s="251"/>
      <c r="M171" s="289"/>
    </row>
    <row r="172" spans="1:13" ht="14.25" customHeight="1" x14ac:dyDescent="0.25">
      <c r="A172" s="289"/>
      <c r="D172" s="251"/>
      <c r="E172" s="251"/>
      <c r="F172" s="251"/>
      <c r="G172" s="251"/>
      <c r="H172" s="251"/>
      <c r="I172" s="251"/>
      <c r="J172" s="289"/>
      <c r="L172" s="251"/>
      <c r="M172" s="289"/>
    </row>
    <row r="173" spans="1:13" ht="14.25" customHeight="1" x14ac:dyDescent="0.25">
      <c r="A173" s="289"/>
      <c r="D173" s="251"/>
      <c r="E173" s="251"/>
      <c r="F173" s="251"/>
      <c r="G173" s="251"/>
      <c r="H173" s="251"/>
      <c r="I173" s="251"/>
      <c r="J173" s="289"/>
      <c r="L173" s="251"/>
      <c r="M173" s="289"/>
    </row>
    <row r="174" spans="1:13" ht="14.25" customHeight="1" x14ac:dyDescent="0.25">
      <c r="A174" s="289"/>
      <c r="D174" s="251"/>
      <c r="E174" s="251"/>
      <c r="F174" s="251"/>
      <c r="G174" s="251"/>
      <c r="H174" s="251"/>
      <c r="I174" s="251"/>
      <c r="J174" s="289"/>
      <c r="L174" s="251"/>
      <c r="M174" s="289"/>
    </row>
    <row r="175" spans="1:13" ht="14.25" customHeight="1" x14ac:dyDescent="0.25">
      <c r="A175" s="289"/>
      <c r="D175" s="251"/>
      <c r="E175" s="251"/>
      <c r="F175" s="251"/>
      <c r="G175" s="251"/>
      <c r="H175" s="251"/>
      <c r="I175" s="251"/>
      <c r="J175" s="289"/>
      <c r="L175" s="251"/>
      <c r="M175" s="289"/>
    </row>
    <row r="176" spans="1:13" ht="14.25" customHeight="1" x14ac:dyDescent="0.25">
      <c r="A176" s="289"/>
      <c r="D176" s="251"/>
      <c r="E176" s="251"/>
      <c r="F176" s="251"/>
      <c r="G176" s="251"/>
      <c r="H176" s="251"/>
      <c r="I176" s="251"/>
      <c r="J176" s="289"/>
      <c r="L176" s="251"/>
      <c r="M176" s="289"/>
    </row>
    <row r="177" spans="1:13" ht="14.25" customHeight="1" x14ac:dyDescent="0.25">
      <c r="A177" s="289"/>
      <c r="D177" s="251"/>
      <c r="E177" s="251"/>
      <c r="F177" s="251"/>
      <c r="G177" s="251"/>
      <c r="H177" s="251"/>
      <c r="I177" s="251"/>
      <c r="J177" s="289"/>
      <c r="L177" s="251"/>
      <c r="M177" s="289"/>
    </row>
    <row r="178" spans="1:13" ht="14.25" customHeight="1" x14ac:dyDescent="0.25">
      <c r="A178" s="289"/>
      <c r="D178" s="251"/>
      <c r="E178" s="251"/>
      <c r="F178" s="251"/>
      <c r="G178" s="251"/>
      <c r="H178" s="251"/>
      <c r="I178" s="251"/>
      <c r="J178" s="289"/>
      <c r="L178" s="251"/>
      <c r="M178" s="289"/>
    </row>
    <row r="179" spans="1:13" ht="14.25" customHeight="1" x14ac:dyDescent="0.25">
      <c r="A179" s="289"/>
      <c r="D179" s="251"/>
      <c r="E179" s="251"/>
      <c r="F179" s="251"/>
      <c r="G179" s="251"/>
      <c r="H179" s="251"/>
      <c r="I179" s="251"/>
      <c r="J179" s="289"/>
      <c r="L179" s="251"/>
      <c r="M179" s="289"/>
    </row>
    <row r="180" spans="1:13" ht="14.25" customHeight="1" x14ac:dyDescent="0.25">
      <c r="A180" s="289"/>
      <c r="D180" s="251"/>
      <c r="E180" s="251"/>
      <c r="F180" s="251"/>
      <c r="G180" s="251"/>
      <c r="H180" s="251"/>
      <c r="I180" s="251"/>
      <c r="J180" s="289"/>
      <c r="L180" s="251"/>
      <c r="M180" s="289"/>
    </row>
    <row r="181" spans="1:13" ht="14.25" customHeight="1" x14ac:dyDescent="0.25">
      <c r="A181" s="289"/>
      <c r="D181" s="251"/>
      <c r="E181" s="251"/>
      <c r="F181" s="251"/>
      <c r="G181" s="251"/>
      <c r="H181" s="251"/>
      <c r="I181" s="251"/>
      <c r="J181" s="289"/>
      <c r="L181" s="251"/>
      <c r="M181" s="289"/>
    </row>
    <row r="182" spans="1:13" ht="14.25" customHeight="1" x14ac:dyDescent="0.25">
      <c r="A182" s="289"/>
      <c r="D182" s="251"/>
      <c r="E182" s="251"/>
      <c r="F182" s="251"/>
      <c r="G182" s="251"/>
      <c r="H182" s="251"/>
      <c r="I182" s="251"/>
      <c r="J182" s="289"/>
      <c r="L182" s="251"/>
      <c r="M182" s="289"/>
    </row>
    <row r="183" spans="1:13" ht="14.25" customHeight="1" x14ac:dyDescent="0.25">
      <c r="A183" s="289"/>
      <c r="D183" s="251"/>
      <c r="E183" s="251"/>
      <c r="F183" s="251"/>
      <c r="G183" s="251"/>
      <c r="H183" s="251"/>
      <c r="I183" s="251"/>
      <c r="J183" s="289"/>
      <c r="L183" s="251"/>
      <c r="M183" s="289"/>
    </row>
    <row r="184" spans="1:13" ht="14.25" customHeight="1" x14ac:dyDescent="0.25">
      <c r="A184" s="289"/>
      <c r="D184" s="251"/>
      <c r="E184" s="251"/>
      <c r="F184" s="251"/>
      <c r="G184" s="251"/>
      <c r="H184" s="251"/>
      <c r="I184" s="251"/>
      <c r="J184" s="289"/>
      <c r="L184" s="251"/>
      <c r="M184" s="289"/>
    </row>
    <row r="185" spans="1:13" ht="14.25" customHeight="1" x14ac:dyDescent="0.25">
      <c r="A185" s="289"/>
      <c r="D185" s="251"/>
      <c r="E185" s="251"/>
      <c r="F185" s="251"/>
      <c r="G185" s="251"/>
      <c r="H185" s="251"/>
      <c r="I185" s="251"/>
      <c r="J185" s="289"/>
      <c r="L185" s="251"/>
      <c r="M185" s="289"/>
    </row>
    <row r="186" spans="1:13" ht="14.25" customHeight="1" x14ac:dyDescent="0.25">
      <c r="A186" s="289"/>
      <c r="D186" s="251"/>
      <c r="E186" s="251"/>
      <c r="F186" s="251"/>
      <c r="G186" s="251"/>
      <c r="H186" s="251"/>
      <c r="I186" s="251"/>
      <c r="J186" s="289"/>
      <c r="L186" s="251"/>
      <c r="M186" s="289"/>
    </row>
    <row r="187" spans="1:13" ht="14.25" customHeight="1" x14ac:dyDescent="0.25">
      <c r="A187" s="289"/>
      <c r="D187" s="251"/>
      <c r="E187" s="251"/>
      <c r="F187" s="251"/>
      <c r="G187" s="251"/>
      <c r="H187" s="251"/>
      <c r="I187" s="251"/>
      <c r="J187" s="289"/>
      <c r="L187" s="251"/>
      <c r="M187" s="289"/>
    </row>
    <row r="188" spans="1:13" ht="14.25" customHeight="1" x14ac:dyDescent="0.25">
      <c r="A188" s="289"/>
      <c r="D188" s="251"/>
      <c r="E188" s="251"/>
      <c r="F188" s="251"/>
      <c r="G188" s="251"/>
      <c r="H188" s="251"/>
      <c r="I188" s="251"/>
      <c r="J188" s="289"/>
      <c r="L188" s="251"/>
      <c r="M188" s="289"/>
    </row>
    <row r="189" spans="1:13" ht="14.25" customHeight="1" x14ac:dyDescent="0.25">
      <c r="A189" s="289"/>
      <c r="D189" s="251"/>
      <c r="E189" s="251"/>
      <c r="F189" s="251"/>
      <c r="G189" s="251"/>
      <c r="H189" s="251"/>
      <c r="I189" s="251"/>
      <c r="J189" s="289"/>
      <c r="L189" s="251"/>
      <c r="M189" s="289"/>
    </row>
    <row r="190" spans="1:13" ht="14.25" customHeight="1" x14ac:dyDescent="0.25">
      <c r="A190" s="289"/>
      <c r="D190" s="251"/>
      <c r="E190" s="251"/>
      <c r="F190" s="251"/>
      <c r="G190" s="251"/>
      <c r="H190" s="251"/>
      <c r="I190" s="251"/>
      <c r="J190" s="289"/>
      <c r="L190" s="251"/>
      <c r="M190" s="289"/>
    </row>
    <row r="191" spans="1:13" ht="14.25" customHeight="1" x14ac:dyDescent="0.25">
      <c r="A191" s="289"/>
      <c r="D191" s="251"/>
      <c r="E191" s="251"/>
      <c r="F191" s="251"/>
      <c r="G191" s="251"/>
      <c r="H191" s="251"/>
      <c r="I191" s="251"/>
      <c r="J191" s="289"/>
      <c r="L191" s="251"/>
      <c r="M191" s="289"/>
    </row>
    <row r="192" spans="1:13" ht="14.25" customHeight="1" x14ac:dyDescent="0.25">
      <c r="A192" s="289"/>
      <c r="D192" s="251"/>
      <c r="E192" s="251"/>
      <c r="F192" s="251"/>
      <c r="G192" s="251"/>
      <c r="H192" s="251"/>
      <c r="I192" s="251"/>
      <c r="J192" s="289"/>
      <c r="L192" s="251"/>
      <c r="M192" s="289"/>
    </row>
    <row r="193" spans="1:13" ht="14.25" customHeight="1" x14ac:dyDescent="0.25">
      <c r="A193" s="289"/>
      <c r="D193" s="251"/>
      <c r="E193" s="251"/>
      <c r="F193" s="251"/>
      <c r="G193" s="251"/>
      <c r="H193" s="251"/>
      <c r="I193" s="251"/>
      <c r="J193" s="289"/>
      <c r="L193" s="251"/>
      <c r="M193" s="289"/>
    </row>
    <row r="194" spans="1:13" ht="14.25" customHeight="1" x14ac:dyDescent="0.25">
      <c r="A194" s="289"/>
      <c r="D194" s="251"/>
      <c r="E194" s="251"/>
      <c r="F194" s="251"/>
      <c r="G194" s="251"/>
      <c r="H194" s="251"/>
      <c r="I194" s="251"/>
      <c r="J194" s="289"/>
      <c r="L194" s="251"/>
      <c r="M194" s="289"/>
    </row>
    <row r="195" spans="1:13" ht="14.25" customHeight="1" x14ac:dyDescent="0.25">
      <c r="A195" s="289"/>
      <c r="D195" s="251"/>
      <c r="E195" s="251"/>
      <c r="F195" s="251"/>
      <c r="G195" s="251"/>
      <c r="H195" s="251"/>
      <c r="I195" s="251"/>
      <c r="J195" s="289"/>
      <c r="L195" s="251"/>
      <c r="M195" s="289"/>
    </row>
    <row r="196" spans="1:13" ht="14.25" customHeight="1" x14ac:dyDescent="0.25">
      <c r="A196" s="289"/>
      <c r="D196" s="251"/>
      <c r="E196" s="251"/>
      <c r="F196" s="251"/>
      <c r="G196" s="251"/>
      <c r="H196" s="251"/>
      <c r="I196" s="251"/>
      <c r="J196" s="289"/>
      <c r="L196" s="251"/>
      <c r="M196" s="289"/>
    </row>
    <row r="197" spans="1:13" ht="14.25" customHeight="1" x14ac:dyDescent="0.25">
      <c r="A197" s="289"/>
      <c r="D197" s="251"/>
      <c r="E197" s="251"/>
      <c r="F197" s="251"/>
      <c r="G197" s="251"/>
      <c r="H197" s="251"/>
      <c r="I197" s="251"/>
      <c r="J197" s="289"/>
      <c r="L197" s="251"/>
      <c r="M197" s="289"/>
    </row>
    <row r="198" spans="1:13" ht="14.25" customHeight="1" x14ac:dyDescent="0.25">
      <c r="A198" s="289"/>
      <c r="D198" s="251"/>
      <c r="E198" s="251"/>
      <c r="F198" s="251"/>
      <c r="G198" s="251"/>
      <c r="H198" s="251"/>
      <c r="I198" s="251"/>
      <c r="J198" s="289"/>
      <c r="L198" s="251"/>
      <c r="M198" s="289"/>
    </row>
    <row r="199" spans="1:13" ht="14.25" customHeight="1" x14ac:dyDescent="0.25">
      <c r="A199" s="289"/>
      <c r="D199" s="251"/>
      <c r="E199" s="251"/>
      <c r="F199" s="251"/>
      <c r="G199" s="251"/>
      <c r="H199" s="251"/>
      <c r="I199" s="251"/>
      <c r="J199" s="289"/>
      <c r="L199" s="251"/>
      <c r="M199" s="289"/>
    </row>
    <row r="200" spans="1:13" ht="14.25" customHeight="1" x14ac:dyDescent="0.25">
      <c r="A200" s="289"/>
      <c r="D200" s="251"/>
      <c r="E200" s="251"/>
      <c r="F200" s="251"/>
      <c r="G200" s="251"/>
      <c r="H200" s="251"/>
      <c r="I200" s="251"/>
      <c r="J200" s="289"/>
      <c r="L200" s="251"/>
      <c r="M200" s="289"/>
    </row>
    <row r="201" spans="1:13" ht="14.25" customHeight="1" x14ac:dyDescent="0.25">
      <c r="A201" s="289"/>
      <c r="D201" s="251"/>
      <c r="E201" s="251"/>
      <c r="F201" s="251"/>
      <c r="G201" s="251"/>
      <c r="H201" s="251"/>
      <c r="I201" s="251"/>
      <c r="J201" s="289"/>
      <c r="L201" s="251"/>
      <c r="M201" s="289"/>
    </row>
    <row r="202" spans="1:13" ht="14.25" customHeight="1" x14ac:dyDescent="0.25">
      <c r="A202" s="289"/>
      <c r="D202" s="251"/>
      <c r="E202" s="251"/>
      <c r="F202" s="251"/>
      <c r="G202" s="251"/>
      <c r="H202" s="251"/>
      <c r="I202" s="251"/>
      <c r="J202" s="289"/>
      <c r="L202" s="251"/>
      <c r="M202" s="289"/>
    </row>
    <row r="203" spans="1:13" ht="14.25" customHeight="1" x14ac:dyDescent="0.25">
      <c r="A203" s="289"/>
      <c r="D203" s="251"/>
      <c r="E203" s="251"/>
      <c r="F203" s="251"/>
      <c r="G203" s="251"/>
      <c r="H203" s="251"/>
      <c r="I203" s="251"/>
      <c r="J203" s="289"/>
      <c r="L203" s="251"/>
      <c r="M203" s="289"/>
    </row>
    <row r="204" spans="1:13" ht="14.25" customHeight="1" x14ac:dyDescent="0.25">
      <c r="A204" s="289"/>
      <c r="D204" s="251"/>
      <c r="E204" s="251"/>
      <c r="F204" s="251"/>
      <c r="G204" s="251"/>
      <c r="H204" s="251"/>
      <c r="I204" s="251"/>
      <c r="J204" s="289"/>
      <c r="L204" s="251"/>
      <c r="M204" s="289"/>
    </row>
    <row r="205" spans="1:13" ht="14.25" customHeight="1" x14ac:dyDescent="0.25">
      <c r="A205" s="289"/>
      <c r="D205" s="251"/>
      <c r="E205" s="251"/>
      <c r="F205" s="251"/>
      <c r="G205" s="251"/>
      <c r="H205" s="251"/>
      <c r="I205" s="251"/>
      <c r="J205" s="289"/>
      <c r="L205" s="251"/>
      <c r="M205" s="289"/>
    </row>
    <row r="206" spans="1:13" ht="14.25" customHeight="1" x14ac:dyDescent="0.25">
      <c r="A206" s="289"/>
      <c r="D206" s="251"/>
      <c r="E206" s="251"/>
      <c r="F206" s="251"/>
      <c r="G206" s="251"/>
      <c r="H206" s="251"/>
      <c r="I206" s="251"/>
      <c r="J206" s="289"/>
      <c r="L206" s="251"/>
      <c r="M206" s="289"/>
    </row>
    <row r="207" spans="1:13" ht="14.25" customHeight="1" x14ac:dyDescent="0.25">
      <c r="A207" s="289"/>
      <c r="D207" s="251"/>
      <c r="E207" s="251"/>
      <c r="F207" s="251"/>
      <c r="G207" s="251"/>
      <c r="H207" s="251"/>
      <c r="I207" s="251"/>
      <c r="J207" s="289"/>
      <c r="L207" s="251"/>
      <c r="M207" s="289"/>
    </row>
    <row r="208" spans="1:13" ht="14.25" customHeight="1" x14ac:dyDescent="0.25">
      <c r="A208" s="289"/>
      <c r="D208" s="251"/>
      <c r="E208" s="251"/>
      <c r="F208" s="251"/>
      <c r="G208" s="251"/>
      <c r="H208" s="251"/>
      <c r="I208" s="251"/>
      <c r="J208" s="289"/>
      <c r="L208" s="251"/>
      <c r="M208" s="289"/>
    </row>
    <row r="209" spans="1:13" ht="14.25" customHeight="1" x14ac:dyDescent="0.25">
      <c r="A209" s="289"/>
      <c r="D209" s="251"/>
      <c r="E209" s="251"/>
      <c r="F209" s="251"/>
      <c r="G209" s="251"/>
      <c r="H209" s="251"/>
      <c r="I209" s="251"/>
      <c r="J209" s="289"/>
      <c r="L209" s="251"/>
      <c r="M209" s="289"/>
    </row>
    <row r="210" spans="1:13" ht="14.25" customHeight="1" x14ac:dyDescent="0.25">
      <c r="A210" s="289"/>
      <c r="D210" s="251"/>
      <c r="E210" s="251"/>
      <c r="F210" s="251"/>
      <c r="G210" s="251"/>
      <c r="H210" s="251"/>
      <c r="I210" s="251"/>
      <c r="J210" s="289"/>
      <c r="L210" s="251"/>
      <c r="M210" s="289"/>
    </row>
    <row r="211" spans="1:13" ht="14.25" customHeight="1" x14ac:dyDescent="0.25">
      <c r="A211" s="289"/>
      <c r="D211" s="251"/>
      <c r="E211" s="251"/>
      <c r="F211" s="251"/>
      <c r="G211" s="251"/>
      <c r="H211" s="251"/>
      <c r="I211" s="251"/>
      <c r="J211" s="289"/>
      <c r="L211" s="251"/>
      <c r="M211" s="289"/>
    </row>
    <row r="212" spans="1:13" ht="14.25" customHeight="1" x14ac:dyDescent="0.25">
      <c r="A212" s="289"/>
      <c r="D212" s="251"/>
      <c r="E212" s="251"/>
      <c r="F212" s="251"/>
      <c r="G212" s="251"/>
      <c r="H212" s="251"/>
      <c r="I212" s="251"/>
      <c r="J212" s="289"/>
      <c r="L212" s="251"/>
      <c r="M212" s="289"/>
    </row>
    <row r="213" spans="1:13" ht="14.25" customHeight="1" x14ac:dyDescent="0.25">
      <c r="A213" s="289"/>
      <c r="D213" s="251"/>
      <c r="E213" s="251"/>
      <c r="F213" s="251"/>
      <c r="G213" s="251"/>
      <c r="H213" s="251"/>
      <c r="I213" s="251"/>
      <c r="J213" s="289"/>
      <c r="L213" s="251"/>
      <c r="M213" s="289"/>
    </row>
    <row r="214" spans="1:13" ht="14.25" customHeight="1" x14ac:dyDescent="0.25">
      <c r="A214" s="289"/>
      <c r="D214" s="251"/>
      <c r="E214" s="251"/>
      <c r="F214" s="251"/>
      <c r="G214" s="251"/>
      <c r="H214" s="251"/>
      <c r="I214" s="251"/>
      <c r="J214" s="289"/>
      <c r="L214" s="251"/>
      <c r="M214" s="289"/>
    </row>
    <row r="215" spans="1:13" ht="14.25" customHeight="1" x14ac:dyDescent="0.25">
      <c r="A215" s="289"/>
      <c r="D215" s="251"/>
      <c r="E215" s="251"/>
      <c r="F215" s="251"/>
      <c r="G215" s="251"/>
      <c r="H215" s="251"/>
      <c r="I215" s="251"/>
      <c r="J215" s="289"/>
      <c r="L215" s="251"/>
      <c r="M215" s="289"/>
    </row>
    <row r="216" spans="1:13" ht="14.25" customHeight="1" x14ac:dyDescent="0.25">
      <c r="A216" s="289"/>
      <c r="D216" s="251"/>
      <c r="E216" s="251"/>
      <c r="F216" s="251"/>
      <c r="G216" s="251"/>
      <c r="H216" s="251"/>
      <c r="I216" s="251"/>
      <c r="J216" s="289"/>
      <c r="L216" s="251"/>
      <c r="M216" s="289"/>
    </row>
    <row r="217" spans="1:13" ht="14.25" customHeight="1" x14ac:dyDescent="0.25">
      <c r="A217" s="289"/>
      <c r="D217" s="251"/>
      <c r="E217" s="251"/>
      <c r="F217" s="251"/>
      <c r="G217" s="251"/>
      <c r="H217" s="251"/>
      <c r="I217" s="251"/>
      <c r="J217" s="289"/>
      <c r="L217" s="251"/>
      <c r="M217" s="289"/>
    </row>
    <row r="218" spans="1:13" ht="14.25" customHeight="1" x14ac:dyDescent="0.25">
      <c r="A218" s="289"/>
      <c r="D218" s="251"/>
      <c r="E218" s="251"/>
      <c r="F218" s="251"/>
      <c r="G218" s="251"/>
      <c r="H218" s="251"/>
      <c r="I218" s="251"/>
      <c r="J218" s="289"/>
      <c r="L218" s="251"/>
      <c r="M218" s="289"/>
    </row>
    <row r="219" spans="1:13" ht="14.25" customHeight="1" x14ac:dyDescent="0.25">
      <c r="A219" s="289"/>
      <c r="D219" s="251"/>
      <c r="E219" s="251"/>
      <c r="F219" s="251"/>
      <c r="G219" s="251"/>
      <c r="H219" s="251"/>
      <c r="I219" s="251"/>
      <c r="J219" s="289"/>
      <c r="L219" s="251"/>
      <c r="M219" s="289"/>
    </row>
    <row r="220" spans="1:13" ht="14.25" customHeight="1" x14ac:dyDescent="0.25">
      <c r="A220" s="289"/>
      <c r="D220" s="251"/>
      <c r="E220" s="251"/>
      <c r="F220" s="251"/>
      <c r="G220" s="251"/>
      <c r="H220" s="251"/>
      <c r="I220" s="251"/>
      <c r="J220" s="289"/>
      <c r="L220" s="251"/>
      <c r="M220" s="289"/>
    </row>
    <row r="221" spans="1:13" ht="14.25" customHeight="1" x14ac:dyDescent="0.25">
      <c r="A221" s="289"/>
      <c r="D221" s="251"/>
      <c r="E221" s="251"/>
      <c r="F221" s="251"/>
      <c r="G221" s="251"/>
      <c r="H221" s="251"/>
      <c r="I221" s="251"/>
      <c r="J221" s="289"/>
      <c r="L221" s="251"/>
      <c r="M221" s="289"/>
    </row>
    <row r="222" spans="1:13" ht="14.25" customHeight="1" x14ac:dyDescent="0.25">
      <c r="A222" s="289"/>
      <c r="D222" s="251"/>
      <c r="E222" s="251"/>
      <c r="F222" s="251"/>
      <c r="G222" s="251"/>
      <c r="H222" s="251"/>
      <c r="I222" s="251"/>
      <c r="J222" s="289"/>
      <c r="L222" s="251"/>
      <c r="M222" s="289"/>
    </row>
    <row r="223" spans="1:13" ht="14.25" customHeight="1" x14ac:dyDescent="0.25">
      <c r="A223" s="289"/>
      <c r="D223" s="251"/>
      <c r="E223" s="251"/>
      <c r="F223" s="251"/>
      <c r="G223" s="251"/>
      <c r="H223" s="251"/>
      <c r="I223" s="251"/>
      <c r="J223" s="289"/>
      <c r="L223" s="251"/>
      <c r="M223" s="289"/>
    </row>
    <row r="224" spans="1:13" ht="14.25" customHeight="1" x14ac:dyDescent="0.25">
      <c r="A224" s="289"/>
      <c r="D224" s="251"/>
      <c r="E224" s="251"/>
      <c r="F224" s="251"/>
      <c r="G224" s="251"/>
      <c r="H224" s="251"/>
      <c r="I224" s="251"/>
      <c r="J224" s="289"/>
      <c r="L224" s="251"/>
      <c r="M224" s="289"/>
    </row>
    <row r="225" spans="1:13" ht="14.25" customHeight="1" x14ac:dyDescent="0.25">
      <c r="A225" s="289"/>
      <c r="D225" s="251"/>
      <c r="E225" s="251"/>
      <c r="F225" s="251"/>
      <c r="G225" s="251"/>
      <c r="H225" s="251"/>
      <c r="I225" s="251"/>
      <c r="J225" s="289"/>
      <c r="L225" s="251"/>
      <c r="M225" s="289"/>
    </row>
    <row r="226" spans="1:13" ht="14.25" customHeight="1" x14ac:dyDescent="0.25">
      <c r="A226" s="289"/>
      <c r="D226" s="251"/>
      <c r="E226" s="251"/>
      <c r="F226" s="251"/>
      <c r="G226" s="251"/>
      <c r="H226" s="251"/>
      <c r="I226" s="251"/>
      <c r="J226" s="289"/>
      <c r="L226" s="251"/>
      <c r="M226" s="289"/>
    </row>
    <row r="227" spans="1:13" ht="14.25" customHeight="1" x14ac:dyDescent="0.25">
      <c r="A227" s="289"/>
      <c r="D227" s="251"/>
      <c r="E227" s="251"/>
      <c r="F227" s="251"/>
      <c r="G227" s="251"/>
      <c r="H227" s="251"/>
      <c r="I227" s="251"/>
      <c r="J227" s="289"/>
      <c r="L227" s="251"/>
      <c r="M227" s="289"/>
    </row>
    <row r="228" spans="1:13" ht="14.25" customHeight="1" x14ac:dyDescent="0.25">
      <c r="A228" s="289"/>
      <c r="D228" s="251"/>
      <c r="E228" s="251"/>
      <c r="F228" s="251"/>
      <c r="G228" s="251"/>
      <c r="H228" s="251"/>
      <c r="I228" s="251"/>
      <c r="J228" s="289"/>
      <c r="L228" s="251"/>
      <c r="M228" s="289"/>
    </row>
    <row r="229" spans="1:13" ht="14.25" customHeight="1" x14ac:dyDescent="0.25">
      <c r="A229" s="289"/>
      <c r="D229" s="251"/>
      <c r="E229" s="251"/>
      <c r="F229" s="251"/>
      <c r="G229" s="251"/>
      <c r="H229" s="251"/>
      <c r="I229" s="251"/>
      <c r="J229" s="289"/>
      <c r="L229" s="251"/>
      <c r="M229" s="289"/>
    </row>
    <row r="230" spans="1:13" ht="14.25" customHeight="1" x14ac:dyDescent="0.25">
      <c r="A230" s="289"/>
      <c r="D230" s="251"/>
      <c r="E230" s="251"/>
      <c r="F230" s="251"/>
      <c r="G230" s="251"/>
      <c r="H230" s="251"/>
      <c r="I230" s="251"/>
      <c r="J230" s="289"/>
      <c r="L230" s="251"/>
      <c r="M230" s="289"/>
    </row>
    <row r="231" spans="1:13" ht="14.25" customHeight="1" x14ac:dyDescent="0.25">
      <c r="A231" s="289"/>
      <c r="D231" s="251"/>
      <c r="E231" s="251"/>
      <c r="F231" s="251"/>
      <c r="G231" s="251"/>
      <c r="H231" s="251"/>
      <c r="I231" s="251"/>
      <c r="J231" s="289"/>
      <c r="L231" s="251"/>
      <c r="M231" s="289"/>
    </row>
    <row r="232" spans="1:13" ht="14.25" customHeight="1" x14ac:dyDescent="0.25">
      <c r="A232" s="289"/>
      <c r="D232" s="251"/>
      <c r="E232" s="251"/>
      <c r="F232" s="251"/>
      <c r="G232" s="251"/>
      <c r="H232" s="251"/>
      <c r="I232" s="251"/>
      <c r="J232" s="289"/>
      <c r="L232" s="251"/>
      <c r="M232" s="289"/>
    </row>
    <row r="233" spans="1:13" ht="14.25" customHeight="1" x14ac:dyDescent="0.25">
      <c r="A233" s="289"/>
      <c r="D233" s="251"/>
      <c r="E233" s="251"/>
      <c r="F233" s="251"/>
      <c r="G233" s="251"/>
      <c r="H233" s="251"/>
      <c r="I233" s="251"/>
      <c r="J233" s="289"/>
      <c r="L233" s="251"/>
      <c r="M233" s="289"/>
    </row>
    <row r="234" spans="1:13" ht="14.25" customHeight="1" x14ac:dyDescent="0.25">
      <c r="A234" s="289"/>
      <c r="D234" s="251"/>
      <c r="E234" s="251"/>
      <c r="F234" s="251"/>
      <c r="G234" s="251"/>
      <c r="H234" s="251"/>
      <c r="I234" s="251"/>
      <c r="J234" s="289"/>
      <c r="L234" s="251"/>
      <c r="M234" s="289"/>
    </row>
    <row r="235" spans="1:13" ht="14.25" customHeight="1" x14ac:dyDescent="0.25">
      <c r="A235" s="289"/>
      <c r="D235" s="251"/>
      <c r="E235" s="251"/>
      <c r="F235" s="251"/>
      <c r="G235" s="251"/>
      <c r="H235" s="251"/>
      <c r="I235" s="251"/>
      <c r="J235" s="289"/>
      <c r="L235" s="251"/>
      <c r="M235" s="289"/>
    </row>
    <row r="236" spans="1:13" ht="14.25" customHeight="1" x14ac:dyDescent="0.25">
      <c r="A236" s="289"/>
      <c r="D236" s="251"/>
      <c r="E236" s="251"/>
      <c r="F236" s="251"/>
      <c r="G236" s="251"/>
      <c r="H236" s="251"/>
      <c r="I236" s="251"/>
      <c r="J236" s="289"/>
      <c r="L236" s="251"/>
      <c r="M236" s="289"/>
    </row>
    <row r="237" spans="1:13" ht="14.25" customHeight="1" x14ac:dyDescent="0.25">
      <c r="A237" s="289"/>
      <c r="D237" s="251"/>
      <c r="E237" s="251"/>
      <c r="F237" s="251"/>
      <c r="G237" s="251"/>
      <c r="H237" s="251"/>
      <c r="I237" s="251"/>
      <c r="J237" s="289"/>
      <c r="L237" s="251"/>
      <c r="M237" s="289"/>
    </row>
    <row r="238" spans="1:13" ht="14.25" customHeight="1" x14ac:dyDescent="0.25">
      <c r="A238" s="289"/>
      <c r="D238" s="251"/>
      <c r="E238" s="251"/>
      <c r="F238" s="251"/>
      <c r="G238" s="251"/>
      <c r="H238" s="251"/>
      <c r="I238" s="251"/>
      <c r="J238" s="289"/>
      <c r="L238" s="251"/>
      <c r="M238" s="289"/>
    </row>
    <row r="239" spans="1:13" ht="14.25" customHeight="1" x14ac:dyDescent="0.25">
      <c r="A239" s="289"/>
      <c r="D239" s="251"/>
      <c r="E239" s="251"/>
      <c r="F239" s="251"/>
      <c r="G239" s="251"/>
      <c r="H239" s="251"/>
      <c r="I239" s="251"/>
      <c r="J239" s="289"/>
      <c r="L239" s="251"/>
      <c r="M239" s="289"/>
    </row>
    <row r="240" spans="1:13" ht="14.25" customHeight="1" x14ac:dyDescent="0.25">
      <c r="A240" s="289"/>
      <c r="D240" s="251"/>
      <c r="E240" s="251"/>
      <c r="F240" s="251"/>
      <c r="G240" s="251"/>
      <c r="H240" s="251"/>
      <c r="I240" s="251"/>
      <c r="J240" s="289"/>
      <c r="L240" s="251"/>
      <c r="M240" s="289"/>
    </row>
    <row r="241" spans="1:13" ht="14.25" customHeight="1" x14ac:dyDescent="0.25">
      <c r="A241" s="289"/>
      <c r="D241" s="251"/>
      <c r="E241" s="251"/>
      <c r="F241" s="251"/>
      <c r="G241" s="251"/>
      <c r="H241" s="251"/>
      <c r="I241" s="251"/>
      <c r="J241" s="289"/>
      <c r="L241" s="251"/>
      <c r="M241" s="289"/>
    </row>
    <row r="242" spans="1:13" ht="14.25" customHeight="1" x14ac:dyDescent="0.25">
      <c r="A242" s="289"/>
      <c r="D242" s="251"/>
      <c r="E242" s="251"/>
      <c r="F242" s="251"/>
      <c r="G242" s="251"/>
      <c r="H242" s="251"/>
      <c r="I242" s="251"/>
      <c r="J242" s="289"/>
      <c r="L242" s="251"/>
      <c r="M242" s="289"/>
    </row>
    <row r="243" spans="1:13" ht="14.25" customHeight="1" x14ac:dyDescent="0.25">
      <c r="A243" s="289"/>
      <c r="D243" s="251"/>
      <c r="E243" s="251"/>
      <c r="F243" s="251"/>
      <c r="G243" s="251"/>
      <c r="H243" s="251"/>
      <c r="I243" s="251"/>
      <c r="J243" s="289"/>
      <c r="L243" s="251"/>
      <c r="M243" s="289"/>
    </row>
    <row r="244" spans="1:13" ht="14.25" customHeight="1" x14ac:dyDescent="0.25">
      <c r="A244" s="289"/>
      <c r="D244" s="251"/>
      <c r="E244" s="251"/>
      <c r="F244" s="251"/>
      <c r="G244" s="251"/>
      <c r="H244" s="251"/>
      <c r="I244" s="251"/>
      <c r="J244" s="289"/>
      <c r="L244" s="251"/>
      <c r="M244" s="289"/>
    </row>
    <row r="245" spans="1:13" ht="14.25" customHeight="1" x14ac:dyDescent="0.25">
      <c r="A245" s="289"/>
      <c r="D245" s="251"/>
      <c r="E245" s="251"/>
      <c r="F245" s="251"/>
      <c r="G245" s="251"/>
      <c r="H245" s="251"/>
      <c r="I245" s="251"/>
      <c r="J245" s="289"/>
      <c r="L245" s="251"/>
      <c r="M245" s="289"/>
    </row>
    <row r="246" spans="1:13" ht="14.25" customHeight="1" x14ac:dyDescent="0.25">
      <c r="A246" s="289"/>
      <c r="D246" s="251"/>
      <c r="E246" s="251"/>
      <c r="F246" s="251"/>
      <c r="G246" s="251"/>
      <c r="H246" s="251"/>
      <c r="I246" s="251"/>
      <c r="J246" s="289"/>
      <c r="L246" s="251"/>
      <c r="M246" s="289"/>
    </row>
    <row r="247" spans="1:13" ht="14.25" customHeight="1" x14ac:dyDescent="0.25">
      <c r="A247" s="289"/>
      <c r="D247" s="251"/>
      <c r="E247" s="251"/>
      <c r="F247" s="251"/>
      <c r="G247" s="251"/>
      <c r="H247" s="251"/>
      <c r="I247" s="251"/>
      <c r="J247" s="289"/>
      <c r="L247" s="251"/>
      <c r="M247" s="289"/>
    </row>
    <row r="248" spans="1:13" ht="14.25" customHeight="1" x14ac:dyDescent="0.25">
      <c r="A248" s="289"/>
      <c r="D248" s="251"/>
      <c r="E248" s="251"/>
      <c r="F248" s="251"/>
      <c r="G248" s="251"/>
      <c r="H248" s="251"/>
      <c r="I248" s="251"/>
      <c r="J248" s="289"/>
      <c r="L248" s="251"/>
      <c r="M248" s="289"/>
    </row>
    <row r="249" spans="1:13" ht="14.25" customHeight="1" x14ac:dyDescent="0.25">
      <c r="A249" s="289"/>
      <c r="D249" s="251"/>
      <c r="E249" s="251"/>
      <c r="F249" s="251"/>
      <c r="G249" s="251"/>
      <c r="H249" s="251"/>
      <c r="I249" s="251"/>
      <c r="J249" s="289"/>
      <c r="L249" s="251"/>
      <c r="M249" s="289"/>
    </row>
    <row r="250" spans="1:13" ht="14.25" customHeight="1" x14ac:dyDescent="0.25">
      <c r="A250" s="289"/>
      <c r="D250" s="251"/>
      <c r="E250" s="251"/>
      <c r="F250" s="251"/>
      <c r="G250" s="251"/>
      <c r="H250" s="251"/>
      <c r="I250" s="251"/>
      <c r="J250" s="289"/>
      <c r="L250" s="251"/>
      <c r="M250" s="289"/>
    </row>
    <row r="251" spans="1:13" ht="14.25" customHeight="1" x14ac:dyDescent="0.25">
      <c r="A251" s="289"/>
      <c r="D251" s="251"/>
      <c r="E251" s="251"/>
      <c r="F251" s="251"/>
      <c r="G251" s="251"/>
      <c r="H251" s="251"/>
      <c r="I251" s="251"/>
      <c r="J251" s="289"/>
      <c r="L251" s="251"/>
      <c r="M251" s="289"/>
    </row>
    <row r="252" spans="1:13" ht="14.25" customHeight="1" x14ac:dyDescent="0.25">
      <c r="A252" s="289"/>
      <c r="D252" s="251"/>
      <c r="E252" s="251"/>
      <c r="F252" s="251"/>
      <c r="G252" s="251"/>
      <c r="H252" s="251"/>
      <c r="I252" s="251"/>
      <c r="J252" s="289"/>
      <c r="L252" s="251"/>
      <c r="M252" s="289"/>
    </row>
    <row r="253" spans="1:13" ht="14.25" customHeight="1" x14ac:dyDescent="0.25">
      <c r="A253" s="289"/>
      <c r="D253" s="251"/>
      <c r="E253" s="251"/>
      <c r="F253" s="251"/>
      <c r="G253" s="251"/>
      <c r="H253" s="251"/>
      <c r="I253" s="251"/>
      <c r="J253" s="289"/>
      <c r="L253" s="251"/>
      <c r="M253" s="289"/>
    </row>
    <row r="254" spans="1:13" ht="14.25" customHeight="1" x14ac:dyDescent="0.25">
      <c r="A254" s="289"/>
      <c r="D254" s="251"/>
      <c r="E254" s="251"/>
      <c r="F254" s="251"/>
      <c r="G254" s="251"/>
      <c r="H254" s="251"/>
      <c r="I254" s="251"/>
      <c r="J254" s="289"/>
      <c r="L254" s="251"/>
      <c r="M254" s="289"/>
    </row>
    <row r="255" spans="1:13" ht="14.25" customHeight="1" x14ac:dyDescent="0.25">
      <c r="A255" s="289"/>
      <c r="D255" s="251"/>
      <c r="E255" s="251"/>
      <c r="F255" s="251"/>
      <c r="G255" s="251"/>
      <c r="H255" s="251"/>
      <c r="I255" s="251"/>
      <c r="J255" s="289"/>
      <c r="L255" s="251"/>
      <c r="M255" s="289"/>
    </row>
    <row r="256" spans="1:13" ht="14.25" customHeight="1" x14ac:dyDescent="0.25">
      <c r="A256" s="289"/>
      <c r="D256" s="251"/>
      <c r="E256" s="251"/>
      <c r="F256" s="251"/>
      <c r="G256" s="251"/>
      <c r="H256" s="251"/>
      <c r="I256" s="251"/>
      <c r="J256" s="289"/>
      <c r="L256" s="251"/>
      <c r="M256" s="289"/>
    </row>
    <row r="257" spans="1:13" ht="14.25" customHeight="1" x14ac:dyDescent="0.25">
      <c r="A257" s="289"/>
      <c r="D257" s="251"/>
      <c r="E257" s="251"/>
      <c r="F257" s="251"/>
      <c r="G257" s="251"/>
      <c r="H257" s="251"/>
      <c r="I257" s="251"/>
      <c r="J257" s="289"/>
      <c r="L257" s="251"/>
      <c r="M257" s="289"/>
    </row>
    <row r="258" spans="1:13" ht="14.25" customHeight="1" x14ac:dyDescent="0.25">
      <c r="A258" s="289"/>
      <c r="D258" s="251"/>
      <c r="E258" s="251"/>
      <c r="F258" s="251"/>
      <c r="G258" s="251"/>
      <c r="H258" s="251"/>
      <c r="I258" s="251"/>
      <c r="J258" s="289"/>
      <c r="L258" s="251"/>
      <c r="M258" s="289"/>
    </row>
    <row r="259" spans="1:13" ht="14.25" customHeight="1" x14ac:dyDescent="0.25">
      <c r="A259" s="289"/>
      <c r="D259" s="251"/>
      <c r="E259" s="251"/>
      <c r="F259" s="251"/>
      <c r="G259" s="251"/>
      <c r="H259" s="251"/>
      <c r="I259" s="251"/>
      <c r="J259" s="289"/>
      <c r="L259" s="251"/>
      <c r="M259" s="289"/>
    </row>
    <row r="260" spans="1:13" ht="14.25" customHeight="1" x14ac:dyDescent="0.25">
      <c r="A260" s="289"/>
      <c r="D260" s="251"/>
      <c r="E260" s="251"/>
      <c r="F260" s="251"/>
      <c r="G260" s="251"/>
      <c r="H260" s="251"/>
      <c r="I260" s="251"/>
      <c r="J260" s="289"/>
      <c r="L260" s="251"/>
      <c r="M260" s="289"/>
    </row>
    <row r="261" spans="1:13" ht="14.25" customHeight="1" x14ac:dyDescent="0.25">
      <c r="A261" s="289"/>
      <c r="D261" s="251"/>
      <c r="E261" s="251"/>
      <c r="F261" s="251"/>
      <c r="G261" s="251"/>
      <c r="H261" s="251"/>
      <c r="I261" s="251"/>
      <c r="J261" s="289"/>
      <c r="L261" s="251"/>
      <c r="M261" s="289"/>
    </row>
    <row r="262" spans="1:13" ht="14.25" customHeight="1" x14ac:dyDescent="0.25">
      <c r="A262" s="289"/>
      <c r="D262" s="251"/>
      <c r="E262" s="251"/>
      <c r="F262" s="251"/>
      <c r="G262" s="251"/>
      <c r="H262" s="251"/>
      <c r="I262" s="251"/>
      <c r="J262" s="289"/>
      <c r="L262" s="251"/>
      <c r="M262" s="289"/>
    </row>
    <row r="263" spans="1:13" ht="14.25" customHeight="1" x14ac:dyDescent="0.25">
      <c r="A263" s="289"/>
      <c r="D263" s="251"/>
      <c r="E263" s="251"/>
      <c r="F263" s="251"/>
      <c r="G263" s="251"/>
      <c r="H263" s="251"/>
      <c r="I263" s="251"/>
      <c r="J263" s="289"/>
      <c r="L263" s="251"/>
      <c r="M263" s="289"/>
    </row>
    <row r="264" spans="1:13" ht="14.25" customHeight="1" x14ac:dyDescent="0.25">
      <c r="A264" s="289"/>
      <c r="D264" s="251"/>
      <c r="E264" s="251"/>
      <c r="F264" s="251"/>
      <c r="G264" s="251"/>
      <c r="H264" s="251"/>
      <c r="I264" s="251"/>
      <c r="J264" s="289"/>
      <c r="L264" s="251"/>
      <c r="M264" s="289"/>
    </row>
    <row r="265" spans="1:13" ht="14.25" customHeight="1" x14ac:dyDescent="0.25">
      <c r="A265" s="289"/>
      <c r="D265" s="251"/>
      <c r="E265" s="251"/>
      <c r="F265" s="251"/>
      <c r="G265" s="251"/>
      <c r="H265" s="251"/>
      <c r="I265" s="251"/>
      <c r="J265" s="289"/>
      <c r="L265" s="251"/>
      <c r="M265" s="289"/>
    </row>
    <row r="266" spans="1:13" ht="14.25" customHeight="1" x14ac:dyDescent="0.25">
      <c r="A266" s="289"/>
      <c r="D266" s="251"/>
      <c r="E266" s="251"/>
      <c r="F266" s="251"/>
      <c r="G266" s="251"/>
      <c r="H266" s="251"/>
      <c r="I266" s="251"/>
      <c r="J266" s="289"/>
      <c r="L266" s="251"/>
      <c r="M266" s="289"/>
    </row>
    <row r="267" spans="1:13" ht="14.25" customHeight="1" x14ac:dyDescent="0.25">
      <c r="A267" s="289"/>
      <c r="D267" s="251"/>
      <c r="E267" s="251"/>
      <c r="F267" s="251"/>
      <c r="G267" s="251"/>
      <c r="H267" s="251"/>
      <c r="I267" s="251"/>
      <c r="J267" s="289"/>
      <c r="L267" s="251"/>
      <c r="M267" s="289"/>
    </row>
    <row r="268" spans="1:13" ht="14.25" customHeight="1" x14ac:dyDescent="0.25">
      <c r="A268" s="289"/>
      <c r="D268" s="251"/>
      <c r="E268" s="251"/>
      <c r="F268" s="251"/>
      <c r="G268" s="251"/>
      <c r="H268" s="251"/>
      <c r="I268" s="251"/>
      <c r="J268" s="289"/>
      <c r="L268" s="251"/>
      <c r="M268" s="289"/>
    </row>
    <row r="269" spans="1:13" ht="14.25" customHeight="1" x14ac:dyDescent="0.25">
      <c r="A269" s="289"/>
      <c r="D269" s="251"/>
      <c r="E269" s="251"/>
      <c r="F269" s="251"/>
      <c r="G269" s="251"/>
      <c r="H269" s="251"/>
      <c r="I269" s="251"/>
      <c r="J269" s="289"/>
      <c r="L269" s="251"/>
      <c r="M269" s="289"/>
    </row>
    <row r="270" spans="1:13" ht="14.25" customHeight="1" x14ac:dyDescent="0.25">
      <c r="A270" s="289"/>
      <c r="D270" s="251"/>
      <c r="E270" s="251"/>
      <c r="F270" s="251"/>
      <c r="G270" s="251"/>
      <c r="H270" s="251"/>
      <c r="I270" s="251"/>
      <c r="J270" s="289"/>
      <c r="L270" s="251"/>
      <c r="M270" s="289"/>
    </row>
    <row r="271" spans="1:13" ht="14.25" customHeight="1" x14ac:dyDescent="0.25">
      <c r="A271" s="289"/>
      <c r="D271" s="251"/>
      <c r="E271" s="251"/>
      <c r="F271" s="251"/>
      <c r="G271" s="251"/>
      <c r="H271" s="251"/>
      <c r="I271" s="251"/>
      <c r="J271" s="289"/>
      <c r="L271" s="251"/>
      <c r="M271" s="289"/>
    </row>
    <row r="272" spans="1:13" ht="14.25" customHeight="1" x14ac:dyDescent="0.25">
      <c r="A272" s="289"/>
      <c r="D272" s="251"/>
      <c r="E272" s="251"/>
      <c r="F272" s="251"/>
      <c r="G272" s="251"/>
      <c r="H272" s="251"/>
      <c r="I272" s="251"/>
      <c r="J272" s="289"/>
      <c r="L272" s="251"/>
      <c r="M272" s="289"/>
    </row>
    <row r="273" spans="1:13" ht="14.25" customHeight="1" x14ac:dyDescent="0.25">
      <c r="A273" s="289"/>
      <c r="D273" s="251"/>
      <c r="E273" s="251"/>
      <c r="F273" s="251"/>
      <c r="G273" s="251"/>
      <c r="H273" s="251"/>
      <c r="I273" s="251"/>
      <c r="J273" s="289"/>
      <c r="L273" s="251"/>
      <c r="M273" s="289"/>
    </row>
    <row r="274" spans="1:13" ht="14.25" customHeight="1" x14ac:dyDescent="0.25">
      <c r="A274" s="289"/>
      <c r="D274" s="251"/>
      <c r="E274" s="251"/>
      <c r="F274" s="251"/>
      <c r="G274" s="251"/>
      <c r="H274" s="251"/>
      <c r="I274" s="251"/>
      <c r="J274" s="289"/>
      <c r="L274" s="251"/>
      <c r="M274" s="289"/>
    </row>
    <row r="275" spans="1:13" ht="14.25" customHeight="1" x14ac:dyDescent="0.25">
      <c r="A275" s="289"/>
      <c r="D275" s="251"/>
      <c r="E275" s="251"/>
      <c r="F275" s="251"/>
      <c r="G275" s="251"/>
      <c r="H275" s="251"/>
      <c r="I275" s="251"/>
      <c r="J275" s="289"/>
      <c r="L275" s="251"/>
      <c r="M275" s="289"/>
    </row>
    <row r="276" spans="1:13" ht="14.25" customHeight="1" x14ac:dyDescent="0.25">
      <c r="A276" s="289"/>
      <c r="D276" s="251"/>
      <c r="E276" s="251"/>
      <c r="F276" s="251"/>
      <c r="G276" s="251"/>
      <c r="H276" s="251"/>
      <c r="I276" s="251"/>
      <c r="J276" s="289"/>
      <c r="L276" s="251"/>
      <c r="M276" s="289"/>
    </row>
    <row r="277" spans="1:13" ht="14.25" customHeight="1" x14ac:dyDescent="0.25">
      <c r="A277" s="289"/>
      <c r="D277" s="251"/>
      <c r="E277" s="251"/>
      <c r="F277" s="251"/>
      <c r="G277" s="251"/>
      <c r="H277" s="251"/>
      <c r="I277" s="251"/>
      <c r="J277" s="289"/>
      <c r="L277" s="251"/>
      <c r="M277" s="289"/>
    </row>
    <row r="278" spans="1:13" ht="14.25" customHeight="1" x14ac:dyDescent="0.25">
      <c r="A278" s="289"/>
      <c r="D278" s="251"/>
      <c r="E278" s="251"/>
      <c r="F278" s="251"/>
      <c r="G278" s="251"/>
      <c r="H278" s="251"/>
      <c r="I278" s="251"/>
      <c r="J278" s="289"/>
      <c r="L278" s="251"/>
      <c r="M278" s="289"/>
    </row>
    <row r="279" spans="1:13" ht="14.25" customHeight="1" x14ac:dyDescent="0.25">
      <c r="A279" s="289"/>
      <c r="D279" s="251"/>
      <c r="E279" s="251"/>
      <c r="F279" s="251"/>
      <c r="G279" s="251"/>
      <c r="H279" s="251"/>
      <c r="I279" s="251"/>
      <c r="J279" s="289"/>
      <c r="L279" s="251"/>
      <c r="M279" s="289"/>
    </row>
    <row r="280" spans="1:13" ht="14.25" customHeight="1" x14ac:dyDescent="0.25">
      <c r="A280" s="289"/>
      <c r="D280" s="251"/>
      <c r="E280" s="251"/>
      <c r="F280" s="251"/>
      <c r="G280" s="251"/>
      <c r="H280" s="251"/>
      <c r="I280" s="251"/>
      <c r="J280" s="289"/>
      <c r="L280" s="251"/>
      <c r="M280" s="289"/>
    </row>
    <row r="281" spans="1:13" ht="14.25" customHeight="1" x14ac:dyDescent="0.25">
      <c r="A281" s="289"/>
      <c r="D281" s="251"/>
      <c r="E281" s="251"/>
      <c r="F281" s="251"/>
      <c r="G281" s="251"/>
      <c r="H281" s="251"/>
      <c r="I281" s="251"/>
      <c r="J281" s="289"/>
      <c r="L281" s="251"/>
      <c r="M281" s="289"/>
    </row>
    <row r="282" spans="1:13" ht="14.25" customHeight="1" x14ac:dyDescent="0.25">
      <c r="A282" s="289"/>
      <c r="D282" s="251"/>
      <c r="E282" s="251"/>
      <c r="F282" s="251"/>
      <c r="G282" s="251"/>
      <c r="H282" s="251"/>
      <c r="I282" s="251"/>
      <c r="J282" s="289"/>
      <c r="L282" s="251"/>
      <c r="M282" s="289"/>
    </row>
    <row r="283" spans="1:13" ht="14.25" customHeight="1" x14ac:dyDescent="0.25">
      <c r="A283" s="289"/>
      <c r="D283" s="251"/>
      <c r="E283" s="251"/>
      <c r="F283" s="251"/>
      <c r="G283" s="251"/>
      <c r="H283" s="251"/>
      <c r="I283" s="251"/>
      <c r="J283" s="289"/>
      <c r="L283" s="251"/>
      <c r="M283" s="289"/>
    </row>
    <row r="284" spans="1:13" ht="14.25" customHeight="1" x14ac:dyDescent="0.25">
      <c r="A284" s="289"/>
      <c r="D284" s="251"/>
      <c r="E284" s="251"/>
      <c r="F284" s="251"/>
      <c r="G284" s="251"/>
      <c r="H284" s="251"/>
      <c r="I284" s="251"/>
      <c r="J284" s="289"/>
      <c r="L284" s="251"/>
      <c r="M284" s="289"/>
    </row>
    <row r="285" spans="1:13" ht="14.25" customHeight="1" x14ac:dyDescent="0.25">
      <c r="A285" s="289"/>
      <c r="D285" s="251"/>
      <c r="E285" s="251"/>
      <c r="F285" s="251"/>
      <c r="G285" s="251"/>
      <c r="H285" s="251"/>
      <c r="I285" s="251"/>
      <c r="J285" s="289"/>
      <c r="L285" s="251"/>
      <c r="M285" s="289"/>
    </row>
    <row r="286" spans="1:13" ht="14.25" customHeight="1" x14ac:dyDescent="0.25">
      <c r="A286" s="289"/>
      <c r="D286" s="251"/>
      <c r="E286" s="251"/>
      <c r="F286" s="251"/>
      <c r="G286" s="251"/>
      <c r="H286" s="251"/>
      <c r="I286" s="251"/>
      <c r="J286" s="289"/>
      <c r="L286" s="251"/>
      <c r="M286" s="289"/>
    </row>
    <row r="287" spans="1:13" ht="14.25" customHeight="1" x14ac:dyDescent="0.25">
      <c r="A287" s="289"/>
      <c r="D287" s="251"/>
      <c r="E287" s="251"/>
      <c r="F287" s="251"/>
      <c r="G287" s="251"/>
      <c r="H287" s="251"/>
      <c r="I287" s="251"/>
      <c r="J287" s="289"/>
      <c r="L287" s="251"/>
      <c r="M287" s="289"/>
    </row>
    <row r="288" spans="1:13" ht="14.25" customHeight="1" x14ac:dyDescent="0.25">
      <c r="A288" s="289"/>
      <c r="D288" s="251"/>
      <c r="E288" s="251"/>
      <c r="F288" s="251"/>
      <c r="G288" s="251"/>
      <c r="H288" s="251"/>
      <c r="I288" s="251"/>
      <c r="J288" s="289"/>
      <c r="L288" s="251"/>
      <c r="M288" s="289"/>
    </row>
    <row r="289" spans="1:13" ht="14.25" customHeight="1" x14ac:dyDescent="0.25">
      <c r="A289" s="289"/>
      <c r="D289" s="251"/>
      <c r="E289" s="251"/>
      <c r="F289" s="251"/>
      <c r="G289" s="251"/>
      <c r="H289" s="251"/>
      <c r="I289" s="251"/>
      <c r="J289" s="289"/>
      <c r="L289" s="251"/>
      <c r="M289" s="289"/>
    </row>
    <row r="290" spans="1:13" ht="14.25" customHeight="1" x14ac:dyDescent="0.25">
      <c r="A290" s="289"/>
      <c r="D290" s="251"/>
      <c r="E290" s="251"/>
      <c r="F290" s="251"/>
      <c r="G290" s="251"/>
      <c r="H290" s="251"/>
      <c r="I290" s="251"/>
      <c r="J290" s="289"/>
      <c r="L290" s="251"/>
      <c r="M290" s="289"/>
    </row>
    <row r="291" spans="1:13" ht="14.25" customHeight="1" x14ac:dyDescent="0.25">
      <c r="A291" s="289"/>
      <c r="D291" s="251"/>
      <c r="E291" s="251"/>
      <c r="F291" s="251"/>
      <c r="G291" s="251"/>
      <c r="H291" s="251"/>
      <c r="I291" s="251"/>
      <c r="J291" s="289"/>
      <c r="L291" s="251"/>
      <c r="M291" s="289"/>
    </row>
    <row r="292" spans="1:13" ht="14.25" customHeight="1" x14ac:dyDescent="0.25">
      <c r="A292" s="289"/>
      <c r="D292" s="251"/>
      <c r="E292" s="251"/>
      <c r="F292" s="251"/>
      <c r="G292" s="251"/>
      <c r="H292" s="251"/>
      <c r="I292" s="251"/>
      <c r="J292" s="289"/>
      <c r="L292" s="251"/>
      <c r="M292" s="289"/>
    </row>
    <row r="293" spans="1:13" ht="14.25" customHeight="1" x14ac:dyDescent="0.25">
      <c r="A293" s="289"/>
      <c r="D293" s="251"/>
      <c r="E293" s="251"/>
      <c r="F293" s="251"/>
      <c r="G293" s="251"/>
      <c r="H293" s="251"/>
      <c r="I293" s="251"/>
      <c r="J293" s="289"/>
      <c r="L293" s="251"/>
      <c r="M293" s="289"/>
    </row>
    <row r="294" spans="1:13" ht="14.25" customHeight="1" x14ac:dyDescent="0.25">
      <c r="A294" s="289"/>
      <c r="D294" s="251"/>
      <c r="E294" s="251"/>
      <c r="F294" s="251"/>
      <c r="G294" s="251"/>
      <c r="H294" s="251"/>
      <c r="I294" s="251"/>
      <c r="J294" s="289"/>
      <c r="L294" s="251"/>
      <c r="M294" s="289"/>
    </row>
    <row r="295" spans="1:13" ht="14.25" customHeight="1" x14ac:dyDescent="0.25">
      <c r="A295" s="289"/>
      <c r="D295" s="251"/>
      <c r="E295" s="251"/>
      <c r="F295" s="251"/>
      <c r="G295" s="251"/>
      <c r="H295" s="251"/>
      <c r="I295" s="251"/>
      <c r="J295" s="289"/>
      <c r="L295" s="251"/>
      <c r="M295" s="289"/>
    </row>
    <row r="296" spans="1:13" ht="14.25" customHeight="1" x14ac:dyDescent="0.25">
      <c r="A296" s="289"/>
      <c r="D296" s="251"/>
      <c r="E296" s="251"/>
      <c r="F296" s="251"/>
      <c r="G296" s="251"/>
      <c r="H296" s="251"/>
      <c r="I296" s="251"/>
      <c r="J296" s="289"/>
      <c r="L296" s="251"/>
      <c r="M296" s="289"/>
    </row>
    <row r="297" spans="1:13" ht="14.25" customHeight="1" x14ac:dyDescent="0.25">
      <c r="A297" s="289"/>
      <c r="D297" s="251"/>
      <c r="E297" s="251"/>
      <c r="F297" s="251"/>
      <c r="G297" s="251"/>
      <c r="H297" s="251"/>
      <c r="I297" s="251"/>
      <c r="J297" s="289"/>
      <c r="L297" s="251"/>
      <c r="M297" s="289"/>
    </row>
    <row r="298" spans="1:13" ht="14.25" customHeight="1" x14ac:dyDescent="0.25">
      <c r="A298" s="289"/>
      <c r="D298" s="251"/>
      <c r="E298" s="251"/>
      <c r="F298" s="251"/>
      <c r="G298" s="251"/>
      <c r="H298" s="251"/>
      <c r="I298" s="251"/>
      <c r="J298" s="289"/>
      <c r="L298" s="251"/>
      <c r="M298" s="289"/>
    </row>
    <row r="299" spans="1:13" ht="14.25" customHeight="1" x14ac:dyDescent="0.25">
      <c r="A299" s="289"/>
      <c r="D299" s="251"/>
      <c r="E299" s="251"/>
      <c r="F299" s="251"/>
      <c r="G299" s="251"/>
      <c r="H299" s="251"/>
      <c r="I299" s="251"/>
      <c r="J299" s="289"/>
      <c r="L299" s="251"/>
      <c r="M299" s="289"/>
    </row>
    <row r="300" spans="1:13" ht="14.25" customHeight="1" x14ac:dyDescent="0.25">
      <c r="A300" s="289"/>
      <c r="D300" s="251"/>
      <c r="E300" s="251"/>
      <c r="F300" s="251"/>
      <c r="G300" s="251"/>
      <c r="H300" s="251"/>
      <c r="I300" s="251"/>
      <c r="J300" s="289"/>
      <c r="L300" s="251"/>
      <c r="M300" s="289"/>
    </row>
    <row r="301" spans="1:13" ht="14.25" customHeight="1" x14ac:dyDescent="0.25">
      <c r="A301" s="289"/>
      <c r="D301" s="251"/>
      <c r="E301" s="251"/>
      <c r="F301" s="251"/>
      <c r="G301" s="251"/>
      <c r="H301" s="251"/>
      <c r="I301" s="251"/>
      <c r="J301" s="289"/>
      <c r="L301" s="251"/>
      <c r="M301" s="289"/>
    </row>
    <row r="302" spans="1:13" ht="14.25" customHeight="1" x14ac:dyDescent="0.25">
      <c r="A302" s="289"/>
      <c r="D302" s="251"/>
      <c r="E302" s="251"/>
      <c r="F302" s="251"/>
      <c r="G302" s="251"/>
      <c r="H302" s="251"/>
      <c r="I302" s="251"/>
      <c r="J302" s="289"/>
      <c r="L302" s="251"/>
      <c r="M302" s="289"/>
    </row>
    <row r="303" spans="1:13" ht="14.25" customHeight="1" x14ac:dyDescent="0.25">
      <c r="A303" s="289"/>
      <c r="D303" s="251"/>
      <c r="E303" s="251"/>
      <c r="F303" s="251"/>
      <c r="G303" s="251"/>
      <c r="H303" s="251"/>
      <c r="I303" s="251"/>
      <c r="J303" s="289"/>
      <c r="L303" s="251"/>
      <c r="M303" s="289"/>
    </row>
    <row r="304" spans="1:13" ht="14.25" customHeight="1" x14ac:dyDescent="0.25">
      <c r="A304" s="289"/>
      <c r="D304" s="251"/>
      <c r="E304" s="251"/>
      <c r="F304" s="251"/>
      <c r="G304" s="251"/>
      <c r="H304" s="251"/>
      <c r="I304" s="251"/>
      <c r="J304" s="289"/>
      <c r="L304" s="251"/>
      <c r="M304" s="289"/>
    </row>
    <row r="305" spans="1:13" ht="14.25" customHeight="1" x14ac:dyDescent="0.25">
      <c r="A305" s="289"/>
      <c r="D305" s="251"/>
      <c r="E305" s="251"/>
      <c r="F305" s="251"/>
      <c r="G305" s="251"/>
      <c r="H305" s="251"/>
      <c r="I305" s="251"/>
      <c r="J305" s="289"/>
      <c r="L305" s="251"/>
      <c r="M305" s="289"/>
    </row>
    <row r="306" spans="1:13" ht="14.25" customHeight="1" x14ac:dyDescent="0.25">
      <c r="A306" s="289"/>
      <c r="D306" s="251"/>
      <c r="E306" s="251"/>
      <c r="F306" s="251"/>
      <c r="G306" s="251"/>
      <c r="H306" s="251"/>
      <c r="I306" s="251"/>
      <c r="J306" s="289"/>
      <c r="L306" s="251"/>
      <c r="M306" s="289"/>
    </row>
    <row r="307" spans="1:13" ht="14.25" customHeight="1" x14ac:dyDescent="0.25">
      <c r="A307" s="289"/>
      <c r="D307" s="251"/>
      <c r="E307" s="251"/>
      <c r="F307" s="251"/>
      <c r="G307" s="251"/>
      <c r="H307" s="251"/>
      <c r="I307" s="251"/>
      <c r="J307" s="289"/>
      <c r="L307" s="251"/>
      <c r="M307" s="289"/>
    </row>
    <row r="308" spans="1:13" ht="14.25" customHeight="1" x14ac:dyDescent="0.25">
      <c r="A308" s="289"/>
      <c r="D308" s="251"/>
      <c r="E308" s="251"/>
      <c r="F308" s="251"/>
      <c r="G308" s="251"/>
      <c r="H308" s="251"/>
      <c r="I308" s="251"/>
      <c r="J308" s="289"/>
      <c r="L308" s="251"/>
      <c r="M308" s="289"/>
    </row>
    <row r="309" spans="1:13" ht="14.25" customHeight="1" x14ac:dyDescent="0.25">
      <c r="A309" s="289"/>
      <c r="D309" s="251"/>
      <c r="E309" s="251"/>
      <c r="F309" s="251"/>
      <c r="G309" s="251"/>
      <c r="H309" s="251"/>
      <c r="I309" s="251"/>
      <c r="J309" s="289"/>
      <c r="L309" s="251"/>
      <c r="M309" s="289"/>
    </row>
    <row r="310" spans="1:13" ht="14.25" customHeight="1" x14ac:dyDescent="0.25">
      <c r="A310" s="289"/>
      <c r="D310" s="251"/>
      <c r="E310" s="251"/>
      <c r="F310" s="251"/>
      <c r="G310" s="251"/>
      <c r="H310" s="251"/>
      <c r="I310" s="251"/>
      <c r="J310" s="289"/>
      <c r="L310" s="251"/>
      <c r="M310" s="289"/>
    </row>
    <row r="311" spans="1:13" ht="14.25" customHeight="1" x14ac:dyDescent="0.25">
      <c r="A311" s="289"/>
      <c r="D311" s="251"/>
      <c r="E311" s="251"/>
      <c r="F311" s="251"/>
      <c r="G311" s="251"/>
      <c r="H311" s="251"/>
      <c r="I311" s="251"/>
      <c r="J311" s="289"/>
      <c r="L311" s="251"/>
      <c r="M311" s="289"/>
    </row>
    <row r="312" spans="1:13" ht="14.25" customHeight="1" x14ac:dyDescent="0.25">
      <c r="A312" s="289"/>
      <c r="D312" s="251"/>
      <c r="E312" s="251"/>
      <c r="F312" s="251"/>
      <c r="G312" s="251"/>
      <c r="H312" s="251"/>
      <c r="I312" s="251"/>
      <c r="J312" s="289"/>
      <c r="L312" s="251"/>
      <c r="M312" s="289"/>
    </row>
    <row r="313" spans="1:13" ht="14.25" customHeight="1" x14ac:dyDescent="0.25">
      <c r="A313" s="289"/>
      <c r="D313" s="251"/>
      <c r="E313" s="251"/>
      <c r="F313" s="251"/>
      <c r="G313" s="251"/>
      <c r="H313" s="251"/>
      <c r="I313" s="251"/>
      <c r="J313" s="289"/>
      <c r="L313" s="251"/>
      <c r="M313" s="289"/>
    </row>
    <row r="314" spans="1:13" ht="14.25" customHeight="1" x14ac:dyDescent="0.25">
      <c r="A314" s="289"/>
      <c r="D314" s="251"/>
      <c r="E314" s="251"/>
      <c r="F314" s="251"/>
      <c r="G314" s="251"/>
      <c r="H314" s="251"/>
      <c r="I314" s="251"/>
      <c r="J314" s="289"/>
      <c r="L314" s="251"/>
      <c r="M314" s="289"/>
    </row>
    <row r="315" spans="1:13" ht="14.25" customHeight="1" x14ac:dyDescent="0.25">
      <c r="A315" s="289"/>
      <c r="D315" s="251"/>
      <c r="E315" s="251"/>
      <c r="F315" s="251"/>
      <c r="G315" s="251"/>
      <c r="H315" s="251"/>
      <c r="I315" s="251"/>
      <c r="J315" s="289"/>
      <c r="L315" s="251"/>
      <c r="M315" s="289"/>
    </row>
    <row r="316" spans="1:13" ht="14.25" customHeight="1" x14ac:dyDescent="0.25">
      <c r="A316" s="289"/>
      <c r="D316" s="251"/>
      <c r="E316" s="251"/>
      <c r="F316" s="251"/>
      <c r="G316" s="251"/>
      <c r="H316" s="251"/>
      <c r="I316" s="251"/>
      <c r="J316" s="289"/>
      <c r="L316" s="251"/>
      <c r="M316" s="289"/>
    </row>
    <row r="317" spans="1:13" ht="14.25" customHeight="1" x14ac:dyDescent="0.25">
      <c r="A317" s="289"/>
      <c r="D317" s="251"/>
      <c r="E317" s="251"/>
      <c r="F317" s="251"/>
      <c r="G317" s="251"/>
      <c r="H317" s="251"/>
      <c r="I317" s="251"/>
      <c r="J317" s="289"/>
      <c r="L317" s="251"/>
      <c r="M317" s="289"/>
    </row>
    <row r="318" spans="1:13" ht="14.25" customHeight="1" x14ac:dyDescent="0.25">
      <c r="A318" s="289"/>
      <c r="D318" s="251"/>
      <c r="E318" s="251"/>
      <c r="F318" s="251"/>
      <c r="G318" s="251"/>
      <c r="H318" s="251"/>
      <c r="I318" s="251"/>
      <c r="J318" s="289"/>
      <c r="L318" s="251"/>
      <c r="M318" s="289"/>
    </row>
    <row r="319" spans="1:13" ht="14.25" customHeight="1" x14ac:dyDescent="0.25">
      <c r="A319" s="289"/>
      <c r="D319" s="251"/>
      <c r="E319" s="251"/>
      <c r="F319" s="251"/>
      <c r="G319" s="251"/>
      <c r="H319" s="251"/>
      <c r="I319" s="251"/>
      <c r="J319" s="289"/>
      <c r="L319" s="251"/>
      <c r="M319" s="289"/>
    </row>
    <row r="320" spans="1:13" ht="14.25" customHeight="1" x14ac:dyDescent="0.25">
      <c r="A320" s="289"/>
      <c r="D320" s="251"/>
      <c r="E320" s="251"/>
      <c r="F320" s="251"/>
      <c r="G320" s="251"/>
      <c r="H320" s="251"/>
      <c r="I320" s="251"/>
      <c r="J320" s="289"/>
      <c r="L320" s="251"/>
      <c r="M320" s="289"/>
    </row>
    <row r="321" spans="1:13" ht="14.25" customHeight="1" x14ac:dyDescent="0.25">
      <c r="A321" s="289"/>
      <c r="D321" s="251"/>
      <c r="E321" s="251"/>
      <c r="F321" s="251"/>
      <c r="G321" s="251"/>
      <c r="H321" s="251"/>
      <c r="I321" s="251"/>
      <c r="J321" s="289"/>
      <c r="L321" s="251"/>
      <c r="M321" s="289"/>
    </row>
    <row r="322" spans="1:13" ht="14.25" customHeight="1" x14ac:dyDescent="0.25">
      <c r="A322" s="289"/>
      <c r="D322" s="251"/>
      <c r="E322" s="251"/>
      <c r="F322" s="251"/>
      <c r="G322" s="251"/>
      <c r="H322" s="251"/>
      <c r="I322" s="251"/>
      <c r="J322" s="289"/>
      <c r="L322" s="251"/>
      <c r="M322" s="289"/>
    </row>
    <row r="323" spans="1:13" ht="14.25" customHeight="1" x14ac:dyDescent="0.25">
      <c r="A323" s="289"/>
      <c r="D323" s="251"/>
      <c r="E323" s="251"/>
      <c r="F323" s="251"/>
      <c r="G323" s="251"/>
      <c r="H323" s="251"/>
      <c r="I323" s="251"/>
      <c r="J323" s="289"/>
      <c r="L323" s="251"/>
      <c r="M323" s="289"/>
    </row>
    <row r="324" spans="1:13" ht="14.25" customHeight="1" x14ac:dyDescent="0.25">
      <c r="A324" s="289"/>
      <c r="D324" s="251"/>
      <c r="E324" s="251"/>
      <c r="F324" s="251"/>
      <c r="G324" s="251"/>
      <c r="H324" s="251"/>
      <c r="I324" s="251"/>
      <c r="J324" s="289"/>
      <c r="L324" s="251"/>
      <c r="M324" s="289"/>
    </row>
    <row r="325" spans="1:13" ht="14.25" customHeight="1" x14ac:dyDescent="0.25">
      <c r="A325" s="289"/>
      <c r="D325" s="251"/>
      <c r="E325" s="251"/>
      <c r="F325" s="251"/>
      <c r="G325" s="251"/>
      <c r="H325" s="251"/>
      <c r="I325" s="251"/>
      <c r="J325" s="289"/>
      <c r="L325" s="251"/>
      <c r="M325" s="289"/>
    </row>
    <row r="326" spans="1:13" ht="14.25" customHeight="1" x14ac:dyDescent="0.25">
      <c r="A326" s="289"/>
      <c r="D326" s="251"/>
      <c r="E326" s="251"/>
      <c r="F326" s="251"/>
      <c r="G326" s="251"/>
      <c r="H326" s="251"/>
      <c r="I326" s="251"/>
      <c r="J326" s="289"/>
      <c r="L326" s="251"/>
      <c r="M326" s="289"/>
    </row>
    <row r="327" spans="1:13" ht="14.25" customHeight="1" x14ac:dyDescent="0.25">
      <c r="A327" s="289"/>
      <c r="D327" s="251"/>
      <c r="E327" s="251"/>
      <c r="F327" s="251"/>
      <c r="G327" s="251"/>
      <c r="H327" s="251"/>
      <c r="I327" s="251"/>
      <c r="J327" s="289"/>
      <c r="L327" s="251"/>
      <c r="M327" s="289"/>
    </row>
    <row r="328" spans="1:13" ht="14.25" customHeight="1" x14ac:dyDescent="0.25">
      <c r="A328" s="289"/>
      <c r="D328" s="251"/>
      <c r="E328" s="251"/>
      <c r="F328" s="251"/>
      <c r="G328" s="251"/>
      <c r="H328" s="251"/>
      <c r="I328" s="251"/>
      <c r="J328" s="289"/>
      <c r="L328" s="251"/>
      <c r="M328" s="289"/>
    </row>
    <row r="329" spans="1:13" ht="14.25" customHeight="1" x14ac:dyDescent="0.25">
      <c r="A329" s="289"/>
      <c r="D329" s="251"/>
      <c r="E329" s="251"/>
      <c r="F329" s="251"/>
      <c r="G329" s="251"/>
      <c r="H329" s="251"/>
      <c r="I329" s="251"/>
      <c r="J329" s="289"/>
      <c r="L329" s="251"/>
      <c r="M329" s="289"/>
    </row>
    <row r="330" spans="1:13" ht="14.25" customHeight="1" x14ac:dyDescent="0.25">
      <c r="A330" s="289"/>
      <c r="D330" s="251"/>
      <c r="E330" s="251"/>
      <c r="F330" s="251"/>
      <c r="G330" s="251"/>
      <c r="H330" s="251"/>
      <c r="I330" s="251"/>
      <c r="J330" s="289"/>
      <c r="L330" s="251"/>
      <c r="M330" s="289"/>
    </row>
    <row r="331" spans="1:13" ht="14.25" customHeight="1" x14ac:dyDescent="0.25">
      <c r="A331" s="289"/>
      <c r="D331" s="251"/>
      <c r="E331" s="251"/>
      <c r="F331" s="251"/>
      <c r="G331" s="251"/>
      <c r="H331" s="251"/>
      <c r="I331" s="251"/>
      <c r="J331" s="289"/>
      <c r="L331" s="251"/>
      <c r="M331" s="289"/>
    </row>
    <row r="332" spans="1:13" ht="14.25" customHeight="1" x14ac:dyDescent="0.25">
      <c r="A332" s="289"/>
      <c r="D332" s="251"/>
      <c r="E332" s="251"/>
      <c r="F332" s="251"/>
      <c r="G332" s="251"/>
      <c r="H332" s="251"/>
      <c r="I332" s="251"/>
      <c r="J332" s="289"/>
      <c r="L332" s="251"/>
      <c r="M332" s="289"/>
    </row>
    <row r="333" spans="1:13" ht="14.25" customHeight="1" x14ac:dyDescent="0.25">
      <c r="A333" s="289"/>
      <c r="D333" s="251"/>
      <c r="E333" s="251"/>
      <c r="F333" s="251"/>
      <c r="G333" s="251"/>
      <c r="H333" s="251"/>
      <c r="I333" s="251"/>
      <c r="J333" s="289"/>
      <c r="L333" s="251"/>
      <c r="M333" s="289"/>
    </row>
    <row r="334" spans="1:13" ht="14.25" customHeight="1" x14ac:dyDescent="0.25">
      <c r="A334" s="289"/>
      <c r="D334" s="251"/>
      <c r="E334" s="251"/>
      <c r="F334" s="251"/>
      <c r="G334" s="251"/>
      <c r="H334" s="251"/>
      <c r="I334" s="251"/>
      <c r="J334" s="289"/>
      <c r="L334" s="251"/>
      <c r="M334" s="289"/>
    </row>
    <row r="335" spans="1:13" ht="14.25" customHeight="1" x14ac:dyDescent="0.25">
      <c r="A335" s="289"/>
      <c r="D335" s="251"/>
      <c r="E335" s="251"/>
      <c r="F335" s="251"/>
      <c r="G335" s="251"/>
      <c r="H335" s="251"/>
      <c r="I335" s="251"/>
      <c r="J335" s="289"/>
      <c r="L335" s="251"/>
      <c r="M335" s="289"/>
    </row>
    <row r="336" spans="1:13" ht="14.25" customHeight="1" x14ac:dyDescent="0.25">
      <c r="A336" s="289"/>
      <c r="D336" s="251"/>
      <c r="E336" s="251"/>
      <c r="F336" s="251"/>
      <c r="G336" s="251"/>
      <c r="H336" s="251"/>
      <c r="I336" s="251"/>
      <c r="J336" s="289"/>
      <c r="L336" s="251"/>
      <c r="M336" s="289"/>
    </row>
    <row r="337" spans="1:13" ht="14.25" customHeight="1" x14ac:dyDescent="0.25">
      <c r="A337" s="289"/>
      <c r="D337" s="251"/>
      <c r="E337" s="251"/>
      <c r="F337" s="251"/>
      <c r="G337" s="251"/>
      <c r="H337" s="251"/>
      <c r="I337" s="251"/>
      <c r="J337" s="289"/>
      <c r="L337" s="251"/>
      <c r="M337" s="289"/>
    </row>
    <row r="338" spans="1:13" ht="14.25" customHeight="1" x14ac:dyDescent="0.25">
      <c r="A338" s="289"/>
      <c r="D338" s="251"/>
      <c r="E338" s="251"/>
      <c r="F338" s="251"/>
      <c r="G338" s="251"/>
      <c r="H338" s="251"/>
      <c r="I338" s="251"/>
      <c r="J338" s="289"/>
      <c r="L338" s="251"/>
      <c r="M338" s="289"/>
    </row>
    <row r="339" spans="1:13" ht="14.25" customHeight="1" x14ac:dyDescent="0.25">
      <c r="A339" s="289"/>
      <c r="D339" s="251"/>
      <c r="E339" s="251"/>
      <c r="F339" s="251"/>
      <c r="G339" s="251"/>
      <c r="H339" s="251"/>
      <c r="I339" s="251"/>
      <c r="J339" s="289"/>
      <c r="L339" s="251"/>
      <c r="M339" s="289"/>
    </row>
    <row r="340" spans="1:13" ht="14.25" customHeight="1" x14ac:dyDescent="0.25">
      <c r="A340" s="289"/>
      <c r="D340" s="251"/>
      <c r="E340" s="251"/>
      <c r="F340" s="251"/>
      <c r="G340" s="251"/>
      <c r="H340" s="251"/>
      <c r="I340" s="251"/>
      <c r="J340" s="289"/>
      <c r="L340" s="251"/>
      <c r="M340" s="289"/>
    </row>
    <row r="341" spans="1:13" ht="14.25" customHeight="1" x14ac:dyDescent="0.25">
      <c r="A341" s="289"/>
      <c r="D341" s="251"/>
      <c r="E341" s="251"/>
      <c r="F341" s="251"/>
      <c r="G341" s="251"/>
      <c r="H341" s="251"/>
      <c r="I341" s="251"/>
      <c r="J341" s="289"/>
      <c r="L341" s="251"/>
      <c r="M341" s="289"/>
    </row>
    <row r="342" spans="1:13" ht="14.25" customHeight="1" x14ac:dyDescent="0.25">
      <c r="A342" s="289"/>
      <c r="D342" s="251"/>
      <c r="E342" s="251"/>
      <c r="F342" s="251"/>
      <c r="G342" s="251"/>
      <c r="H342" s="251"/>
      <c r="I342" s="251"/>
      <c r="J342" s="289"/>
      <c r="L342" s="251"/>
      <c r="M342" s="289"/>
    </row>
    <row r="343" spans="1:13" ht="14.25" customHeight="1" x14ac:dyDescent="0.25">
      <c r="A343" s="289"/>
      <c r="D343" s="251"/>
      <c r="E343" s="251"/>
      <c r="F343" s="251"/>
      <c r="G343" s="251"/>
      <c r="H343" s="251"/>
      <c r="I343" s="251"/>
      <c r="J343" s="289"/>
      <c r="L343" s="251"/>
      <c r="M343" s="289"/>
    </row>
    <row r="344" spans="1:13" ht="14.25" customHeight="1" x14ac:dyDescent="0.25">
      <c r="A344" s="289"/>
      <c r="D344" s="251"/>
      <c r="E344" s="251"/>
      <c r="F344" s="251"/>
      <c r="G344" s="251"/>
      <c r="H344" s="251"/>
      <c r="I344" s="251"/>
      <c r="J344" s="289"/>
      <c r="L344" s="251"/>
      <c r="M344" s="289"/>
    </row>
    <row r="345" spans="1:13" ht="14.25" customHeight="1" x14ac:dyDescent="0.25">
      <c r="A345" s="289"/>
      <c r="D345" s="251"/>
      <c r="E345" s="251"/>
      <c r="F345" s="251"/>
      <c r="G345" s="251"/>
      <c r="H345" s="251"/>
      <c r="I345" s="251"/>
      <c r="J345" s="289"/>
      <c r="L345" s="251"/>
      <c r="M345" s="289"/>
    </row>
    <row r="346" spans="1:13" ht="14.25" customHeight="1" x14ac:dyDescent="0.25">
      <c r="A346" s="289"/>
      <c r="D346" s="251"/>
      <c r="E346" s="251"/>
      <c r="F346" s="251"/>
      <c r="G346" s="251"/>
      <c r="H346" s="251"/>
      <c r="I346" s="251"/>
      <c r="J346" s="289"/>
      <c r="L346" s="251"/>
      <c r="M346" s="289"/>
    </row>
    <row r="347" spans="1:13" ht="14.25" customHeight="1" x14ac:dyDescent="0.25">
      <c r="A347" s="289"/>
      <c r="D347" s="251"/>
      <c r="E347" s="251"/>
      <c r="F347" s="251"/>
      <c r="G347" s="251"/>
      <c r="H347" s="251"/>
      <c r="I347" s="251"/>
      <c r="J347" s="289"/>
      <c r="L347" s="251"/>
      <c r="M347" s="289"/>
    </row>
    <row r="348" spans="1:13" ht="14.25" customHeight="1" x14ac:dyDescent="0.25">
      <c r="A348" s="289"/>
      <c r="D348" s="251"/>
      <c r="E348" s="251"/>
      <c r="F348" s="251"/>
      <c r="G348" s="251"/>
      <c r="H348" s="251"/>
      <c r="I348" s="251"/>
      <c r="J348" s="289"/>
      <c r="L348" s="251"/>
      <c r="M348" s="289"/>
    </row>
    <row r="349" spans="1:13" ht="14.25" customHeight="1" x14ac:dyDescent="0.25">
      <c r="A349" s="289"/>
      <c r="D349" s="251"/>
      <c r="E349" s="251"/>
      <c r="F349" s="251"/>
      <c r="G349" s="251"/>
      <c r="H349" s="251"/>
      <c r="I349" s="251"/>
      <c r="J349" s="289"/>
      <c r="L349" s="251"/>
      <c r="M349" s="289"/>
    </row>
    <row r="350" spans="1:13" ht="14.25" customHeight="1" x14ac:dyDescent="0.25">
      <c r="A350" s="289"/>
      <c r="D350" s="251"/>
      <c r="E350" s="251"/>
      <c r="F350" s="251"/>
      <c r="G350" s="251"/>
      <c r="H350" s="251"/>
      <c r="I350" s="251"/>
      <c r="J350" s="289"/>
      <c r="L350" s="251"/>
      <c r="M350" s="289"/>
    </row>
    <row r="351" spans="1:13" ht="14.25" customHeight="1" x14ac:dyDescent="0.25">
      <c r="A351" s="289"/>
      <c r="D351" s="251"/>
      <c r="E351" s="251"/>
      <c r="F351" s="251"/>
      <c r="G351" s="251"/>
      <c r="H351" s="251"/>
      <c r="I351" s="251"/>
      <c r="J351" s="289"/>
      <c r="L351" s="251"/>
      <c r="M351" s="289"/>
    </row>
    <row r="352" spans="1:13" ht="14.25" customHeight="1" x14ac:dyDescent="0.25">
      <c r="A352" s="289"/>
      <c r="D352" s="251"/>
      <c r="E352" s="251"/>
      <c r="F352" s="251"/>
      <c r="G352" s="251"/>
      <c r="H352" s="251"/>
      <c r="I352" s="251"/>
      <c r="J352" s="289"/>
      <c r="L352" s="251"/>
      <c r="M352" s="289"/>
    </row>
    <row r="353" spans="1:13" ht="14.25" customHeight="1" x14ac:dyDescent="0.25">
      <c r="A353" s="289"/>
      <c r="D353" s="251"/>
      <c r="E353" s="251"/>
      <c r="F353" s="251"/>
      <c r="G353" s="251"/>
      <c r="H353" s="251"/>
      <c r="I353" s="251"/>
      <c r="J353" s="289"/>
      <c r="L353" s="251"/>
      <c r="M353" s="289"/>
    </row>
    <row r="354" spans="1:13" ht="14.25" customHeight="1" x14ac:dyDescent="0.25">
      <c r="A354" s="289"/>
      <c r="D354" s="251"/>
      <c r="E354" s="251"/>
      <c r="F354" s="251"/>
      <c r="G354" s="251"/>
      <c r="H354" s="251"/>
      <c r="I354" s="251"/>
      <c r="J354" s="289"/>
      <c r="L354" s="251"/>
      <c r="M354" s="289"/>
    </row>
    <row r="355" spans="1:13" ht="14.25" customHeight="1" x14ac:dyDescent="0.25">
      <c r="A355" s="289"/>
      <c r="D355" s="251"/>
      <c r="E355" s="251"/>
      <c r="F355" s="251"/>
      <c r="G355" s="251"/>
      <c r="H355" s="251"/>
      <c r="I355" s="251"/>
      <c r="J355" s="289"/>
      <c r="L355" s="251"/>
      <c r="M355" s="289"/>
    </row>
    <row r="356" spans="1:13" ht="14.25" customHeight="1" x14ac:dyDescent="0.25">
      <c r="A356" s="289"/>
      <c r="D356" s="251"/>
      <c r="E356" s="251"/>
      <c r="F356" s="251"/>
      <c r="G356" s="251"/>
      <c r="H356" s="251"/>
      <c r="I356" s="251"/>
      <c r="J356" s="289"/>
      <c r="L356" s="251"/>
      <c r="M356" s="289"/>
    </row>
    <row r="357" spans="1:13" ht="14.25" customHeight="1" x14ac:dyDescent="0.25">
      <c r="A357" s="289"/>
      <c r="D357" s="251"/>
      <c r="E357" s="251"/>
      <c r="F357" s="251"/>
      <c r="G357" s="251"/>
      <c r="H357" s="251"/>
      <c r="I357" s="251"/>
      <c r="J357" s="289"/>
      <c r="L357" s="251"/>
      <c r="M357" s="289"/>
    </row>
    <row r="358" spans="1:13" ht="14.25" customHeight="1" x14ac:dyDescent="0.25">
      <c r="A358" s="289"/>
      <c r="D358" s="251"/>
      <c r="E358" s="251"/>
      <c r="F358" s="251"/>
      <c r="G358" s="251"/>
      <c r="H358" s="251"/>
      <c r="I358" s="251"/>
      <c r="J358" s="289"/>
      <c r="L358" s="251"/>
      <c r="M358" s="289"/>
    </row>
    <row r="359" spans="1:13" ht="14.25" customHeight="1" x14ac:dyDescent="0.25">
      <c r="A359" s="289"/>
      <c r="D359" s="251"/>
      <c r="E359" s="251"/>
      <c r="F359" s="251"/>
      <c r="G359" s="251"/>
      <c r="H359" s="251"/>
      <c r="I359" s="251"/>
      <c r="J359" s="289"/>
      <c r="L359" s="251"/>
      <c r="M359" s="289"/>
    </row>
    <row r="360" spans="1:13" ht="14.25" customHeight="1" x14ac:dyDescent="0.25">
      <c r="A360" s="289"/>
      <c r="D360" s="251"/>
      <c r="E360" s="251"/>
      <c r="F360" s="251"/>
      <c r="G360" s="251"/>
      <c r="H360" s="251"/>
      <c r="I360" s="251"/>
      <c r="J360" s="289"/>
      <c r="L360" s="251"/>
      <c r="M360" s="289"/>
    </row>
    <row r="361" spans="1:13" ht="14.25" customHeight="1" x14ac:dyDescent="0.25">
      <c r="A361" s="289"/>
      <c r="D361" s="251"/>
      <c r="E361" s="251"/>
      <c r="F361" s="251"/>
      <c r="G361" s="251"/>
      <c r="H361" s="251"/>
      <c r="I361" s="251"/>
      <c r="J361" s="289"/>
      <c r="L361" s="251"/>
      <c r="M361" s="289"/>
    </row>
    <row r="362" spans="1:13" ht="14.25" customHeight="1" x14ac:dyDescent="0.25">
      <c r="A362" s="289"/>
      <c r="D362" s="251"/>
      <c r="E362" s="251"/>
      <c r="F362" s="251"/>
      <c r="G362" s="251"/>
      <c r="H362" s="251"/>
      <c r="I362" s="251"/>
      <c r="J362" s="289"/>
      <c r="L362" s="251"/>
      <c r="M362" s="289"/>
    </row>
    <row r="363" spans="1:13" ht="14.25" customHeight="1" x14ac:dyDescent="0.25">
      <c r="A363" s="289"/>
      <c r="D363" s="251"/>
      <c r="E363" s="251"/>
      <c r="F363" s="251"/>
      <c r="G363" s="251"/>
      <c r="H363" s="251"/>
      <c r="I363" s="251"/>
      <c r="J363" s="289"/>
      <c r="L363" s="251"/>
      <c r="M363" s="289"/>
    </row>
    <row r="364" spans="1:13" ht="14.25" customHeight="1" x14ac:dyDescent="0.25">
      <c r="A364" s="289"/>
      <c r="D364" s="251"/>
      <c r="E364" s="251"/>
      <c r="F364" s="251"/>
      <c r="G364" s="251"/>
      <c r="H364" s="251"/>
      <c r="I364" s="251"/>
      <c r="J364" s="289"/>
      <c r="L364" s="251"/>
      <c r="M364" s="289"/>
    </row>
    <row r="365" spans="1:13" ht="14.25" customHeight="1" x14ac:dyDescent="0.25">
      <c r="A365" s="289"/>
      <c r="D365" s="251"/>
      <c r="E365" s="251"/>
      <c r="F365" s="251"/>
      <c r="G365" s="251"/>
      <c r="H365" s="251"/>
      <c r="I365" s="251"/>
      <c r="J365" s="289"/>
      <c r="L365" s="251"/>
      <c r="M365" s="289"/>
    </row>
    <row r="366" spans="1:13" ht="14.25" customHeight="1" x14ac:dyDescent="0.25">
      <c r="A366" s="289"/>
      <c r="D366" s="251"/>
      <c r="E366" s="251"/>
      <c r="F366" s="251"/>
      <c r="G366" s="251"/>
      <c r="H366" s="251"/>
      <c r="I366" s="251"/>
      <c r="J366" s="289"/>
      <c r="L366" s="251"/>
      <c r="M366" s="289"/>
    </row>
    <row r="367" spans="1:13" ht="14.25" customHeight="1" x14ac:dyDescent="0.25">
      <c r="A367" s="289"/>
      <c r="D367" s="251"/>
      <c r="E367" s="251"/>
      <c r="F367" s="251"/>
      <c r="G367" s="251"/>
      <c r="H367" s="251"/>
      <c r="I367" s="251"/>
      <c r="J367" s="289"/>
      <c r="L367" s="251"/>
      <c r="M367" s="289"/>
    </row>
    <row r="368" spans="1:13" ht="14.25" customHeight="1" x14ac:dyDescent="0.25">
      <c r="A368" s="289"/>
      <c r="D368" s="251"/>
      <c r="E368" s="251"/>
      <c r="F368" s="251"/>
      <c r="G368" s="251"/>
      <c r="H368" s="251"/>
      <c r="I368" s="251"/>
      <c r="J368" s="289"/>
      <c r="L368" s="251"/>
      <c r="M368" s="289"/>
    </row>
    <row r="369" spans="1:13" ht="14.25" customHeight="1" x14ac:dyDescent="0.25">
      <c r="A369" s="289"/>
      <c r="D369" s="251"/>
      <c r="E369" s="251"/>
      <c r="F369" s="251"/>
      <c r="G369" s="251"/>
      <c r="H369" s="251"/>
      <c r="I369" s="251"/>
      <c r="J369" s="289"/>
      <c r="L369" s="251"/>
      <c r="M369" s="289"/>
    </row>
    <row r="370" spans="1:13" ht="14.25" customHeight="1" x14ac:dyDescent="0.25">
      <c r="A370" s="289"/>
      <c r="D370" s="251"/>
      <c r="E370" s="251"/>
      <c r="F370" s="251"/>
      <c r="G370" s="251"/>
      <c r="H370" s="251"/>
      <c r="I370" s="251"/>
      <c r="J370" s="289"/>
      <c r="L370" s="251"/>
      <c r="M370" s="289"/>
    </row>
    <row r="371" spans="1:13" ht="14.25" customHeight="1" x14ac:dyDescent="0.25">
      <c r="A371" s="289"/>
      <c r="D371" s="251"/>
      <c r="E371" s="251"/>
      <c r="F371" s="251"/>
      <c r="G371" s="251"/>
      <c r="H371" s="251"/>
      <c r="I371" s="251"/>
      <c r="J371" s="289"/>
      <c r="L371" s="251"/>
      <c r="M371" s="289"/>
    </row>
    <row r="372" spans="1:13" ht="14.25" customHeight="1" x14ac:dyDescent="0.25">
      <c r="A372" s="289"/>
      <c r="D372" s="251"/>
      <c r="E372" s="251"/>
      <c r="F372" s="251"/>
      <c r="G372" s="251"/>
      <c r="H372" s="251"/>
      <c r="I372" s="251"/>
      <c r="J372" s="289"/>
      <c r="L372" s="251"/>
      <c r="M372" s="289"/>
    </row>
    <row r="373" spans="1:13" ht="14.25" customHeight="1" x14ac:dyDescent="0.25">
      <c r="A373" s="289"/>
      <c r="D373" s="251"/>
      <c r="E373" s="251"/>
      <c r="F373" s="251"/>
      <c r="G373" s="251"/>
      <c r="H373" s="251"/>
      <c r="I373" s="251"/>
      <c r="J373" s="289"/>
      <c r="L373" s="251"/>
      <c r="M373" s="289"/>
    </row>
    <row r="374" spans="1:13" ht="14.25" customHeight="1" x14ac:dyDescent="0.25">
      <c r="A374" s="289"/>
      <c r="D374" s="251"/>
      <c r="E374" s="251"/>
      <c r="F374" s="251"/>
      <c r="G374" s="251"/>
      <c r="H374" s="251"/>
      <c r="I374" s="251"/>
      <c r="J374" s="289"/>
      <c r="L374" s="251"/>
      <c r="M374" s="289"/>
    </row>
    <row r="375" spans="1:13" ht="14.25" customHeight="1" x14ac:dyDescent="0.25">
      <c r="A375" s="289"/>
      <c r="D375" s="251"/>
      <c r="E375" s="251"/>
      <c r="F375" s="251"/>
      <c r="G375" s="251"/>
      <c r="H375" s="251"/>
      <c r="I375" s="251"/>
      <c r="J375" s="289"/>
      <c r="L375" s="251"/>
      <c r="M375" s="289"/>
    </row>
    <row r="376" spans="1:13" ht="14.25" customHeight="1" x14ac:dyDescent="0.25">
      <c r="A376" s="289"/>
      <c r="D376" s="251"/>
      <c r="E376" s="251"/>
      <c r="F376" s="251"/>
      <c r="G376" s="251"/>
      <c r="H376" s="251"/>
      <c r="I376" s="251"/>
      <c r="J376" s="289"/>
      <c r="L376" s="251"/>
      <c r="M376" s="289"/>
    </row>
    <row r="377" spans="1:13" ht="14.25" customHeight="1" x14ac:dyDescent="0.25">
      <c r="A377" s="289"/>
      <c r="D377" s="251"/>
      <c r="E377" s="251"/>
      <c r="F377" s="251"/>
      <c r="G377" s="251"/>
      <c r="H377" s="251"/>
      <c r="I377" s="251"/>
      <c r="J377" s="289"/>
      <c r="L377" s="251"/>
      <c r="M377" s="289"/>
    </row>
    <row r="378" spans="1:13" ht="14.25" customHeight="1" x14ac:dyDescent="0.25">
      <c r="A378" s="289"/>
      <c r="D378" s="251"/>
      <c r="E378" s="251"/>
      <c r="F378" s="251"/>
      <c r="G378" s="251"/>
      <c r="H378" s="251"/>
      <c r="I378" s="251"/>
      <c r="J378" s="289"/>
      <c r="L378" s="251"/>
      <c r="M378" s="289"/>
    </row>
    <row r="379" spans="1:13" ht="14.25" customHeight="1" x14ac:dyDescent="0.25">
      <c r="A379" s="289"/>
      <c r="D379" s="251"/>
      <c r="E379" s="251"/>
      <c r="F379" s="251"/>
      <c r="G379" s="251"/>
      <c r="H379" s="251"/>
      <c r="I379" s="251"/>
      <c r="J379" s="289"/>
      <c r="L379" s="251"/>
      <c r="M379" s="289"/>
    </row>
    <row r="380" spans="1:13" ht="14.25" customHeight="1" x14ac:dyDescent="0.25">
      <c r="A380" s="289"/>
      <c r="D380" s="251"/>
      <c r="E380" s="251"/>
      <c r="F380" s="251"/>
      <c r="G380" s="251"/>
      <c r="H380" s="251"/>
      <c r="I380" s="251"/>
      <c r="J380" s="289"/>
      <c r="L380" s="251"/>
      <c r="M380" s="289"/>
    </row>
    <row r="381" spans="1:13" ht="14.25" customHeight="1" x14ac:dyDescent="0.25">
      <c r="A381" s="289"/>
      <c r="D381" s="251"/>
      <c r="E381" s="251"/>
      <c r="F381" s="251"/>
      <c r="G381" s="251"/>
      <c r="H381" s="251"/>
      <c r="I381" s="251"/>
      <c r="J381" s="289"/>
      <c r="L381" s="251"/>
      <c r="M381" s="289"/>
    </row>
    <row r="382" spans="1:13" ht="14.25" customHeight="1" x14ac:dyDescent="0.25">
      <c r="A382" s="289"/>
      <c r="D382" s="251"/>
      <c r="E382" s="251"/>
      <c r="F382" s="251"/>
      <c r="G382" s="251"/>
      <c r="H382" s="251"/>
      <c r="I382" s="251"/>
      <c r="J382" s="289"/>
      <c r="L382" s="251"/>
      <c r="M382" s="289"/>
    </row>
    <row r="383" spans="1:13" ht="14.25" customHeight="1" x14ac:dyDescent="0.25">
      <c r="A383" s="289"/>
      <c r="D383" s="251"/>
      <c r="E383" s="251"/>
      <c r="F383" s="251"/>
      <c r="G383" s="251"/>
      <c r="H383" s="251"/>
      <c r="I383" s="251"/>
      <c r="J383" s="289"/>
      <c r="L383" s="251"/>
      <c r="M383" s="289"/>
    </row>
    <row r="384" spans="1:13" ht="14.25" customHeight="1" x14ac:dyDescent="0.25">
      <c r="A384" s="289"/>
      <c r="D384" s="251"/>
      <c r="E384" s="251"/>
      <c r="F384" s="251"/>
      <c r="G384" s="251"/>
      <c r="H384" s="251"/>
      <c r="I384" s="251"/>
      <c r="J384" s="289"/>
      <c r="L384" s="251"/>
      <c r="M384" s="289"/>
    </row>
    <row r="385" spans="1:13" ht="14.25" customHeight="1" x14ac:dyDescent="0.25">
      <c r="A385" s="289"/>
      <c r="D385" s="251"/>
      <c r="E385" s="251"/>
      <c r="F385" s="251"/>
      <c r="G385" s="251"/>
      <c r="H385" s="251"/>
      <c r="I385" s="251"/>
      <c r="J385" s="289"/>
      <c r="L385" s="251"/>
      <c r="M385" s="289"/>
    </row>
    <row r="386" spans="1:13" ht="14.25" customHeight="1" x14ac:dyDescent="0.25">
      <c r="A386" s="289"/>
      <c r="D386" s="251"/>
      <c r="E386" s="251"/>
      <c r="F386" s="251"/>
      <c r="G386" s="251"/>
      <c r="H386" s="251"/>
      <c r="I386" s="251"/>
      <c r="J386" s="289"/>
      <c r="L386" s="251"/>
      <c r="M386" s="289"/>
    </row>
    <row r="387" spans="1:13" ht="14.25" customHeight="1" x14ac:dyDescent="0.25">
      <c r="A387" s="289"/>
      <c r="D387" s="251"/>
      <c r="E387" s="251"/>
      <c r="F387" s="251"/>
      <c r="G387" s="251"/>
      <c r="H387" s="251"/>
      <c r="I387" s="251"/>
      <c r="J387" s="289"/>
      <c r="L387" s="251"/>
      <c r="M387" s="289"/>
    </row>
    <row r="388" spans="1:13" ht="14.25" customHeight="1" x14ac:dyDescent="0.25">
      <c r="A388" s="289"/>
      <c r="D388" s="251"/>
      <c r="E388" s="251"/>
      <c r="F388" s="251"/>
      <c r="G388" s="251"/>
      <c r="H388" s="251"/>
      <c r="I388" s="251"/>
      <c r="J388" s="289"/>
      <c r="L388" s="251"/>
      <c r="M388" s="289"/>
    </row>
    <row r="389" spans="1:13" ht="14.25" customHeight="1" x14ac:dyDescent="0.25">
      <c r="A389" s="289"/>
      <c r="D389" s="251"/>
      <c r="E389" s="251"/>
      <c r="F389" s="251"/>
      <c r="G389" s="251"/>
      <c r="H389" s="251"/>
      <c r="I389" s="251"/>
      <c r="J389" s="289"/>
      <c r="L389" s="251"/>
      <c r="M389" s="289"/>
    </row>
    <row r="390" spans="1:13" ht="14.25" customHeight="1" x14ac:dyDescent="0.25">
      <c r="A390" s="289"/>
      <c r="D390" s="251"/>
      <c r="E390" s="251"/>
      <c r="F390" s="251"/>
      <c r="G390" s="251"/>
      <c r="H390" s="251"/>
      <c r="I390" s="251"/>
      <c r="J390" s="289"/>
      <c r="L390" s="251"/>
      <c r="M390" s="289"/>
    </row>
    <row r="391" spans="1:13" ht="14.25" customHeight="1" x14ac:dyDescent="0.25">
      <c r="A391" s="289"/>
      <c r="D391" s="251"/>
      <c r="E391" s="251"/>
      <c r="F391" s="251"/>
      <c r="G391" s="251"/>
      <c r="H391" s="251"/>
      <c r="I391" s="251"/>
      <c r="J391" s="289"/>
      <c r="L391" s="251"/>
      <c r="M391" s="289"/>
    </row>
    <row r="392" spans="1:13" ht="14.25" customHeight="1" x14ac:dyDescent="0.25">
      <c r="A392" s="289"/>
      <c r="D392" s="251"/>
      <c r="E392" s="251"/>
      <c r="F392" s="251"/>
      <c r="G392" s="251"/>
      <c r="H392" s="251"/>
      <c r="I392" s="251"/>
      <c r="J392" s="289"/>
      <c r="L392" s="251"/>
      <c r="M392" s="289"/>
    </row>
    <row r="393" spans="1:13" ht="14.25" customHeight="1" x14ac:dyDescent="0.25">
      <c r="A393" s="289"/>
      <c r="D393" s="251"/>
      <c r="E393" s="251"/>
      <c r="F393" s="251"/>
      <c r="G393" s="251"/>
      <c r="H393" s="251"/>
      <c r="I393" s="251"/>
      <c r="J393" s="289"/>
      <c r="L393" s="251"/>
      <c r="M393" s="289"/>
    </row>
    <row r="394" spans="1:13" ht="14.25" customHeight="1" x14ac:dyDescent="0.25">
      <c r="A394" s="289"/>
      <c r="D394" s="251"/>
      <c r="E394" s="251"/>
      <c r="F394" s="251"/>
      <c r="G394" s="251"/>
      <c r="H394" s="251"/>
      <c r="I394" s="251"/>
      <c r="J394" s="289"/>
      <c r="L394" s="251"/>
      <c r="M394" s="289"/>
    </row>
    <row r="395" spans="1:13" ht="14.25" customHeight="1" x14ac:dyDescent="0.25">
      <c r="A395" s="289"/>
      <c r="D395" s="251"/>
      <c r="E395" s="251"/>
      <c r="F395" s="251"/>
      <c r="G395" s="251"/>
      <c r="H395" s="251"/>
      <c r="I395" s="251"/>
      <c r="J395" s="289"/>
      <c r="L395" s="251"/>
      <c r="M395" s="289"/>
    </row>
    <row r="396" spans="1:13" ht="14.25" customHeight="1" x14ac:dyDescent="0.25">
      <c r="A396" s="289"/>
      <c r="D396" s="251"/>
      <c r="E396" s="251"/>
      <c r="F396" s="251"/>
      <c r="G396" s="251"/>
      <c r="H396" s="251"/>
      <c r="I396" s="251"/>
      <c r="J396" s="289"/>
      <c r="L396" s="251"/>
      <c r="M396" s="289"/>
    </row>
    <row r="397" spans="1:13" ht="14.25" customHeight="1" x14ac:dyDescent="0.25">
      <c r="A397" s="289"/>
      <c r="D397" s="251"/>
      <c r="E397" s="251"/>
      <c r="F397" s="251"/>
      <c r="G397" s="251"/>
      <c r="H397" s="251"/>
      <c r="I397" s="251"/>
      <c r="J397" s="289"/>
      <c r="L397" s="251"/>
      <c r="M397" s="289"/>
    </row>
    <row r="398" spans="1:13" ht="14.25" customHeight="1" x14ac:dyDescent="0.25">
      <c r="A398" s="289"/>
      <c r="D398" s="251"/>
      <c r="E398" s="251"/>
      <c r="F398" s="251"/>
      <c r="G398" s="251"/>
      <c r="H398" s="251"/>
      <c r="I398" s="251"/>
      <c r="J398" s="289"/>
      <c r="L398" s="251"/>
      <c r="M398" s="289"/>
    </row>
    <row r="399" spans="1:13" ht="14.25" customHeight="1" x14ac:dyDescent="0.25">
      <c r="A399" s="289"/>
      <c r="D399" s="251"/>
      <c r="E399" s="251"/>
      <c r="F399" s="251"/>
      <c r="G399" s="251"/>
      <c r="H399" s="251"/>
      <c r="I399" s="251"/>
      <c r="J399" s="289"/>
      <c r="L399" s="251"/>
      <c r="M399" s="289"/>
    </row>
    <row r="400" spans="1:13" ht="14.25" customHeight="1" x14ac:dyDescent="0.25">
      <c r="A400" s="289"/>
      <c r="D400" s="251"/>
      <c r="E400" s="251"/>
      <c r="F400" s="251"/>
      <c r="G400" s="251"/>
      <c r="H400" s="251"/>
      <c r="I400" s="251"/>
      <c r="J400" s="289"/>
      <c r="L400" s="251"/>
      <c r="M400" s="289"/>
    </row>
    <row r="401" spans="1:13" ht="14.25" customHeight="1" x14ac:dyDescent="0.25">
      <c r="A401" s="289"/>
      <c r="D401" s="251"/>
      <c r="E401" s="251"/>
      <c r="F401" s="251"/>
      <c r="G401" s="251"/>
      <c r="H401" s="251"/>
      <c r="I401" s="251"/>
      <c r="J401" s="289"/>
      <c r="L401" s="251"/>
      <c r="M401" s="289"/>
    </row>
    <row r="402" spans="1:13" ht="14.25" customHeight="1" x14ac:dyDescent="0.25">
      <c r="A402" s="289"/>
      <c r="D402" s="251"/>
      <c r="E402" s="251"/>
      <c r="F402" s="251"/>
      <c r="G402" s="251"/>
      <c r="H402" s="251"/>
      <c r="I402" s="251"/>
      <c r="J402" s="289"/>
      <c r="L402" s="251"/>
      <c r="M402" s="289"/>
    </row>
    <row r="403" spans="1:13" ht="14.25" customHeight="1" x14ac:dyDescent="0.25">
      <c r="A403" s="289"/>
      <c r="D403" s="251"/>
      <c r="E403" s="251"/>
      <c r="F403" s="251"/>
      <c r="G403" s="251"/>
      <c r="H403" s="251"/>
      <c r="I403" s="251"/>
      <c r="J403" s="289"/>
      <c r="L403" s="251"/>
      <c r="M403" s="289"/>
    </row>
    <row r="404" spans="1:13" ht="14.25" customHeight="1" x14ac:dyDescent="0.25">
      <c r="A404" s="289"/>
      <c r="D404" s="251"/>
      <c r="E404" s="251"/>
      <c r="F404" s="251"/>
      <c r="G404" s="251"/>
      <c r="H404" s="251"/>
      <c r="I404" s="251"/>
      <c r="J404" s="289"/>
      <c r="L404" s="251"/>
      <c r="M404" s="289"/>
    </row>
    <row r="405" spans="1:13" ht="14.25" customHeight="1" x14ac:dyDescent="0.25">
      <c r="A405" s="289"/>
      <c r="D405" s="251"/>
      <c r="E405" s="251"/>
      <c r="F405" s="251"/>
      <c r="G405" s="251"/>
      <c r="H405" s="251"/>
      <c r="I405" s="251"/>
      <c r="J405" s="289"/>
      <c r="L405" s="251"/>
      <c r="M405" s="289"/>
    </row>
    <row r="406" spans="1:13" ht="14.25" customHeight="1" x14ac:dyDescent="0.25">
      <c r="A406" s="289"/>
      <c r="D406" s="251"/>
      <c r="E406" s="251"/>
      <c r="F406" s="251"/>
      <c r="G406" s="251"/>
      <c r="H406" s="251"/>
      <c r="I406" s="251"/>
      <c r="J406" s="289"/>
      <c r="L406" s="251"/>
      <c r="M406" s="289"/>
    </row>
    <row r="407" spans="1:13" ht="14.25" customHeight="1" x14ac:dyDescent="0.25">
      <c r="A407" s="289"/>
      <c r="D407" s="251"/>
      <c r="E407" s="251"/>
      <c r="F407" s="251"/>
      <c r="G407" s="251"/>
      <c r="H407" s="251"/>
      <c r="I407" s="251"/>
      <c r="J407" s="289"/>
      <c r="L407" s="251"/>
      <c r="M407" s="289"/>
    </row>
    <row r="408" spans="1:13" ht="14.25" customHeight="1" x14ac:dyDescent="0.25">
      <c r="A408" s="289"/>
      <c r="D408" s="251"/>
      <c r="E408" s="251"/>
      <c r="F408" s="251"/>
      <c r="G408" s="251"/>
      <c r="H408" s="251"/>
      <c r="I408" s="251"/>
      <c r="J408" s="289"/>
      <c r="L408" s="251"/>
      <c r="M408" s="289"/>
    </row>
    <row r="409" spans="1:13" ht="14.25" customHeight="1" x14ac:dyDescent="0.25">
      <c r="A409" s="289"/>
      <c r="D409" s="251"/>
      <c r="E409" s="251"/>
      <c r="F409" s="251"/>
      <c r="G409" s="251"/>
      <c r="H409" s="251"/>
      <c r="I409" s="251"/>
      <c r="J409" s="289"/>
      <c r="L409" s="251"/>
      <c r="M409" s="289"/>
    </row>
    <row r="410" spans="1:13" ht="14.25" customHeight="1" x14ac:dyDescent="0.25">
      <c r="A410" s="289"/>
      <c r="D410" s="251"/>
      <c r="E410" s="251"/>
      <c r="F410" s="251"/>
      <c r="G410" s="251"/>
      <c r="H410" s="251"/>
      <c r="I410" s="251"/>
      <c r="J410" s="289"/>
      <c r="L410" s="251"/>
      <c r="M410" s="289"/>
    </row>
    <row r="411" spans="1:13" ht="14.25" customHeight="1" x14ac:dyDescent="0.25">
      <c r="A411" s="289"/>
      <c r="D411" s="251"/>
      <c r="E411" s="251"/>
      <c r="F411" s="251"/>
      <c r="G411" s="251"/>
      <c r="H411" s="251"/>
      <c r="I411" s="251"/>
      <c r="J411" s="289"/>
      <c r="L411" s="251"/>
      <c r="M411" s="289"/>
    </row>
    <row r="412" spans="1:13" ht="14.25" customHeight="1" x14ac:dyDescent="0.25">
      <c r="A412" s="289"/>
      <c r="D412" s="251"/>
      <c r="E412" s="251"/>
      <c r="F412" s="251"/>
      <c r="G412" s="251"/>
      <c r="H412" s="251"/>
      <c r="I412" s="251"/>
      <c r="J412" s="289"/>
      <c r="L412" s="251"/>
      <c r="M412" s="289"/>
    </row>
    <row r="413" spans="1:13" ht="14.25" customHeight="1" x14ac:dyDescent="0.25">
      <c r="A413" s="289"/>
      <c r="D413" s="251"/>
      <c r="E413" s="251"/>
      <c r="F413" s="251"/>
      <c r="G413" s="251"/>
      <c r="H413" s="251"/>
      <c r="I413" s="251"/>
      <c r="J413" s="289"/>
      <c r="L413" s="251"/>
      <c r="M413" s="289"/>
    </row>
    <row r="414" spans="1:13" ht="14.25" customHeight="1" x14ac:dyDescent="0.25">
      <c r="A414" s="289"/>
      <c r="D414" s="251"/>
      <c r="E414" s="251"/>
      <c r="F414" s="251"/>
      <c r="G414" s="251"/>
      <c r="H414" s="251"/>
      <c r="I414" s="251"/>
      <c r="J414" s="289"/>
      <c r="L414" s="251"/>
      <c r="M414" s="289"/>
    </row>
    <row r="415" spans="1:13" ht="14.25" customHeight="1" x14ac:dyDescent="0.25">
      <c r="A415" s="289"/>
      <c r="D415" s="251"/>
      <c r="E415" s="251"/>
      <c r="F415" s="251"/>
      <c r="G415" s="251"/>
      <c r="H415" s="251"/>
      <c r="I415" s="251"/>
      <c r="J415" s="289"/>
      <c r="L415" s="251"/>
      <c r="M415" s="289"/>
    </row>
    <row r="416" spans="1:13" ht="14.25" customHeight="1" x14ac:dyDescent="0.25">
      <c r="A416" s="289"/>
      <c r="D416" s="251"/>
      <c r="E416" s="251"/>
      <c r="F416" s="251"/>
      <c r="G416" s="251"/>
      <c r="H416" s="251"/>
      <c r="I416" s="251"/>
      <c r="J416" s="289"/>
      <c r="L416" s="251"/>
      <c r="M416" s="289"/>
    </row>
    <row r="417" spans="1:13" ht="14.25" customHeight="1" x14ac:dyDescent="0.25">
      <c r="A417" s="289"/>
      <c r="D417" s="251"/>
      <c r="E417" s="251"/>
      <c r="F417" s="251"/>
      <c r="G417" s="251"/>
      <c r="H417" s="251"/>
      <c r="I417" s="251"/>
      <c r="J417" s="289"/>
      <c r="L417" s="251"/>
      <c r="M417" s="289"/>
    </row>
    <row r="418" spans="1:13" ht="14.25" customHeight="1" x14ac:dyDescent="0.25">
      <c r="A418" s="289"/>
      <c r="D418" s="251"/>
      <c r="E418" s="251"/>
      <c r="F418" s="251"/>
      <c r="G418" s="251"/>
      <c r="H418" s="251"/>
      <c r="I418" s="251"/>
      <c r="J418" s="289"/>
      <c r="L418" s="251"/>
      <c r="M418" s="289"/>
    </row>
    <row r="419" spans="1:13" ht="14.25" customHeight="1" x14ac:dyDescent="0.25">
      <c r="A419" s="289"/>
      <c r="D419" s="251"/>
      <c r="E419" s="251"/>
      <c r="F419" s="251"/>
      <c r="G419" s="251"/>
      <c r="H419" s="251"/>
      <c r="I419" s="251"/>
      <c r="J419" s="289"/>
      <c r="L419" s="251"/>
      <c r="M419" s="289"/>
    </row>
    <row r="420" spans="1:13" ht="14.25" customHeight="1" x14ac:dyDescent="0.25">
      <c r="A420" s="289"/>
      <c r="D420" s="251"/>
      <c r="E420" s="251"/>
      <c r="F420" s="251"/>
      <c r="G420" s="251"/>
      <c r="H420" s="251"/>
      <c r="I420" s="251"/>
      <c r="J420" s="289"/>
      <c r="L420" s="251"/>
      <c r="M420" s="289"/>
    </row>
    <row r="421" spans="1:13" ht="14.25" customHeight="1" x14ac:dyDescent="0.25">
      <c r="A421" s="289"/>
      <c r="D421" s="251"/>
      <c r="E421" s="251"/>
      <c r="F421" s="251"/>
      <c r="G421" s="251"/>
      <c r="H421" s="251"/>
      <c r="I421" s="251"/>
      <c r="J421" s="289"/>
      <c r="L421" s="251"/>
      <c r="M421" s="289"/>
    </row>
    <row r="422" spans="1:13" ht="14.25" customHeight="1" x14ac:dyDescent="0.25">
      <c r="A422" s="289"/>
      <c r="D422" s="251"/>
      <c r="E422" s="251"/>
      <c r="F422" s="251"/>
      <c r="G422" s="251"/>
      <c r="H422" s="251"/>
      <c r="I422" s="251"/>
      <c r="J422" s="289"/>
      <c r="L422" s="251"/>
      <c r="M422" s="289"/>
    </row>
    <row r="423" spans="1:13" ht="14.25" customHeight="1" x14ac:dyDescent="0.25">
      <c r="A423" s="289"/>
      <c r="D423" s="251"/>
      <c r="E423" s="251"/>
      <c r="F423" s="251"/>
      <c r="G423" s="251"/>
      <c r="H423" s="251"/>
      <c r="I423" s="251"/>
      <c r="J423" s="289"/>
      <c r="L423" s="251"/>
      <c r="M423" s="289"/>
    </row>
    <row r="424" spans="1:13" ht="14.25" customHeight="1" x14ac:dyDescent="0.25">
      <c r="A424" s="289"/>
      <c r="D424" s="251"/>
      <c r="E424" s="251"/>
      <c r="F424" s="251"/>
      <c r="G424" s="251"/>
      <c r="H424" s="251"/>
      <c r="I424" s="251"/>
      <c r="J424" s="289"/>
      <c r="L424" s="251"/>
      <c r="M424" s="289"/>
    </row>
    <row r="425" spans="1:13" ht="14.25" customHeight="1" x14ac:dyDescent="0.25">
      <c r="A425" s="289"/>
      <c r="D425" s="251"/>
      <c r="E425" s="251"/>
      <c r="F425" s="251"/>
      <c r="G425" s="251"/>
      <c r="H425" s="251"/>
      <c r="I425" s="251"/>
      <c r="J425" s="289"/>
      <c r="L425" s="251"/>
      <c r="M425" s="289"/>
    </row>
    <row r="426" spans="1:13" ht="14.25" customHeight="1" x14ac:dyDescent="0.25">
      <c r="A426" s="289"/>
      <c r="D426" s="251"/>
      <c r="E426" s="251"/>
      <c r="F426" s="251"/>
      <c r="G426" s="251"/>
      <c r="H426" s="251"/>
      <c r="I426" s="251"/>
      <c r="J426" s="289"/>
      <c r="L426" s="251"/>
      <c r="M426" s="289"/>
    </row>
    <row r="427" spans="1:13" ht="14.25" customHeight="1" x14ac:dyDescent="0.25">
      <c r="A427" s="289"/>
      <c r="D427" s="251"/>
      <c r="E427" s="251"/>
      <c r="F427" s="251"/>
      <c r="G427" s="251"/>
      <c r="H427" s="251"/>
      <c r="I427" s="251"/>
      <c r="J427" s="289"/>
      <c r="L427" s="251"/>
      <c r="M427" s="289"/>
    </row>
    <row r="428" spans="1:13" ht="14.25" customHeight="1" x14ac:dyDescent="0.25">
      <c r="A428" s="289"/>
      <c r="D428" s="251"/>
      <c r="E428" s="251"/>
      <c r="F428" s="251"/>
      <c r="G428" s="251"/>
      <c r="H428" s="251"/>
      <c r="I428" s="251"/>
      <c r="J428" s="289"/>
      <c r="L428" s="251"/>
      <c r="M428" s="289"/>
    </row>
    <row r="429" spans="1:13" ht="14.25" customHeight="1" x14ac:dyDescent="0.25">
      <c r="A429" s="289"/>
      <c r="D429" s="251"/>
      <c r="E429" s="251"/>
      <c r="F429" s="251"/>
      <c r="G429" s="251"/>
      <c r="H429" s="251"/>
      <c r="I429" s="251"/>
      <c r="J429" s="289"/>
      <c r="L429" s="251"/>
      <c r="M429" s="289"/>
    </row>
    <row r="430" spans="1:13" ht="14.25" customHeight="1" x14ac:dyDescent="0.25">
      <c r="A430" s="289"/>
      <c r="D430" s="251"/>
      <c r="E430" s="251"/>
      <c r="F430" s="251"/>
      <c r="G430" s="251"/>
      <c r="H430" s="251"/>
      <c r="I430" s="251"/>
      <c r="J430" s="289"/>
      <c r="L430" s="251"/>
      <c r="M430" s="289"/>
    </row>
    <row r="431" spans="1:13" ht="14.25" customHeight="1" x14ac:dyDescent="0.25">
      <c r="A431" s="289"/>
      <c r="D431" s="251"/>
      <c r="E431" s="251"/>
      <c r="F431" s="251"/>
      <c r="G431" s="251"/>
      <c r="H431" s="251"/>
      <c r="I431" s="251"/>
      <c r="J431" s="289"/>
      <c r="L431" s="251"/>
      <c r="M431" s="289"/>
    </row>
    <row r="432" spans="1:13" ht="14.25" customHeight="1" x14ac:dyDescent="0.25">
      <c r="A432" s="289"/>
      <c r="D432" s="251"/>
      <c r="E432" s="251"/>
      <c r="F432" s="251"/>
      <c r="G432" s="251"/>
      <c r="H432" s="251"/>
      <c r="I432" s="251"/>
      <c r="J432" s="289"/>
      <c r="L432" s="251"/>
      <c r="M432" s="289"/>
    </row>
    <row r="433" spans="1:13" ht="14.25" customHeight="1" x14ac:dyDescent="0.25">
      <c r="A433" s="289"/>
      <c r="D433" s="251"/>
      <c r="E433" s="251"/>
      <c r="F433" s="251"/>
      <c r="G433" s="251"/>
      <c r="H433" s="251"/>
      <c r="I433" s="251"/>
      <c r="J433" s="289"/>
      <c r="L433" s="251"/>
      <c r="M433" s="289"/>
    </row>
    <row r="434" spans="1:13" ht="14.25" customHeight="1" x14ac:dyDescent="0.25">
      <c r="A434" s="289"/>
      <c r="D434" s="251"/>
      <c r="E434" s="251"/>
      <c r="F434" s="251"/>
      <c r="G434" s="251"/>
      <c r="H434" s="251"/>
      <c r="I434" s="251"/>
      <c r="J434" s="289"/>
      <c r="L434" s="251"/>
      <c r="M434" s="289"/>
    </row>
    <row r="435" spans="1:13" ht="14.25" customHeight="1" x14ac:dyDescent="0.25">
      <c r="A435" s="289"/>
      <c r="D435" s="251"/>
      <c r="E435" s="251"/>
      <c r="F435" s="251"/>
      <c r="G435" s="251"/>
      <c r="H435" s="251"/>
      <c r="I435" s="251"/>
      <c r="J435" s="289"/>
      <c r="L435" s="251"/>
      <c r="M435" s="289"/>
    </row>
    <row r="436" spans="1:13" ht="14.25" customHeight="1" x14ac:dyDescent="0.25">
      <c r="A436" s="289"/>
      <c r="D436" s="251"/>
      <c r="E436" s="251"/>
      <c r="F436" s="251"/>
      <c r="G436" s="251"/>
      <c r="H436" s="251"/>
      <c r="I436" s="251"/>
      <c r="J436" s="289"/>
      <c r="L436" s="251"/>
      <c r="M436" s="289"/>
    </row>
    <row r="437" spans="1:13" ht="14.25" customHeight="1" x14ac:dyDescent="0.25">
      <c r="A437" s="289"/>
      <c r="D437" s="251"/>
      <c r="E437" s="251"/>
      <c r="F437" s="251"/>
      <c r="G437" s="251"/>
      <c r="H437" s="251"/>
      <c r="I437" s="251"/>
      <c r="J437" s="289"/>
      <c r="L437" s="251"/>
      <c r="M437" s="289"/>
    </row>
    <row r="438" spans="1:13" ht="14.25" customHeight="1" x14ac:dyDescent="0.25">
      <c r="A438" s="289"/>
      <c r="D438" s="251"/>
      <c r="E438" s="251"/>
      <c r="F438" s="251"/>
      <c r="G438" s="251"/>
      <c r="H438" s="251"/>
      <c r="I438" s="251"/>
      <c r="J438" s="289"/>
      <c r="L438" s="251"/>
      <c r="M438" s="289"/>
    </row>
    <row r="439" spans="1:13" ht="14.25" customHeight="1" x14ac:dyDescent="0.25">
      <c r="A439" s="289"/>
      <c r="D439" s="251"/>
      <c r="E439" s="251"/>
      <c r="F439" s="251"/>
      <c r="G439" s="251"/>
      <c r="H439" s="251"/>
      <c r="I439" s="251"/>
      <c r="J439" s="289"/>
      <c r="L439" s="251"/>
      <c r="M439" s="289"/>
    </row>
    <row r="440" spans="1:13" ht="14.25" customHeight="1" x14ac:dyDescent="0.25">
      <c r="A440" s="289"/>
      <c r="D440" s="251"/>
      <c r="E440" s="251"/>
      <c r="F440" s="251"/>
      <c r="G440" s="251"/>
      <c r="H440" s="251"/>
      <c r="I440" s="251"/>
      <c r="J440" s="289"/>
      <c r="L440" s="251"/>
      <c r="M440" s="289"/>
    </row>
    <row r="441" spans="1:13" ht="14.25" customHeight="1" x14ac:dyDescent="0.25">
      <c r="A441" s="289"/>
      <c r="D441" s="251"/>
      <c r="E441" s="251"/>
      <c r="F441" s="251"/>
      <c r="G441" s="251"/>
      <c r="H441" s="251"/>
      <c r="I441" s="251"/>
      <c r="J441" s="289"/>
      <c r="L441" s="251"/>
      <c r="M441" s="289"/>
    </row>
    <row r="442" spans="1:13" ht="14.25" customHeight="1" x14ac:dyDescent="0.25">
      <c r="A442" s="289"/>
      <c r="D442" s="251"/>
      <c r="E442" s="251"/>
      <c r="F442" s="251"/>
      <c r="G442" s="251"/>
      <c r="H442" s="251"/>
      <c r="I442" s="251"/>
      <c r="J442" s="289"/>
      <c r="L442" s="251"/>
      <c r="M442" s="289"/>
    </row>
    <row r="443" spans="1:13" ht="14.25" customHeight="1" x14ac:dyDescent="0.25">
      <c r="A443" s="289"/>
      <c r="D443" s="251"/>
      <c r="E443" s="251"/>
      <c r="F443" s="251"/>
      <c r="G443" s="251"/>
      <c r="H443" s="251"/>
      <c r="I443" s="251"/>
      <c r="J443" s="289"/>
      <c r="L443" s="251"/>
      <c r="M443" s="289"/>
    </row>
    <row r="444" spans="1:13" ht="14.25" customHeight="1" x14ac:dyDescent="0.25">
      <c r="A444" s="289"/>
      <c r="D444" s="251"/>
      <c r="E444" s="251"/>
      <c r="F444" s="251"/>
      <c r="G444" s="251"/>
      <c r="H444" s="251"/>
      <c r="I444" s="251"/>
      <c r="J444" s="289"/>
      <c r="L444" s="251"/>
      <c r="M444" s="289"/>
    </row>
    <row r="445" spans="1:13" ht="14.25" customHeight="1" x14ac:dyDescent="0.25">
      <c r="A445" s="289"/>
      <c r="D445" s="251"/>
      <c r="E445" s="251"/>
      <c r="F445" s="251"/>
      <c r="G445" s="251"/>
      <c r="H445" s="251"/>
      <c r="I445" s="251"/>
      <c r="J445" s="289"/>
      <c r="L445" s="251"/>
      <c r="M445" s="289"/>
    </row>
    <row r="446" spans="1:13" ht="14.25" customHeight="1" x14ac:dyDescent="0.25">
      <c r="A446" s="289"/>
      <c r="D446" s="251"/>
      <c r="E446" s="251"/>
      <c r="F446" s="251"/>
      <c r="G446" s="251"/>
      <c r="H446" s="251"/>
      <c r="I446" s="251"/>
      <c r="J446" s="289"/>
      <c r="L446" s="251"/>
      <c r="M446" s="289"/>
    </row>
    <row r="447" spans="1:13" ht="14.25" customHeight="1" x14ac:dyDescent="0.25">
      <c r="A447" s="289"/>
      <c r="D447" s="251"/>
      <c r="E447" s="251"/>
      <c r="F447" s="251"/>
      <c r="G447" s="251"/>
      <c r="H447" s="251"/>
      <c r="I447" s="251"/>
      <c r="J447" s="289"/>
      <c r="L447" s="251"/>
      <c r="M447" s="289"/>
    </row>
    <row r="448" spans="1:13" ht="14.25" customHeight="1" x14ac:dyDescent="0.25">
      <c r="A448" s="289"/>
      <c r="D448" s="251"/>
      <c r="E448" s="251"/>
      <c r="F448" s="251"/>
      <c r="G448" s="251"/>
      <c r="H448" s="251"/>
      <c r="I448" s="251"/>
      <c r="J448" s="289"/>
      <c r="L448" s="251"/>
      <c r="M448" s="289"/>
    </row>
    <row r="449" spans="1:13" ht="14.25" customHeight="1" x14ac:dyDescent="0.25">
      <c r="A449" s="289"/>
      <c r="D449" s="251"/>
      <c r="E449" s="251"/>
      <c r="F449" s="251"/>
      <c r="G449" s="251"/>
      <c r="H449" s="251"/>
      <c r="I449" s="251"/>
      <c r="J449" s="289"/>
      <c r="L449" s="251"/>
      <c r="M449" s="289"/>
    </row>
    <row r="450" spans="1:13" ht="14.25" customHeight="1" x14ac:dyDescent="0.25">
      <c r="A450" s="289"/>
      <c r="D450" s="251"/>
      <c r="E450" s="251"/>
      <c r="F450" s="251"/>
      <c r="G450" s="251"/>
      <c r="H450" s="251"/>
      <c r="I450" s="251"/>
      <c r="J450" s="289"/>
      <c r="L450" s="251"/>
      <c r="M450" s="289"/>
    </row>
    <row r="451" spans="1:13" ht="14.25" customHeight="1" x14ac:dyDescent="0.25">
      <c r="A451" s="289"/>
      <c r="D451" s="251"/>
      <c r="E451" s="251"/>
      <c r="F451" s="251"/>
      <c r="G451" s="251"/>
      <c r="H451" s="251"/>
      <c r="I451" s="251"/>
      <c r="J451" s="289"/>
      <c r="L451" s="251"/>
      <c r="M451" s="289"/>
    </row>
    <row r="452" spans="1:13" ht="14.25" customHeight="1" x14ac:dyDescent="0.25">
      <c r="A452" s="289"/>
      <c r="D452" s="251"/>
      <c r="E452" s="251"/>
      <c r="F452" s="251"/>
      <c r="G452" s="251"/>
      <c r="H452" s="251"/>
      <c r="I452" s="251"/>
      <c r="J452" s="289"/>
      <c r="L452" s="251"/>
      <c r="M452" s="289"/>
    </row>
    <row r="453" spans="1:13" ht="14.25" customHeight="1" x14ac:dyDescent="0.25">
      <c r="A453" s="289"/>
      <c r="D453" s="251"/>
      <c r="E453" s="251"/>
      <c r="F453" s="251"/>
      <c r="G453" s="251"/>
      <c r="H453" s="251"/>
      <c r="I453" s="251"/>
      <c r="J453" s="289"/>
      <c r="L453" s="251"/>
      <c r="M453" s="289"/>
    </row>
    <row r="454" spans="1:13" ht="14.25" customHeight="1" x14ac:dyDescent="0.25">
      <c r="A454" s="289"/>
      <c r="D454" s="251"/>
      <c r="E454" s="251"/>
      <c r="F454" s="251"/>
      <c r="G454" s="251"/>
      <c r="H454" s="251"/>
      <c r="I454" s="251"/>
      <c r="J454" s="289"/>
      <c r="L454" s="251"/>
      <c r="M454" s="289"/>
    </row>
    <row r="455" spans="1:13" ht="14.25" customHeight="1" x14ac:dyDescent="0.25">
      <c r="A455" s="289"/>
      <c r="D455" s="251"/>
      <c r="E455" s="251"/>
      <c r="F455" s="251"/>
      <c r="G455" s="251"/>
      <c r="H455" s="251"/>
      <c r="I455" s="251"/>
      <c r="J455" s="289"/>
      <c r="L455" s="251"/>
      <c r="M455" s="289"/>
    </row>
    <row r="456" spans="1:13" ht="14.25" customHeight="1" x14ac:dyDescent="0.25">
      <c r="A456" s="289"/>
      <c r="D456" s="251"/>
      <c r="E456" s="251"/>
      <c r="F456" s="251"/>
      <c r="G456" s="251"/>
      <c r="H456" s="251"/>
      <c r="I456" s="251"/>
      <c r="J456" s="289"/>
      <c r="L456" s="251"/>
      <c r="M456" s="289"/>
    </row>
    <row r="457" spans="1:13" ht="14.25" customHeight="1" x14ac:dyDescent="0.25">
      <c r="A457" s="289"/>
      <c r="D457" s="251"/>
      <c r="E457" s="251"/>
      <c r="F457" s="251"/>
      <c r="G457" s="251"/>
      <c r="H457" s="251"/>
      <c r="I457" s="251"/>
      <c r="J457" s="289"/>
      <c r="L457" s="251"/>
      <c r="M457" s="289"/>
    </row>
    <row r="458" spans="1:13" ht="14.25" customHeight="1" x14ac:dyDescent="0.25">
      <c r="A458" s="289"/>
      <c r="D458" s="251"/>
      <c r="E458" s="251"/>
      <c r="F458" s="251"/>
      <c r="G458" s="251"/>
      <c r="H458" s="251"/>
      <c r="I458" s="251"/>
      <c r="J458" s="289"/>
      <c r="L458" s="251"/>
      <c r="M458" s="289"/>
    </row>
    <row r="459" spans="1:13" ht="14.25" customHeight="1" x14ac:dyDescent="0.25">
      <c r="A459" s="289"/>
      <c r="D459" s="251"/>
      <c r="E459" s="251"/>
      <c r="F459" s="251"/>
      <c r="G459" s="251"/>
      <c r="H459" s="251"/>
      <c r="I459" s="251"/>
      <c r="J459" s="289"/>
      <c r="L459" s="251"/>
      <c r="M459" s="289"/>
    </row>
    <row r="460" spans="1:13" ht="14.25" customHeight="1" x14ac:dyDescent="0.25">
      <c r="A460" s="289"/>
      <c r="D460" s="251"/>
      <c r="E460" s="251"/>
      <c r="F460" s="251"/>
      <c r="G460" s="251"/>
      <c r="H460" s="251"/>
      <c r="I460" s="251"/>
      <c r="J460" s="289"/>
      <c r="L460" s="251"/>
      <c r="M460" s="289"/>
    </row>
    <row r="461" spans="1:13" ht="14.25" customHeight="1" x14ac:dyDescent="0.25">
      <c r="A461" s="289"/>
      <c r="D461" s="251"/>
      <c r="E461" s="251"/>
      <c r="F461" s="251"/>
      <c r="G461" s="251"/>
      <c r="H461" s="251"/>
      <c r="I461" s="251"/>
      <c r="J461" s="289"/>
      <c r="L461" s="251"/>
      <c r="M461" s="289"/>
    </row>
    <row r="462" spans="1:13" ht="14.25" customHeight="1" x14ac:dyDescent="0.25">
      <c r="A462" s="289"/>
      <c r="D462" s="251"/>
      <c r="E462" s="251"/>
      <c r="F462" s="251"/>
      <c r="G462" s="251"/>
      <c r="H462" s="251"/>
      <c r="I462" s="251"/>
      <c r="J462" s="289"/>
      <c r="L462" s="251"/>
      <c r="M462" s="289"/>
    </row>
    <row r="463" spans="1:13" ht="14.25" customHeight="1" x14ac:dyDescent="0.25">
      <c r="A463" s="289"/>
      <c r="D463" s="251"/>
      <c r="E463" s="251"/>
      <c r="F463" s="251"/>
      <c r="G463" s="251"/>
      <c r="H463" s="251"/>
      <c r="I463" s="251"/>
      <c r="J463" s="289"/>
      <c r="L463" s="251"/>
      <c r="M463" s="289"/>
    </row>
    <row r="464" spans="1:13" ht="14.25" customHeight="1" x14ac:dyDescent="0.25">
      <c r="A464" s="289"/>
      <c r="D464" s="251"/>
      <c r="E464" s="251"/>
      <c r="F464" s="251"/>
      <c r="G464" s="251"/>
      <c r="H464" s="251"/>
      <c r="I464" s="251"/>
      <c r="J464" s="289"/>
      <c r="L464" s="251"/>
      <c r="M464" s="289"/>
    </row>
    <row r="465" spans="1:13" ht="14.25" customHeight="1" x14ac:dyDescent="0.25">
      <c r="A465" s="289"/>
      <c r="D465" s="251"/>
      <c r="E465" s="251"/>
      <c r="F465" s="251"/>
      <c r="G465" s="251"/>
      <c r="H465" s="251"/>
      <c r="I465" s="251"/>
      <c r="J465" s="289"/>
      <c r="L465" s="251"/>
      <c r="M465" s="289"/>
    </row>
    <row r="466" spans="1:13" ht="14.25" customHeight="1" x14ac:dyDescent="0.25">
      <c r="A466" s="289"/>
      <c r="D466" s="251"/>
      <c r="E466" s="251"/>
      <c r="F466" s="251"/>
      <c r="G466" s="251"/>
      <c r="H466" s="251"/>
      <c r="I466" s="251"/>
      <c r="J466" s="289"/>
      <c r="L466" s="251"/>
      <c r="M466" s="289"/>
    </row>
    <row r="467" spans="1:13" ht="14.25" customHeight="1" x14ac:dyDescent="0.25">
      <c r="A467" s="289"/>
      <c r="D467" s="251"/>
      <c r="E467" s="251"/>
      <c r="F467" s="251"/>
      <c r="G467" s="251"/>
      <c r="H467" s="251"/>
      <c r="I467" s="251"/>
      <c r="J467" s="289"/>
      <c r="L467" s="251"/>
      <c r="M467" s="289"/>
    </row>
    <row r="468" spans="1:13" ht="14.25" customHeight="1" x14ac:dyDescent="0.25">
      <c r="A468" s="289"/>
      <c r="D468" s="251"/>
      <c r="E468" s="251"/>
      <c r="F468" s="251"/>
      <c r="G468" s="251"/>
      <c r="H468" s="251"/>
      <c r="I468" s="251"/>
      <c r="J468" s="289"/>
      <c r="L468" s="251"/>
      <c r="M468" s="289"/>
    </row>
    <row r="469" spans="1:13" ht="14.25" customHeight="1" x14ac:dyDescent="0.25">
      <c r="A469" s="289"/>
      <c r="D469" s="251"/>
      <c r="E469" s="251"/>
      <c r="F469" s="251"/>
      <c r="G469" s="251"/>
      <c r="H469" s="251"/>
      <c r="I469" s="251"/>
      <c r="J469" s="289"/>
      <c r="L469" s="251"/>
      <c r="M469" s="289"/>
    </row>
    <row r="470" spans="1:13" ht="14.25" customHeight="1" x14ac:dyDescent="0.25">
      <c r="A470" s="289"/>
      <c r="D470" s="251"/>
      <c r="E470" s="251"/>
      <c r="F470" s="251"/>
      <c r="G470" s="251"/>
      <c r="H470" s="251"/>
      <c r="I470" s="251"/>
      <c r="J470" s="289"/>
      <c r="L470" s="251"/>
      <c r="M470" s="289"/>
    </row>
    <row r="471" spans="1:13" ht="14.25" customHeight="1" x14ac:dyDescent="0.25">
      <c r="A471" s="289"/>
      <c r="D471" s="251"/>
      <c r="E471" s="251"/>
      <c r="F471" s="251"/>
      <c r="G471" s="251"/>
      <c r="H471" s="251"/>
      <c r="I471" s="251"/>
      <c r="J471" s="289"/>
      <c r="L471" s="251"/>
      <c r="M471" s="289"/>
    </row>
    <row r="472" spans="1:13" ht="14.25" customHeight="1" x14ac:dyDescent="0.25">
      <c r="A472" s="289"/>
      <c r="D472" s="251"/>
      <c r="E472" s="251"/>
      <c r="F472" s="251"/>
      <c r="G472" s="251"/>
      <c r="H472" s="251"/>
      <c r="I472" s="251"/>
      <c r="J472" s="289"/>
      <c r="L472" s="251"/>
      <c r="M472" s="289"/>
    </row>
    <row r="473" spans="1:13" ht="14.25" customHeight="1" x14ac:dyDescent="0.25">
      <c r="A473" s="289"/>
      <c r="D473" s="251"/>
      <c r="E473" s="251"/>
      <c r="F473" s="251"/>
      <c r="G473" s="251"/>
      <c r="H473" s="251"/>
      <c r="I473" s="251"/>
      <c r="J473" s="289"/>
      <c r="L473" s="251"/>
      <c r="M473" s="289"/>
    </row>
    <row r="474" spans="1:13" ht="14.25" customHeight="1" x14ac:dyDescent="0.25">
      <c r="A474" s="289"/>
      <c r="D474" s="251"/>
      <c r="E474" s="251"/>
      <c r="F474" s="251"/>
      <c r="G474" s="251"/>
      <c r="H474" s="251"/>
      <c r="I474" s="251"/>
      <c r="J474" s="289"/>
      <c r="L474" s="251"/>
      <c r="M474" s="289"/>
    </row>
    <row r="475" spans="1:13" ht="14.25" customHeight="1" x14ac:dyDescent="0.25">
      <c r="A475" s="289"/>
      <c r="D475" s="251"/>
      <c r="E475" s="251"/>
      <c r="F475" s="251"/>
      <c r="G475" s="251"/>
      <c r="H475" s="251"/>
      <c r="I475" s="251"/>
      <c r="J475" s="289"/>
      <c r="L475" s="251"/>
      <c r="M475" s="289"/>
    </row>
    <row r="476" spans="1:13" ht="14.25" customHeight="1" x14ac:dyDescent="0.25">
      <c r="A476" s="289"/>
      <c r="D476" s="251"/>
      <c r="E476" s="251"/>
      <c r="F476" s="251"/>
      <c r="G476" s="251"/>
      <c r="H476" s="251"/>
      <c r="I476" s="251"/>
      <c r="J476" s="289"/>
      <c r="L476" s="251"/>
      <c r="M476" s="289"/>
    </row>
    <row r="477" spans="1:13" ht="14.25" customHeight="1" x14ac:dyDescent="0.25">
      <c r="A477" s="289"/>
      <c r="D477" s="251"/>
      <c r="E477" s="251"/>
      <c r="F477" s="251"/>
      <c r="G477" s="251"/>
      <c r="H477" s="251"/>
      <c r="I477" s="251"/>
      <c r="J477" s="289"/>
      <c r="L477" s="251"/>
      <c r="M477" s="289"/>
    </row>
    <row r="478" spans="1:13" ht="14.25" customHeight="1" x14ac:dyDescent="0.25">
      <c r="A478" s="289"/>
      <c r="D478" s="251"/>
      <c r="E478" s="251"/>
      <c r="F478" s="251"/>
      <c r="G478" s="251"/>
      <c r="H478" s="251"/>
      <c r="I478" s="251"/>
      <c r="J478" s="289"/>
      <c r="L478" s="251"/>
      <c r="M478" s="289"/>
    </row>
    <row r="479" spans="1:13" ht="14.25" customHeight="1" x14ac:dyDescent="0.25">
      <c r="A479" s="289"/>
      <c r="D479" s="251"/>
      <c r="E479" s="251"/>
      <c r="F479" s="251"/>
      <c r="G479" s="251"/>
      <c r="H479" s="251"/>
      <c r="I479" s="251"/>
      <c r="J479" s="289"/>
      <c r="L479" s="251"/>
      <c r="M479" s="289"/>
    </row>
    <row r="480" spans="1:13" ht="14.25" customHeight="1" x14ac:dyDescent="0.25">
      <c r="A480" s="289"/>
      <c r="D480" s="251"/>
      <c r="E480" s="251"/>
      <c r="F480" s="251"/>
      <c r="G480" s="251"/>
      <c r="H480" s="251"/>
      <c r="I480" s="251"/>
      <c r="J480" s="289"/>
      <c r="L480" s="251"/>
      <c r="M480" s="289"/>
    </row>
    <row r="481" spans="1:13" ht="14.25" customHeight="1" x14ac:dyDescent="0.25">
      <c r="A481" s="289"/>
      <c r="D481" s="251"/>
      <c r="E481" s="251"/>
      <c r="F481" s="251"/>
      <c r="G481" s="251"/>
      <c r="H481" s="251"/>
      <c r="I481" s="251"/>
      <c r="J481" s="289"/>
      <c r="L481" s="251"/>
      <c r="M481" s="289"/>
    </row>
    <row r="482" spans="1:13" ht="14.25" customHeight="1" x14ac:dyDescent="0.25">
      <c r="A482" s="289"/>
      <c r="D482" s="251"/>
      <c r="E482" s="251"/>
      <c r="F482" s="251"/>
      <c r="G482" s="251"/>
      <c r="H482" s="251"/>
      <c r="I482" s="251"/>
      <c r="J482" s="289"/>
      <c r="L482" s="251"/>
      <c r="M482" s="289"/>
    </row>
    <row r="483" spans="1:13" ht="14.25" customHeight="1" x14ac:dyDescent="0.25">
      <c r="A483" s="289"/>
      <c r="D483" s="251"/>
      <c r="E483" s="251"/>
      <c r="F483" s="251"/>
      <c r="G483" s="251"/>
      <c r="H483" s="251"/>
      <c r="I483" s="251"/>
      <c r="J483" s="289"/>
      <c r="L483" s="251"/>
      <c r="M483" s="289"/>
    </row>
    <row r="484" spans="1:13" ht="14.25" customHeight="1" x14ac:dyDescent="0.25">
      <c r="A484" s="289"/>
      <c r="D484" s="251"/>
      <c r="E484" s="251"/>
      <c r="F484" s="251"/>
      <c r="G484" s="251"/>
      <c r="H484" s="251"/>
      <c r="I484" s="251"/>
      <c r="J484" s="289"/>
      <c r="L484" s="251"/>
      <c r="M484" s="289"/>
    </row>
    <row r="485" spans="1:13" ht="14.25" customHeight="1" x14ac:dyDescent="0.25">
      <c r="A485" s="289"/>
      <c r="D485" s="251"/>
      <c r="E485" s="251"/>
      <c r="F485" s="251"/>
      <c r="G485" s="251"/>
      <c r="H485" s="251"/>
      <c r="I485" s="251"/>
      <c r="J485" s="289"/>
      <c r="L485" s="251"/>
      <c r="M485" s="289"/>
    </row>
    <row r="486" spans="1:13" ht="14.25" customHeight="1" x14ac:dyDescent="0.25">
      <c r="A486" s="289"/>
      <c r="D486" s="251"/>
      <c r="E486" s="251"/>
      <c r="F486" s="251"/>
      <c r="G486" s="251"/>
      <c r="H486" s="251"/>
      <c r="I486" s="251"/>
      <c r="J486" s="289"/>
      <c r="L486" s="251"/>
      <c r="M486" s="289"/>
    </row>
    <row r="487" spans="1:13" ht="14.25" customHeight="1" x14ac:dyDescent="0.25">
      <c r="A487" s="289"/>
      <c r="D487" s="251"/>
      <c r="E487" s="251"/>
      <c r="F487" s="251"/>
      <c r="G487" s="251"/>
      <c r="H487" s="251"/>
      <c r="I487" s="251"/>
      <c r="J487" s="289"/>
      <c r="L487" s="251"/>
      <c r="M487" s="289"/>
    </row>
    <row r="488" spans="1:13" ht="14.25" customHeight="1" x14ac:dyDescent="0.25">
      <c r="A488" s="289"/>
      <c r="D488" s="251"/>
      <c r="E488" s="251"/>
      <c r="F488" s="251"/>
      <c r="G488" s="251"/>
      <c r="H488" s="251"/>
      <c r="I488" s="251"/>
      <c r="J488" s="289"/>
      <c r="L488" s="251"/>
      <c r="M488" s="289"/>
    </row>
    <row r="489" spans="1:13" ht="14.25" customHeight="1" x14ac:dyDescent="0.25">
      <c r="A489" s="289"/>
      <c r="D489" s="251"/>
      <c r="E489" s="251"/>
      <c r="F489" s="251"/>
      <c r="G489" s="251"/>
      <c r="H489" s="251"/>
      <c r="I489" s="251"/>
      <c r="J489" s="289"/>
      <c r="L489" s="251"/>
      <c r="M489" s="289"/>
    </row>
    <row r="490" spans="1:13" ht="14.25" customHeight="1" x14ac:dyDescent="0.25">
      <c r="A490" s="289"/>
      <c r="D490" s="251"/>
      <c r="E490" s="251"/>
      <c r="F490" s="251"/>
      <c r="G490" s="251"/>
      <c r="H490" s="251"/>
      <c r="I490" s="251"/>
      <c r="J490" s="289"/>
      <c r="L490" s="251"/>
      <c r="M490" s="289"/>
    </row>
    <row r="491" spans="1:13" ht="14.25" customHeight="1" x14ac:dyDescent="0.25">
      <c r="A491" s="289"/>
      <c r="D491" s="251"/>
      <c r="E491" s="251"/>
      <c r="F491" s="251"/>
      <c r="G491" s="251"/>
      <c r="H491" s="251"/>
      <c r="I491" s="251"/>
      <c r="J491" s="289"/>
      <c r="L491" s="251"/>
      <c r="M491" s="289"/>
    </row>
    <row r="492" spans="1:13" ht="14.25" customHeight="1" x14ac:dyDescent="0.25">
      <c r="A492" s="289"/>
      <c r="D492" s="251"/>
      <c r="E492" s="251"/>
      <c r="F492" s="251"/>
      <c r="G492" s="251"/>
      <c r="H492" s="251"/>
      <c r="I492" s="251"/>
      <c r="J492" s="289"/>
      <c r="L492" s="251"/>
      <c r="M492" s="289"/>
    </row>
    <row r="493" spans="1:13" ht="14.25" customHeight="1" x14ac:dyDescent="0.25">
      <c r="A493" s="289"/>
      <c r="D493" s="251"/>
      <c r="E493" s="251"/>
      <c r="F493" s="251"/>
      <c r="G493" s="251"/>
      <c r="H493" s="251"/>
      <c r="I493" s="251"/>
      <c r="J493" s="289"/>
      <c r="L493" s="251"/>
      <c r="M493" s="289"/>
    </row>
    <row r="494" spans="1:13" ht="14.25" customHeight="1" x14ac:dyDescent="0.25">
      <c r="A494" s="289"/>
      <c r="D494" s="251"/>
      <c r="E494" s="251"/>
      <c r="F494" s="251"/>
      <c r="G494" s="251"/>
      <c r="H494" s="251"/>
      <c r="I494" s="251"/>
      <c r="J494" s="289"/>
      <c r="L494" s="251"/>
      <c r="M494" s="289"/>
    </row>
    <row r="495" spans="1:13" ht="14.25" customHeight="1" x14ac:dyDescent="0.25">
      <c r="A495" s="289"/>
      <c r="D495" s="251"/>
      <c r="E495" s="251"/>
      <c r="F495" s="251"/>
      <c r="G495" s="251"/>
      <c r="H495" s="251"/>
      <c r="I495" s="251"/>
      <c r="J495" s="289"/>
      <c r="L495" s="251"/>
      <c r="M495" s="289"/>
    </row>
    <row r="496" spans="1:13" ht="14.25" customHeight="1" x14ac:dyDescent="0.25">
      <c r="A496" s="289"/>
      <c r="D496" s="251"/>
      <c r="E496" s="251"/>
      <c r="F496" s="251"/>
      <c r="G496" s="251"/>
      <c r="H496" s="251"/>
      <c r="I496" s="251"/>
      <c r="J496" s="289"/>
      <c r="L496" s="251"/>
      <c r="M496" s="289"/>
    </row>
    <row r="497" spans="1:13" ht="14.25" customHeight="1" x14ac:dyDescent="0.25">
      <c r="A497" s="289"/>
      <c r="D497" s="251"/>
      <c r="E497" s="251"/>
      <c r="F497" s="251"/>
      <c r="G497" s="251"/>
      <c r="H497" s="251"/>
      <c r="I497" s="251"/>
      <c r="J497" s="289"/>
      <c r="L497" s="251"/>
      <c r="M497" s="289"/>
    </row>
    <row r="498" spans="1:13" ht="14.25" customHeight="1" x14ac:dyDescent="0.25">
      <c r="A498" s="289"/>
      <c r="D498" s="251"/>
      <c r="E498" s="251"/>
      <c r="F498" s="251"/>
      <c r="G498" s="251"/>
      <c r="H498" s="251"/>
      <c r="I498" s="251"/>
      <c r="J498" s="289"/>
      <c r="L498" s="251"/>
      <c r="M498" s="289"/>
    </row>
    <row r="499" spans="1:13" ht="14.25" customHeight="1" x14ac:dyDescent="0.25">
      <c r="A499" s="289"/>
      <c r="D499" s="251"/>
      <c r="E499" s="251"/>
      <c r="F499" s="251"/>
      <c r="G499" s="251"/>
      <c r="H499" s="251"/>
      <c r="I499" s="251"/>
      <c r="J499" s="289"/>
      <c r="L499" s="251"/>
      <c r="M499" s="289"/>
    </row>
    <row r="500" spans="1:13" ht="14.25" customHeight="1" x14ac:dyDescent="0.25">
      <c r="A500" s="289"/>
      <c r="D500" s="251"/>
      <c r="E500" s="251"/>
      <c r="F500" s="251"/>
      <c r="G500" s="251"/>
      <c r="H500" s="251"/>
      <c r="I500" s="251"/>
      <c r="J500" s="289"/>
      <c r="L500" s="251"/>
      <c r="M500" s="289"/>
    </row>
    <row r="501" spans="1:13" ht="14.25" customHeight="1" x14ac:dyDescent="0.25">
      <c r="A501" s="289"/>
      <c r="D501" s="251"/>
      <c r="E501" s="251"/>
      <c r="F501" s="251"/>
      <c r="G501" s="251"/>
      <c r="H501" s="251"/>
      <c r="I501" s="251"/>
      <c r="J501" s="289"/>
      <c r="L501" s="251"/>
      <c r="M501" s="289"/>
    </row>
    <row r="502" spans="1:13" ht="14.25" customHeight="1" x14ac:dyDescent="0.25">
      <c r="A502" s="289"/>
      <c r="D502" s="251"/>
      <c r="E502" s="251"/>
      <c r="F502" s="251"/>
      <c r="G502" s="251"/>
      <c r="H502" s="251"/>
      <c r="I502" s="251"/>
      <c r="J502" s="289"/>
      <c r="L502" s="251"/>
      <c r="M502" s="289"/>
    </row>
    <row r="503" spans="1:13" ht="14.25" customHeight="1" x14ac:dyDescent="0.25">
      <c r="A503" s="289"/>
      <c r="D503" s="251"/>
      <c r="E503" s="251"/>
      <c r="F503" s="251"/>
      <c r="G503" s="251"/>
      <c r="H503" s="251"/>
      <c r="I503" s="251"/>
      <c r="J503" s="289"/>
      <c r="L503" s="251"/>
      <c r="M503" s="289"/>
    </row>
    <row r="504" spans="1:13" ht="14.25" customHeight="1" x14ac:dyDescent="0.25">
      <c r="A504" s="289"/>
      <c r="D504" s="251"/>
      <c r="E504" s="251"/>
      <c r="F504" s="251"/>
      <c r="G504" s="251"/>
      <c r="H504" s="251"/>
      <c r="I504" s="251"/>
      <c r="J504" s="289"/>
      <c r="L504" s="251"/>
      <c r="M504" s="289"/>
    </row>
    <row r="505" spans="1:13" ht="14.25" customHeight="1" x14ac:dyDescent="0.25">
      <c r="A505" s="289"/>
      <c r="D505" s="251"/>
      <c r="E505" s="251"/>
      <c r="F505" s="251"/>
      <c r="G505" s="251"/>
      <c r="H505" s="251"/>
      <c r="I505" s="251"/>
      <c r="J505" s="289"/>
      <c r="L505" s="251"/>
      <c r="M505" s="289"/>
    </row>
    <row r="506" spans="1:13" ht="14.25" customHeight="1" x14ac:dyDescent="0.25">
      <c r="A506" s="289"/>
      <c r="D506" s="251"/>
      <c r="E506" s="251"/>
      <c r="F506" s="251"/>
      <c r="G506" s="251"/>
      <c r="H506" s="251"/>
      <c r="I506" s="251"/>
      <c r="J506" s="289"/>
      <c r="L506" s="251"/>
      <c r="M506" s="289"/>
    </row>
    <row r="507" spans="1:13" ht="14.25" customHeight="1" x14ac:dyDescent="0.25">
      <c r="A507" s="289"/>
      <c r="D507" s="251"/>
      <c r="E507" s="251"/>
      <c r="F507" s="251"/>
      <c r="G507" s="251"/>
      <c r="H507" s="251"/>
      <c r="I507" s="251"/>
      <c r="J507" s="289"/>
      <c r="L507" s="251"/>
      <c r="M507" s="289"/>
    </row>
    <row r="508" spans="1:13" ht="14.25" customHeight="1" x14ac:dyDescent="0.25">
      <c r="A508" s="289"/>
      <c r="D508" s="251"/>
      <c r="E508" s="251"/>
      <c r="F508" s="251"/>
      <c r="G508" s="251"/>
      <c r="H508" s="251"/>
      <c r="I508" s="251"/>
      <c r="J508" s="289"/>
      <c r="L508" s="251"/>
      <c r="M508" s="289"/>
    </row>
    <row r="509" spans="1:13" ht="14.25" customHeight="1" x14ac:dyDescent="0.25">
      <c r="A509" s="289"/>
      <c r="D509" s="251"/>
      <c r="E509" s="251"/>
      <c r="F509" s="251"/>
      <c r="G509" s="251"/>
      <c r="H509" s="251"/>
      <c r="I509" s="251"/>
      <c r="J509" s="289"/>
      <c r="L509" s="251"/>
      <c r="M509" s="289"/>
    </row>
    <row r="510" spans="1:13" ht="14.25" customHeight="1" x14ac:dyDescent="0.25">
      <c r="A510" s="289"/>
      <c r="D510" s="251"/>
      <c r="E510" s="251"/>
      <c r="F510" s="251"/>
      <c r="G510" s="251"/>
      <c r="H510" s="251"/>
      <c r="I510" s="251"/>
      <c r="J510" s="289"/>
      <c r="L510" s="251"/>
      <c r="M510" s="289"/>
    </row>
    <row r="511" spans="1:13" ht="14.25" customHeight="1" x14ac:dyDescent="0.25">
      <c r="A511" s="289"/>
      <c r="D511" s="251"/>
      <c r="E511" s="251"/>
      <c r="F511" s="251"/>
      <c r="G511" s="251"/>
      <c r="H511" s="251"/>
      <c r="I511" s="251"/>
      <c r="J511" s="289"/>
      <c r="L511" s="251"/>
      <c r="M511" s="289"/>
    </row>
    <row r="512" spans="1:13" ht="14.25" customHeight="1" x14ac:dyDescent="0.25">
      <c r="A512" s="289"/>
      <c r="D512" s="251"/>
      <c r="E512" s="251"/>
      <c r="F512" s="251"/>
      <c r="G512" s="251"/>
      <c r="H512" s="251"/>
      <c r="I512" s="251"/>
      <c r="J512" s="289"/>
      <c r="L512" s="251"/>
      <c r="M512" s="289"/>
    </row>
    <row r="513" spans="1:13" ht="14.25" customHeight="1" x14ac:dyDescent="0.25">
      <c r="A513" s="289"/>
      <c r="D513" s="251"/>
      <c r="E513" s="251"/>
      <c r="F513" s="251"/>
      <c r="G513" s="251"/>
      <c r="H513" s="251"/>
      <c r="I513" s="251"/>
      <c r="J513" s="289"/>
      <c r="L513" s="251"/>
      <c r="M513" s="289"/>
    </row>
    <row r="514" spans="1:13" ht="14.25" customHeight="1" x14ac:dyDescent="0.25">
      <c r="A514" s="289"/>
      <c r="D514" s="251"/>
      <c r="E514" s="251"/>
      <c r="F514" s="251"/>
      <c r="G514" s="251"/>
      <c r="H514" s="251"/>
      <c r="I514" s="251"/>
      <c r="J514" s="289"/>
      <c r="L514" s="251"/>
      <c r="M514" s="289"/>
    </row>
    <row r="515" spans="1:13" ht="14.25" customHeight="1" x14ac:dyDescent="0.25">
      <c r="A515" s="289"/>
      <c r="D515" s="251"/>
      <c r="E515" s="251"/>
      <c r="F515" s="251"/>
      <c r="G515" s="251"/>
      <c r="H515" s="251"/>
      <c r="I515" s="251"/>
      <c r="J515" s="289"/>
      <c r="L515" s="251"/>
      <c r="M515" s="289"/>
    </row>
    <row r="516" spans="1:13" ht="14.25" customHeight="1" x14ac:dyDescent="0.25">
      <c r="A516" s="289"/>
      <c r="D516" s="251"/>
      <c r="E516" s="251"/>
      <c r="F516" s="251"/>
      <c r="G516" s="251"/>
      <c r="H516" s="251"/>
      <c r="I516" s="251"/>
      <c r="J516" s="289"/>
      <c r="L516" s="251"/>
      <c r="M516" s="289"/>
    </row>
    <row r="517" spans="1:13" ht="14.25" customHeight="1" x14ac:dyDescent="0.25">
      <c r="A517" s="289"/>
      <c r="D517" s="251"/>
      <c r="E517" s="251"/>
      <c r="F517" s="251"/>
      <c r="G517" s="251"/>
      <c r="H517" s="251"/>
      <c r="I517" s="251"/>
      <c r="J517" s="289"/>
      <c r="L517" s="251"/>
      <c r="M517" s="289"/>
    </row>
    <row r="518" spans="1:13" ht="14.25" customHeight="1" x14ac:dyDescent="0.25">
      <c r="A518" s="289"/>
      <c r="D518" s="251"/>
      <c r="E518" s="251"/>
      <c r="F518" s="251"/>
      <c r="G518" s="251"/>
      <c r="H518" s="251"/>
      <c r="I518" s="251"/>
      <c r="J518" s="289"/>
      <c r="L518" s="251"/>
      <c r="M518" s="289"/>
    </row>
    <row r="519" spans="1:13" ht="14.25" customHeight="1" x14ac:dyDescent="0.25">
      <c r="A519" s="289"/>
      <c r="D519" s="251"/>
      <c r="E519" s="251"/>
      <c r="F519" s="251"/>
      <c r="G519" s="251"/>
      <c r="H519" s="251"/>
      <c r="I519" s="251"/>
      <c r="J519" s="289"/>
      <c r="L519" s="251"/>
      <c r="M519" s="289"/>
    </row>
    <row r="520" spans="1:13" ht="14.25" customHeight="1" x14ac:dyDescent="0.25">
      <c r="A520" s="289"/>
      <c r="D520" s="251"/>
      <c r="E520" s="251"/>
      <c r="F520" s="251"/>
      <c r="G520" s="251"/>
      <c r="H520" s="251"/>
      <c r="I520" s="251"/>
      <c r="J520" s="289"/>
      <c r="L520" s="251"/>
      <c r="M520" s="289"/>
    </row>
    <row r="521" spans="1:13" ht="14.25" customHeight="1" x14ac:dyDescent="0.25">
      <c r="A521" s="289"/>
      <c r="D521" s="251"/>
      <c r="E521" s="251"/>
      <c r="F521" s="251"/>
      <c r="G521" s="251"/>
      <c r="H521" s="251"/>
      <c r="I521" s="251"/>
      <c r="J521" s="289"/>
      <c r="L521" s="251"/>
      <c r="M521" s="289"/>
    </row>
    <row r="522" spans="1:13" ht="14.25" customHeight="1" x14ac:dyDescent="0.25">
      <c r="A522" s="289"/>
      <c r="D522" s="251"/>
      <c r="E522" s="251"/>
      <c r="F522" s="251"/>
      <c r="G522" s="251"/>
      <c r="H522" s="251"/>
      <c r="I522" s="251"/>
      <c r="J522" s="289"/>
      <c r="L522" s="251"/>
      <c r="M522" s="289"/>
    </row>
    <row r="523" spans="1:13" ht="14.25" customHeight="1" x14ac:dyDescent="0.25">
      <c r="A523" s="289"/>
      <c r="D523" s="251"/>
      <c r="E523" s="251"/>
      <c r="F523" s="251"/>
      <c r="G523" s="251"/>
      <c r="H523" s="251"/>
      <c r="I523" s="251"/>
      <c r="J523" s="289"/>
      <c r="L523" s="251"/>
      <c r="M523" s="289"/>
    </row>
    <row r="524" spans="1:13" ht="14.25" customHeight="1" x14ac:dyDescent="0.25">
      <c r="A524" s="289"/>
      <c r="D524" s="251"/>
      <c r="E524" s="251"/>
      <c r="F524" s="251"/>
      <c r="G524" s="251"/>
      <c r="H524" s="251"/>
      <c r="I524" s="251"/>
      <c r="J524" s="289"/>
      <c r="L524" s="251"/>
      <c r="M524" s="289"/>
    </row>
    <row r="525" spans="1:13" ht="14.25" customHeight="1" x14ac:dyDescent="0.25">
      <c r="A525" s="289"/>
      <c r="D525" s="251"/>
      <c r="E525" s="251"/>
      <c r="F525" s="251"/>
      <c r="G525" s="251"/>
      <c r="H525" s="251"/>
      <c r="I525" s="251"/>
      <c r="J525" s="289"/>
      <c r="L525" s="251"/>
      <c r="M525" s="289"/>
    </row>
    <row r="526" spans="1:13" ht="14.25" customHeight="1" x14ac:dyDescent="0.25">
      <c r="A526" s="289"/>
      <c r="D526" s="251"/>
      <c r="E526" s="251"/>
      <c r="F526" s="251"/>
      <c r="G526" s="251"/>
      <c r="H526" s="251"/>
      <c r="I526" s="251"/>
      <c r="J526" s="289"/>
      <c r="L526" s="251"/>
      <c r="M526" s="289"/>
    </row>
    <row r="527" spans="1:13" ht="14.25" customHeight="1" x14ac:dyDescent="0.25">
      <c r="A527" s="289"/>
      <c r="D527" s="251"/>
      <c r="E527" s="251"/>
      <c r="F527" s="251"/>
      <c r="G527" s="251"/>
      <c r="H527" s="251"/>
      <c r="I527" s="251"/>
      <c r="J527" s="289"/>
      <c r="L527" s="251"/>
      <c r="M527" s="289"/>
    </row>
    <row r="528" spans="1:13" ht="14.25" customHeight="1" x14ac:dyDescent="0.25">
      <c r="A528" s="289"/>
      <c r="D528" s="251"/>
      <c r="E528" s="251"/>
      <c r="F528" s="251"/>
      <c r="G528" s="251"/>
      <c r="H528" s="251"/>
      <c r="I528" s="251"/>
      <c r="J528" s="289"/>
      <c r="L528" s="251"/>
      <c r="M528" s="289"/>
    </row>
    <row r="529" spans="1:13" ht="14.25" customHeight="1" x14ac:dyDescent="0.25">
      <c r="A529" s="289"/>
      <c r="D529" s="251"/>
      <c r="E529" s="251"/>
      <c r="F529" s="251"/>
      <c r="G529" s="251"/>
      <c r="H529" s="251"/>
      <c r="I529" s="251"/>
      <c r="J529" s="289"/>
      <c r="L529" s="251"/>
      <c r="M529" s="289"/>
    </row>
    <row r="530" spans="1:13" ht="14.25" customHeight="1" x14ac:dyDescent="0.25">
      <c r="A530" s="289"/>
      <c r="D530" s="251"/>
      <c r="E530" s="251"/>
      <c r="F530" s="251"/>
      <c r="G530" s="251"/>
      <c r="H530" s="251"/>
      <c r="I530" s="251"/>
      <c r="J530" s="289"/>
      <c r="L530" s="251"/>
      <c r="M530" s="289"/>
    </row>
    <row r="531" spans="1:13" ht="14.25" customHeight="1" x14ac:dyDescent="0.25">
      <c r="A531" s="289"/>
      <c r="D531" s="251"/>
      <c r="E531" s="251"/>
      <c r="F531" s="251"/>
      <c r="G531" s="251"/>
      <c r="H531" s="251"/>
      <c r="I531" s="251"/>
      <c r="J531" s="289"/>
      <c r="L531" s="251"/>
      <c r="M531" s="289"/>
    </row>
    <row r="532" spans="1:13" ht="14.25" customHeight="1" x14ac:dyDescent="0.25">
      <c r="A532" s="289"/>
      <c r="D532" s="251"/>
      <c r="E532" s="251"/>
      <c r="F532" s="251"/>
      <c r="G532" s="251"/>
      <c r="H532" s="251"/>
      <c r="I532" s="251"/>
      <c r="J532" s="289"/>
      <c r="L532" s="251"/>
      <c r="M532" s="289"/>
    </row>
    <row r="533" spans="1:13" ht="14.25" customHeight="1" x14ac:dyDescent="0.25">
      <c r="A533" s="289"/>
      <c r="D533" s="251"/>
      <c r="E533" s="251"/>
      <c r="F533" s="251"/>
      <c r="G533" s="251"/>
      <c r="H533" s="251"/>
      <c r="I533" s="251"/>
      <c r="J533" s="289"/>
      <c r="L533" s="251"/>
      <c r="M533" s="289"/>
    </row>
    <row r="534" spans="1:13" ht="14.25" customHeight="1" x14ac:dyDescent="0.25">
      <c r="A534" s="289"/>
      <c r="D534" s="251"/>
      <c r="E534" s="251"/>
      <c r="F534" s="251"/>
      <c r="G534" s="251"/>
      <c r="H534" s="251"/>
      <c r="I534" s="251"/>
      <c r="J534" s="289"/>
      <c r="L534" s="251"/>
      <c r="M534" s="289"/>
    </row>
    <row r="535" spans="1:13" ht="14.25" customHeight="1" x14ac:dyDescent="0.25">
      <c r="A535" s="289"/>
      <c r="D535" s="251"/>
      <c r="E535" s="251"/>
      <c r="F535" s="251"/>
      <c r="G535" s="251"/>
      <c r="H535" s="251"/>
      <c r="I535" s="251"/>
      <c r="J535" s="289"/>
      <c r="L535" s="251"/>
      <c r="M535" s="289"/>
    </row>
    <row r="536" spans="1:13" ht="14.25" customHeight="1" x14ac:dyDescent="0.25">
      <c r="A536" s="289"/>
      <c r="D536" s="251"/>
      <c r="E536" s="251"/>
      <c r="F536" s="251"/>
      <c r="G536" s="251"/>
      <c r="H536" s="251"/>
      <c r="I536" s="251"/>
      <c r="J536" s="289"/>
      <c r="L536" s="251"/>
      <c r="M536" s="289"/>
    </row>
    <row r="537" spans="1:13" ht="14.25" customHeight="1" x14ac:dyDescent="0.25">
      <c r="A537" s="289"/>
      <c r="D537" s="251"/>
      <c r="E537" s="251"/>
      <c r="F537" s="251"/>
      <c r="G537" s="251"/>
      <c r="H537" s="251"/>
      <c r="I537" s="251"/>
      <c r="J537" s="289"/>
      <c r="L537" s="251"/>
      <c r="M537" s="289"/>
    </row>
    <row r="538" spans="1:13" ht="14.25" customHeight="1" x14ac:dyDescent="0.25">
      <c r="A538" s="289"/>
      <c r="D538" s="251"/>
      <c r="E538" s="251"/>
      <c r="F538" s="251"/>
      <c r="G538" s="251"/>
      <c r="H538" s="251"/>
      <c r="I538" s="251"/>
      <c r="J538" s="289"/>
      <c r="L538" s="251"/>
      <c r="M538" s="289"/>
    </row>
    <row r="539" spans="1:13" ht="14.25" customHeight="1" x14ac:dyDescent="0.25">
      <c r="A539" s="289"/>
      <c r="D539" s="251"/>
      <c r="E539" s="251"/>
      <c r="F539" s="251"/>
      <c r="G539" s="251"/>
      <c r="H539" s="251"/>
      <c r="I539" s="251"/>
      <c r="J539" s="289"/>
      <c r="L539" s="251"/>
      <c r="M539" s="289"/>
    </row>
    <row r="540" spans="1:13" ht="14.25" customHeight="1" x14ac:dyDescent="0.25">
      <c r="A540" s="289"/>
      <c r="D540" s="251"/>
      <c r="E540" s="251"/>
      <c r="F540" s="251"/>
      <c r="G540" s="251"/>
      <c r="H540" s="251"/>
      <c r="I540" s="251"/>
      <c r="J540" s="289"/>
      <c r="L540" s="251"/>
      <c r="M540" s="289"/>
    </row>
    <row r="541" spans="1:13" ht="14.25" customHeight="1" x14ac:dyDescent="0.25">
      <c r="A541" s="289"/>
      <c r="D541" s="251"/>
      <c r="E541" s="251"/>
      <c r="F541" s="251"/>
      <c r="G541" s="251"/>
      <c r="H541" s="251"/>
      <c r="I541" s="251"/>
      <c r="J541" s="289"/>
      <c r="L541" s="251"/>
      <c r="M541" s="289"/>
    </row>
    <row r="542" spans="1:13" ht="14.25" customHeight="1" x14ac:dyDescent="0.25">
      <c r="A542" s="289"/>
      <c r="D542" s="251"/>
      <c r="E542" s="251"/>
      <c r="F542" s="251"/>
      <c r="G542" s="251"/>
      <c r="H542" s="251"/>
      <c r="I542" s="251"/>
      <c r="J542" s="289"/>
      <c r="L542" s="251"/>
      <c r="M542" s="289"/>
    </row>
    <row r="543" spans="1:13" ht="14.25" customHeight="1" x14ac:dyDescent="0.25">
      <c r="A543" s="289"/>
      <c r="D543" s="251"/>
      <c r="E543" s="251"/>
      <c r="F543" s="251"/>
      <c r="G543" s="251"/>
      <c r="H543" s="251"/>
      <c r="I543" s="251"/>
      <c r="J543" s="289"/>
      <c r="L543" s="251"/>
      <c r="M543" s="289"/>
    </row>
    <row r="544" spans="1:13" ht="14.25" customHeight="1" x14ac:dyDescent="0.25">
      <c r="A544" s="289"/>
      <c r="D544" s="251"/>
      <c r="E544" s="251"/>
      <c r="F544" s="251"/>
      <c r="G544" s="251"/>
      <c r="H544" s="251"/>
      <c r="I544" s="251"/>
      <c r="J544" s="289"/>
      <c r="L544" s="251"/>
      <c r="M544" s="289"/>
    </row>
    <row r="545" spans="1:13" ht="14.25" customHeight="1" x14ac:dyDescent="0.25">
      <c r="A545" s="289"/>
      <c r="D545" s="251"/>
      <c r="E545" s="251"/>
      <c r="F545" s="251"/>
      <c r="G545" s="251"/>
      <c r="H545" s="251"/>
      <c r="I545" s="251"/>
      <c r="J545" s="289"/>
      <c r="L545" s="251"/>
      <c r="M545" s="289"/>
    </row>
    <row r="546" spans="1:13" ht="14.25" customHeight="1" x14ac:dyDescent="0.25">
      <c r="A546" s="289"/>
      <c r="D546" s="251"/>
      <c r="E546" s="251"/>
      <c r="F546" s="251"/>
      <c r="G546" s="251"/>
      <c r="H546" s="251"/>
      <c r="I546" s="251"/>
      <c r="J546" s="289"/>
      <c r="L546" s="251"/>
      <c r="M546" s="289"/>
    </row>
    <row r="547" spans="1:13" ht="14.25" customHeight="1" x14ac:dyDescent="0.25">
      <c r="A547" s="289"/>
      <c r="D547" s="251"/>
      <c r="E547" s="251"/>
      <c r="F547" s="251"/>
      <c r="G547" s="251"/>
      <c r="H547" s="251"/>
      <c r="I547" s="251"/>
      <c r="J547" s="289"/>
      <c r="L547" s="251"/>
      <c r="M547" s="289"/>
    </row>
    <row r="548" spans="1:13" ht="14.25" customHeight="1" x14ac:dyDescent="0.25">
      <c r="A548" s="289"/>
      <c r="D548" s="251"/>
      <c r="E548" s="251"/>
      <c r="F548" s="251"/>
      <c r="G548" s="251"/>
      <c r="H548" s="251"/>
      <c r="I548" s="251"/>
      <c r="J548" s="289"/>
      <c r="L548" s="251"/>
      <c r="M548" s="289"/>
    </row>
    <row r="549" spans="1:13" ht="14.25" customHeight="1" x14ac:dyDescent="0.25">
      <c r="A549" s="289"/>
      <c r="D549" s="251"/>
      <c r="E549" s="251"/>
      <c r="F549" s="251"/>
      <c r="G549" s="251"/>
      <c r="H549" s="251"/>
      <c r="I549" s="251"/>
      <c r="J549" s="289"/>
      <c r="L549" s="251"/>
      <c r="M549" s="289"/>
    </row>
    <row r="550" spans="1:13" ht="14.25" customHeight="1" x14ac:dyDescent="0.25">
      <c r="A550" s="289"/>
      <c r="D550" s="251"/>
      <c r="E550" s="251"/>
      <c r="F550" s="251"/>
      <c r="G550" s="251"/>
      <c r="H550" s="251"/>
      <c r="I550" s="251"/>
      <c r="J550" s="289"/>
      <c r="L550" s="251"/>
      <c r="M550" s="289"/>
    </row>
    <row r="551" spans="1:13" ht="14.25" customHeight="1" x14ac:dyDescent="0.25">
      <c r="A551" s="289"/>
      <c r="D551" s="251"/>
      <c r="E551" s="251"/>
      <c r="F551" s="251"/>
      <c r="G551" s="251"/>
      <c r="H551" s="251"/>
      <c r="I551" s="251"/>
      <c r="J551" s="289"/>
      <c r="L551" s="251"/>
      <c r="M551" s="289"/>
    </row>
    <row r="552" spans="1:13" ht="14.25" customHeight="1" x14ac:dyDescent="0.25">
      <c r="A552" s="289"/>
      <c r="D552" s="251"/>
      <c r="E552" s="251"/>
      <c r="F552" s="251"/>
      <c r="G552" s="251"/>
      <c r="H552" s="251"/>
      <c r="I552" s="251"/>
      <c r="J552" s="289"/>
      <c r="L552" s="251"/>
      <c r="M552" s="289"/>
    </row>
    <row r="553" spans="1:13" ht="14.25" customHeight="1" x14ac:dyDescent="0.25">
      <c r="A553" s="289"/>
      <c r="D553" s="251"/>
      <c r="E553" s="251"/>
      <c r="F553" s="251"/>
      <c r="G553" s="251"/>
      <c r="H553" s="251"/>
      <c r="I553" s="251"/>
      <c r="J553" s="289"/>
      <c r="L553" s="251"/>
      <c r="M553" s="289"/>
    </row>
    <row r="554" spans="1:13" ht="14.25" customHeight="1" x14ac:dyDescent="0.25">
      <c r="A554" s="289"/>
      <c r="D554" s="251"/>
      <c r="E554" s="251"/>
      <c r="F554" s="251"/>
      <c r="G554" s="251"/>
      <c r="H554" s="251"/>
      <c r="I554" s="251"/>
      <c r="J554" s="289"/>
      <c r="L554" s="251"/>
      <c r="M554" s="289"/>
    </row>
    <row r="555" spans="1:13" ht="14.25" customHeight="1" x14ac:dyDescent="0.25">
      <c r="A555" s="289"/>
      <c r="D555" s="251"/>
      <c r="E555" s="251"/>
      <c r="F555" s="251"/>
      <c r="G555" s="251"/>
      <c r="H555" s="251"/>
      <c r="I555" s="251"/>
      <c r="J555" s="289"/>
      <c r="L555" s="251"/>
      <c r="M555" s="289"/>
    </row>
    <row r="556" spans="1:13" ht="14.25" customHeight="1" x14ac:dyDescent="0.25">
      <c r="A556" s="289"/>
      <c r="D556" s="251"/>
      <c r="E556" s="251"/>
      <c r="F556" s="251"/>
      <c r="G556" s="251"/>
      <c r="H556" s="251"/>
      <c r="I556" s="251"/>
      <c r="J556" s="289"/>
      <c r="L556" s="251"/>
      <c r="M556" s="289"/>
    </row>
    <row r="557" spans="1:13" ht="14.25" customHeight="1" x14ac:dyDescent="0.25">
      <c r="A557" s="289"/>
      <c r="D557" s="251"/>
      <c r="E557" s="251"/>
      <c r="F557" s="251"/>
      <c r="G557" s="251"/>
      <c r="H557" s="251"/>
      <c r="I557" s="251"/>
      <c r="J557" s="289"/>
      <c r="L557" s="251"/>
      <c r="M557" s="289"/>
    </row>
    <row r="558" spans="1:13" ht="14.25" customHeight="1" x14ac:dyDescent="0.25">
      <c r="A558" s="289"/>
      <c r="D558" s="251"/>
      <c r="E558" s="251"/>
      <c r="F558" s="251"/>
      <c r="G558" s="251"/>
      <c r="H558" s="251"/>
      <c r="I558" s="251"/>
      <c r="J558" s="289"/>
      <c r="L558" s="251"/>
      <c r="M558" s="289"/>
    </row>
    <row r="559" spans="1:13" ht="14.25" customHeight="1" x14ac:dyDescent="0.25">
      <c r="A559" s="289"/>
      <c r="D559" s="251"/>
      <c r="E559" s="251"/>
      <c r="F559" s="251"/>
      <c r="G559" s="251"/>
      <c r="H559" s="251"/>
      <c r="I559" s="251"/>
      <c r="J559" s="289"/>
      <c r="L559" s="251"/>
      <c r="M559" s="289"/>
    </row>
    <row r="560" spans="1:13" ht="14.25" customHeight="1" x14ac:dyDescent="0.25">
      <c r="A560" s="289"/>
      <c r="D560" s="251"/>
      <c r="E560" s="251"/>
      <c r="F560" s="251"/>
      <c r="G560" s="251"/>
      <c r="H560" s="251"/>
      <c r="I560" s="251"/>
      <c r="J560" s="289"/>
      <c r="L560" s="251"/>
      <c r="M560" s="289"/>
    </row>
    <row r="561" spans="1:13" ht="14.25" customHeight="1" x14ac:dyDescent="0.25">
      <c r="A561" s="289"/>
      <c r="D561" s="251"/>
      <c r="E561" s="251"/>
      <c r="F561" s="251"/>
      <c r="G561" s="251"/>
      <c r="H561" s="251"/>
      <c r="I561" s="251"/>
      <c r="J561" s="289"/>
      <c r="L561" s="251"/>
      <c r="M561" s="289"/>
    </row>
    <row r="562" spans="1:13" ht="14.25" customHeight="1" x14ac:dyDescent="0.25">
      <c r="A562" s="289"/>
      <c r="D562" s="251"/>
      <c r="E562" s="251"/>
      <c r="F562" s="251"/>
      <c r="G562" s="251"/>
      <c r="H562" s="251"/>
      <c r="I562" s="251"/>
      <c r="J562" s="289"/>
      <c r="L562" s="251"/>
      <c r="M562" s="289"/>
    </row>
    <row r="563" spans="1:13" ht="14.25" customHeight="1" x14ac:dyDescent="0.25">
      <c r="A563" s="289"/>
      <c r="D563" s="251"/>
      <c r="E563" s="251"/>
      <c r="F563" s="251"/>
      <c r="G563" s="251"/>
      <c r="H563" s="251"/>
      <c r="I563" s="251"/>
      <c r="J563" s="289"/>
      <c r="L563" s="251"/>
      <c r="M563" s="289"/>
    </row>
    <row r="564" spans="1:13" ht="14.25" customHeight="1" x14ac:dyDescent="0.25">
      <c r="A564" s="289"/>
      <c r="D564" s="251"/>
      <c r="E564" s="251"/>
      <c r="F564" s="251"/>
      <c r="G564" s="251"/>
      <c r="H564" s="251"/>
      <c r="I564" s="251"/>
      <c r="J564" s="289"/>
      <c r="L564" s="251"/>
      <c r="M564" s="289"/>
    </row>
    <row r="565" spans="1:13" ht="14.25" customHeight="1" x14ac:dyDescent="0.25">
      <c r="A565" s="289"/>
      <c r="D565" s="251"/>
      <c r="E565" s="251"/>
      <c r="F565" s="251"/>
      <c r="G565" s="251"/>
      <c r="H565" s="251"/>
      <c r="I565" s="251"/>
      <c r="J565" s="289"/>
      <c r="L565" s="251"/>
      <c r="M565" s="289"/>
    </row>
    <row r="566" spans="1:13" ht="14.25" customHeight="1" x14ac:dyDescent="0.25">
      <c r="A566" s="289"/>
      <c r="D566" s="251"/>
      <c r="E566" s="251"/>
      <c r="F566" s="251"/>
      <c r="G566" s="251"/>
      <c r="H566" s="251"/>
      <c r="I566" s="251"/>
      <c r="J566" s="289"/>
      <c r="L566" s="251"/>
      <c r="M566" s="289"/>
    </row>
    <row r="567" spans="1:13" ht="14.25" customHeight="1" x14ac:dyDescent="0.25">
      <c r="A567" s="289"/>
      <c r="D567" s="251"/>
      <c r="E567" s="251"/>
      <c r="F567" s="251"/>
      <c r="G567" s="251"/>
      <c r="H567" s="251"/>
      <c r="I567" s="251"/>
      <c r="J567" s="289"/>
      <c r="L567" s="251"/>
      <c r="M567" s="289"/>
    </row>
    <row r="568" spans="1:13" ht="14.25" customHeight="1" x14ac:dyDescent="0.25">
      <c r="A568" s="289"/>
      <c r="D568" s="251"/>
      <c r="E568" s="251"/>
      <c r="F568" s="251"/>
      <c r="G568" s="251"/>
      <c r="H568" s="251"/>
      <c r="I568" s="251"/>
      <c r="J568" s="289"/>
      <c r="L568" s="251"/>
      <c r="M568" s="289"/>
    </row>
    <row r="569" spans="1:13" ht="14.25" customHeight="1" x14ac:dyDescent="0.25">
      <c r="A569" s="289"/>
      <c r="D569" s="251"/>
      <c r="E569" s="251"/>
      <c r="F569" s="251"/>
      <c r="G569" s="251"/>
      <c r="H569" s="251"/>
      <c r="I569" s="251"/>
      <c r="J569" s="289"/>
      <c r="L569" s="251"/>
      <c r="M569" s="289"/>
    </row>
    <row r="570" spans="1:13" ht="14.25" customHeight="1" x14ac:dyDescent="0.25">
      <c r="A570" s="289"/>
      <c r="D570" s="251"/>
      <c r="E570" s="251"/>
      <c r="F570" s="251"/>
      <c r="G570" s="251"/>
      <c r="H570" s="251"/>
      <c r="I570" s="251"/>
      <c r="J570" s="289"/>
      <c r="L570" s="251"/>
      <c r="M570" s="289"/>
    </row>
    <row r="571" spans="1:13" ht="14.25" customHeight="1" x14ac:dyDescent="0.25">
      <c r="A571" s="289"/>
      <c r="D571" s="251"/>
      <c r="E571" s="251"/>
      <c r="F571" s="251"/>
      <c r="G571" s="251"/>
      <c r="H571" s="251"/>
      <c r="I571" s="251"/>
      <c r="J571" s="289"/>
      <c r="L571" s="251"/>
      <c r="M571" s="289"/>
    </row>
    <row r="572" spans="1:13" ht="14.25" customHeight="1" x14ac:dyDescent="0.25">
      <c r="A572" s="289"/>
      <c r="D572" s="251"/>
      <c r="E572" s="251"/>
      <c r="F572" s="251"/>
      <c r="G572" s="251"/>
      <c r="H572" s="251"/>
      <c r="I572" s="251"/>
      <c r="J572" s="289"/>
      <c r="L572" s="251"/>
      <c r="M572" s="289"/>
    </row>
    <row r="573" spans="1:13" ht="14.25" customHeight="1" x14ac:dyDescent="0.25">
      <c r="A573" s="289"/>
      <c r="D573" s="251"/>
      <c r="E573" s="251"/>
      <c r="F573" s="251"/>
      <c r="G573" s="251"/>
      <c r="H573" s="251"/>
      <c r="I573" s="251"/>
      <c r="J573" s="289"/>
      <c r="L573" s="251"/>
      <c r="M573" s="289"/>
    </row>
    <row r="574" spans="1:13" ht="14.25" customHeight="1" x14ac:dyDescent="0.25">
      <c r="A574" s="289"/>
      <c r="D574" s="251"/>
      <c r="E574" s="251"/>
      <c r="F574" s="251"/>
      <c r="G574" s="251"/>
      <c r="H574" s="251"/>
      <c r="I574" s="251"/>
      <c r="J574" s="289"/>
      <c r="L574" s="251"/>
      <c r="M574" s="289"/>
    </row>
    <row r="575" spans="1:13" ht="14.25" customHeight="1" x14ac:dyDescent="0.25">
      <c r="A575" s="289"/>
      <c r="D575" s="251"/>
      <c r="E575" s="251"/>
      <c r="F575" s="251"/>
      <c r="G575" s="251"/>
      <c r="H575" s="251"/>
      <c r="I575" s="251"/>
      <c r="J575" s="289"/>
      <c r="L575" s="251"/>
      <c r="M575" s="289"/>
    </row>
    <row r="576" spans="1:13" ht="14.25" customHeight="1" x14ac:dyDescent="0.25">
      <c r="A576" s="289"/>
      <c r="D576" s="251"/>
      <c r="E576" s="251"/>
      <c r="F576" s="251"/>
      <c r="G576" s="251"/>
      <c r="H576" s="251"/>
      <c r="I576" s="251"/>
      <c r="J576" s="289"/>
      <c r="L576" s="251"/>
      <c r="M576" s="289"/>
    </row>
    <row r="577" spans="1:13" ht="14.25" customHeight="1" x14ac:dyDescent="0.25">
      <c r="A577" s="289"/>
      <c r="D577" s="251"/>
      <c r="E577" s="251"/>
      <c r="F577" s="251"/>
      <c r="G577" s="251"/>
      <c r="H577" s="251"/>
      <c r="I577" s="251"/>
      <c r="J577" s="289"/>
      <c r="L577" s="251"/>
      <c r="M577" s="289"/>
    </row>
    <row r="578" spans="1:13" ht="14.25" customHeight="1" x14ac:dyDescent="0.25">
      <c r="A578" s="289"/>
      <c r="D578" s="251"/>
      <c r="E578" s="251"/>
      <c r="F578" s="251"/>
      <c r="G578" s="251"/>
      <c r="H578" s="251"/>
      <c r="I578" s="251"/>
      <c r="J578" s="289"/>
      <c r="L578" s="251"/>
      <c r="M578" s="289"/>
    </row>
    <row r="579" spans="1:13" ht="14.25" customHeight="1" x14ac:dyDescent="0.25">
      <c r="A579" s="289"/>
      <c r="D579" s="251"/>
      <c r="E579" s="251"/>
      <c r="F579" s="251"/>
      <c r="G579" s="251"/>
      <c r="H579" s="251"/>
      <c r="I579" s="251"/>
      <c r="J579" s="289"/>
      <c r="L579" s="251"/>
      <c r="M579" s="289"/>
    </row>
    <row r="580" spans="1:13" ht="14.25" customHeight="1" x14ac:dyDescent="0.25">
      <c r="A580" s="289"/>
      <c r="D580" s="251"/>
      <c r="E580" s="251"/>
      <c r="F580" s="251"/>
      <c r="G580" s="251"/>
      <c r="H580" s="251"/>
      <c r="I580" s="251"/>
      <c r="J580" s="289"/>
      <c r="L580" s="251"/>
      <c r="M580" s="289"/>
    </row>
    <row r="581" spans="1:13" ht="14.25" customHeight="1" x14ac:dyDescent="0.25">
      <c r="A581" s="289"/>
      <c r="D581" s="251"/>
      <c r="E581" s="251"/>
      <c r="F581" s="251"/>
      <c r="G581" s="251"/>
      <c r="H581" s="251"/>
      <c r="I581" s="251"/>
      <c r="J581" s="289"/>
      <c r="L581" s="251"/>
      <c r="M581" s="289"/>
    </row>
    <row r="582" spans="1:13" ht="14.25" customHeight="1" x14ac:dyDescent="0.25">
      <c r="A582" s="289"/>
      <c r="D582" s="251"/>
      <c r="E582" s="251"/>
      <c r="F582" s="251"/>
      <c r="G582" s="251"/>
      <c r="H582" s="251"/>
      <c r="I582" s="251"/>
      <c r="J582" s="289"/>
      <c r="L582" s="251"/>
      <c r="M582" s="289"/>
    </row>
    <row r="583" spans="1:13" ht="14.25" customHeight="1" x14ac:dyDescent="0.25">
      <c r="A583" s="289"/>
      <c r="D583" s="251"/>
      <c r="E583" s="251"/>
      <c r="F583" s="251"/>
      <c r="G583" s="251"/>
      <c r="H583" s="251"/>
      <c r="I583" s="251"/>
      <c r="J583" s="289"/>
      <c r="L583" s="251"/>
      <c r="M583" s="289"/>
    </row>
    <row r="584" spans="1:13" ht="14.25" customHeight="1" x14ac:dyDescent="0.25">
      <c r="A584" s="289"/>
      <c r="D584" s="251"/>
      <c r="E584" s="251"/>
      <c r="F584" s="251"/>
      <c r="G584" s="251"/>
      <c r="H584" s="251"/>
      <c r="I584" s="251"/>
      <c r="J584" s="289"/>
      <c r="L584" s="251"/>
      <c r="M584" s="289"/>
    </row>
    <row r="585" spans="1:13" ht="14.25" customHeight="1" x14ac:dyDescent="0.25">
      <c r="A585" s="289"/>
      <c r="D585" s="251"/>
      <c r="E585" s="251"/>
      <c r="F585" s="251"/>
      <c r="G585" s="251"/>
      <c r="H585" s="251"/>
      <c r="I585" s="251"/>
      <c r="J585" s="289"/>
      <c r="L585" s="251"/>
      <c r="M585" s="289"/>
    </row>
    <row r="586" spans="1:13" ht="14.25" customHeight="1" x14ac:dyDescent="0.25">
      <c r="A586" s="289"/>
      <c r="D586" s="251"/>
      <c r="E586" s="251"/>
      <c r="F586" s="251"/>
      <c r="G586" s="251"/>
      <c r="H586" s="251"/>
      <c r="I586" s="251"/>
      <c r="J586" s="289"/>
      <c r="L586" s="251"/>
      <c r="M586" s="289"/>
    </row>
    <row r="587" spans="1:13" ht="14.25" customHeight="1" x14ac:dyDescent="0.25">
      <c r="A587" s="289"/>
      <c r="D587" s="251"/>
      <c r="E587" s="251"/>
      <c r="F587" s="251"/>
      <c r="G587" s="251"/>
      <c r="H587" s="251"/>
      <c r="I587" s="251"/>
      <c r="J587" s="289"/>
      <c r="L587" s="251"/>
      <c r="M587" s="289"/>
    </row>
    <row r="588" spans="1:13" ht="14.25" customHeight="1" x14ac:dyDescent="0.25">
      <c r="A588" s="289"/>
      <c r="D588" s="251"/>
      <c r="E588" s="251"/>
      <c r="F588" s="251"/>
      <c r="G588" s="251"/>
      <c r="H588" s="251"/>
      <c r="I588" s="251"/>
      <c r="J588" s="289"/>
      <c r="L588" s="251"/>
      <c r="M588" s="289"/>
    </row>
    <row r="589" spans="1:13" ht="14.25" customHeight="1" x14ac:dyDescent="0.25">
      <c r="A589" s="289"/>
      <c r="D589" s="251"/>
      <c r="E589" s="251"/>
      <c r="F589" s="251"/>
      <c r="G589" s="251"/>
      <c r="H589" s="251"/>
      <c r="I589" s="251"/>
      <c r="J589" s="289"/>
      <c r="L589" s="251"/>
      <c r="M589" s="289"/>
    </row>
    <row r="590" spans="1:13" ht="14.25" customHeight="1" x14ac:dyDescent="0.25">
      <c r="A590" s="289"/>
      <c r="D590" s="251"/>
      <c r="E590" s="251"/>
      <c r="F590" s="251"/>
      <c r="G590" s="251"/>
      <c r="H590" s="251"/>
      <c r="I590" s="251"/>
      <c r="J590" s="289"/>
      <c r="L590" s="251"/>
      <c r="M590" s="289"/>
    </row>
    <row r="591" spans="1:13" ht="14.25" customHeight="1" x14ac:dyDescent="0.25">
      <c r="A591" s="289"/>
      <c r="D591" s="251"/>
      <c r="E591" s="251"/>
      <c r="F591" s="251"/>
      <c r="G591" s="251"/>
      <c r="H591" s="251"/>
      <c r="I591" s="251"/>
      <c r="J591" s="289"/>
      <c r="L591" s="251"/>
      <c r="M591" s="289"/>
    </row>
    <row r="592" spans="1:13" ht="14.25" customHeight="1" x14ac:dyDescent="0.25">
      <c r="A592" s="289"/>
      <c r="D592" s="251"/>
      <c r="E592" s="251"/>
      <c r="F592" s="251"/>
      <c r="G592" s="251"/>
      <c r="H592" s="251"/>
      <c r="I592" s="251"/>
      <c r="J592" s="289"/>
      <c r="L592" s="251"/>
      <c r="M592" s="289"/>
    </row>
    <row r="593" spans="1:13" ht="14.25" customHeight="1" x14ac:dyDescent="0.25">
      <c r="A593" s="289"/>
      <c r="D593" s="251"/>
      <c r="E593" s="251"/>
      <c r="F593" s="251"/>
      <c r="G593" s="251"/>
      <c r="H593" s="251"/>
      <c r="I593" s="251"/>
      <c r="J593" s="289"/>
      <c r="L593" s="251"/>
      <c r="M593" s="289"/>
    </row>
    <row r="594" spans="1:13" ht="14.25" customHeight="1" x14ac:dyDescent="0.25">
      <c r="A594" s="289"/>
      <c r="D594" s="251"/>
      <c r="E594" s="251"/>
      <c r="F594" s="251"/>
      <c r="G594" s="251"/>
      <c r="H594" s="251"/>
      <c r="I594" s="251"/>
      <c r="J594" s="289"/>
      <c r="L594" s="251"/>
      <c r="M594" s="289"/>
    </row>
    <row r="595" spans="1:13" ht="14.25" customHeight="1" x14ac:dyDescent="0.25">
      <c r="A595" s="289"/>
      <c r="D595" s="251"/>
      <c r="E595" s="251"/>
      <c r="F595" s="251"/>
      <c r="G595" s="251"/>
      <c r="H595" s="251"/>
      <c r="I595" s="251"/>
      <c r="J595" s="289"/>
      <c r="L595" s="251"/>
      <c r="M595" s="289"/>
    </row>
    <row r="596" spans="1:13" ht="14.25" customHeight="1" x14ac:dyDescent="0.25">
      <c r="A596" s="289"/>
      <c r="D596" s="251"/>
      <c r="E596" s="251"/>
      <c r="F596" s="251"/>
      <c r="G596" s="251"/>
      <c r="H596" s="251"/>
      <c r="I596" s="251"/>
      <c r="J596" s="289"/>
      <c r="L596" s="251"/>
      <c r="M596" s="289"/>
    </row>
    <row r="597" spans="1:13" ht="14.25" customHeight="1" x14ac:dyDescent="0.25">
      <c r="A597" s="289"/>
      <c r="D597" s="251"/>
      <c r="E597" s="251"/>
      <c r="F597" s="251"/>
      <c r="G597" s="251"/>
      <c r="H597" s="251"/>
      <c r="I597" s="251"/>
      <c r="J597" s="289"/>
      <c r="L597" s="251"/>
      <c r="M597" s="289"/>
    </row>
    <row r="598" spans="1:13" ht="14.25" customHeight="1" x14ac:dyDescent="0.25">
      <c r="A598" s="289"/>
      <c r="D598" s="251"/>
      <c r="E598" s="251"/>
      <c r="F598" s="251"/>
      <c r="G598" s="251"/>
      <c r="H598" s="251"/>
      <c r="I598" s="251"/>
      <c r="J598" s="289"/>
      <c r="L598" s="251"/>
      <c r="M598" s="289"/>
    </row>
    <row r="599" spans="1:13" ht="14.25" customHeight="1" x14ac:dyDescent="0.25">
      <c r="A599" s="289"/>
      <c r="D599" s="251"/>
      <c r="E599" s="251"/>
      <c r="F599" s="251"/>
      <c r="G599" s="251"/>
      <c r="H599" s="251"/>
      <c r="I599" s="251"/>
      <c r="J599" s="289"/>
      <c r="L599" s="251"/>
      <c r="M599" s="289"/>
    </row>
    <row r="600" spans="1:13" ht="14.25" customHeight="1" x14ac:dyDescent="0.25">
      <c r="A600" s="289"/>
      <c r="D600" s="251"/>
      <c r="E600" s="251"/>
      <c r="F600" s="251"/>
      <c r="G600" s="251"/>
      <c r="H600" s="251"/>
      <c r="I600" s="251"/>
      <c r="J600" s="289"/>
      <c r="L600" s="251"/>
      <c r="M600" s="289"/>
    </row>
    <row r="601" spans="1:13" ht="14.25" customHeight="1" x14ac:dyDescent="0.25">
      <c r="A601" s="289"/>
      <c r="D601" s="251"/>
      <c r="E601" s="251"/>
      <c r="F601" s="251"/>
      <c r="G601" s="251"/>
      <c r="H601" s="251"/>
      <c r="I601" s="251"/>
      <c r="J601" s="289"/>
      <c r="L601" s="251"/>
      <c r="M601" s="289"/>
    </row>
    <row r="602" spans="1:13" ht="14.25" customHeight="1" x14ac:dyDescent="0.25">
      <c r="A602" s="289"/>
      <c r="D602" s="251"/>
      <c r="E602" s="251"/>
      <c r="F602" s="251"/>
      <c r="G602" s="251"/>
      <c r="H602" s="251"/>
      <c r="I602" s="251"/>
      <c r="J602" s="289"/>
      <c r="L602" s="251"/>
      <c r="M602" s="289"/>
    </row>
    <row r="603" spans="1:13" ht="14.25" customHeight="1" x14ac:dyDescent="0.25">
      <c r="A603" s="289"/>
      <c r="D603" s="251"/>
      <c r="E603" s="251"/>
      <c r="F603" s="251"/>
      <c r="G603" s="251"/>
      <c r="H603" s="251"/>
      <c r="I603" s="251"/>
      <c r="J603" s="289"/>
      <c r="L603" s="251"/>
      <c r="M603" s="289"/>
    </row>
    <row r="604" spans="1:13" ht="14.25" customHeight="1" x14ac:dyDescent="0.25">
      <c r="A604" s="289"/>
      <c r="D604" s="251"/>
      <c r="E604" s="251"/>
      <c r="F604" s="251"/>
      <c r="G604" s="251"/>
      <c r="H604" s="251"/>
      <c r="I604" s="251"/>
      <c r="J604" s="289"/>
      <c r="L604" s="251"/>
      <c r="M604" s="289"/>
    </row>
    <row r="605" spans="1:13" ht="14.25" customHeight="1" x14ac:dyDescent="0.25">
      <c r="A605" s="289"/>
      <c r="D605" s="251"/>
      <c r="E605" s="251"/>
      <c r="F605" s="251"/>
      <c r="G605" s="251"/>
      <c r="H605" s="251"/>
      <c r="I605" s="251"/>
      <c r="J605" s="289"/>
      <c r="L605" s="251"/>
      <c r="M605" s="289"/>
    </row>
    <row r="606" spans="1:13" ht="14.25" customHeight="1" x14ac:dyDescent="0.25">
      <c r="A606" s="289"/>
      <c r="D606" s="251"/>
      <c r="E606" s="251"/>
      <c r="F606" s="251"/>
      <c r="G606" s="251"/>
      <c r="H606" s="251"/>
      <c r="I606" s="251"/>
      <c r="J606" s="289"/>
      <c r="L606" s="251"/>
      <c r="M606" s="289"/>
    </row>
    <row r="607" spans="1:13" ht="14.25" customHeight="1" x14ac:dyDescent="0.25">
      <c r="A607" s="289"/>
      <c r="D607" s="251"/>
      <c r="E607" s="251"/>
      <c r="F607" s="251"/>
      <c r="G607" s="251"/>
      <c r="H607" s="251"/>
      <c r="I607" s="251"/>
      <c r="J607" s="289"/>
      <c r="L607" s="251"/>
      <c r="M607" s="289"/>
    </row>
    <row r="608" spans="1:13" ht="14.25" customHeight="1" x14ac:dyDescent="0.25">
      <c r="A608" s="289"/>
      <c r="D608" s="251"/>
      <c r="E608" s="251"/>
      <c r="F608" s="251"/>
      <c r="G608" s="251"/>
      <c r="H608" s="251"/>
      <c r="I608" s="251"/>
      <c r="J608" s="289"/>
      <c r="L608" s="251"/>
      <c r="M608" s="289"/>
    </row>
    <row r="609" spans="1:13" ht="14.25" customHeight="1" x14ac:dyDescent="0.25">
      <c r="A609" s="289"/>
      <c r="D609" s="251"/>
      <c r="E609" s="251"/>
      <c r="F609" s="251"/>
      <c r="G609" s="251"/>
      <c r="H609" s="251"/>
      <c r="I609" s="251"/>
      <c r="J609" s="289"/>
      <c r="L609" s="251"/>
      <c r="M609" s="289"/>
    </row>
    <row r="610" spans="1:13" ht="14.25" customHeight="1" x14ac:dyDescent="0.25">
      <c r="A610" s="289"/>
      <c r="D610" s="251"/>
      <c r="E610" s="251"/>
      <c r="F610" s="251"/>
      <c r="G610" s="251"/>
      <c r="H610" s="251"/>
      <c r="I610" s="251"/>
      <c r="J610" s="289"/>
      <c r="L610" s="251"/>
      <c r="M610" s="289"/>
    </row>
    <row r="611" spans="1:13" ht="14.25" customHeight="1" x14ac:dyDescent="0.25">
      <c r="A611" s="289"/>
      <c r="D611" s="251"/>
      <c r="E611" s="251"/>
      <c r="F611" s="251"/>
      <c r="G611" s="251"/>
      <c r="H611" s="251"/>
      <c r="I611" s="251"/>
      <c r="J611" s="289"/>
      <c r="L611" s="251"/>
      <c r="M611" s="289"/>
    </row>
    <row r="612" spans="1:13" ht="14.25" customHeight="1" x14ac:dyDescent="0.25">
      <c r="A612" s="289"/>
      <c r="D612" s="251"/>
      <c r="E612" s="251"/>
      <c r="F612" s="251"/>
      <c r="G612" s="251"/>
      <c r="H612" s="251"/>
      <c r="I612" s="251"/>
      <c r="J612" s="289"/>
      <c r="L612" s="251"/>
      <c r="M612" s="289"/>
    </row>
    <row r="613" spans="1:13" ht="14.25" customHeight="1" x14ac:dyDescent="0.25">
      <c r="A613" s="289"/>
      <c r="D613" s="251"/>
      <c r="E613" s="251"/>
      <c r="F613" s="251"/>
      <c r="G613" s="251"/>
      <c r="H613" s="251"/>
      <c r="I613" s="251"/>
      <c r="J613" s="289"/>
      <c r="L613" s="251"/>
      <c r="M613" s="289"/>
    </row>
    <row r="614" spans="1:13" ht="14.25" customHeight="1" x14ac:dyDescent="0.25">
      <c r="A614" s="289"/>
      <c r="D614" s="251"/>
      <c r="E614" s="251"/>
      <c r="F614" s="251"/>
      <c r="G614" s="251"/>
      <c r="H614" s="251"/>
      <c r="I614" s="251"/>
      <c r="J614" s="289"/>
      <c r="L614" s="251"/>
      <c r="M614" s="289"/>
    </row>
    <row r="615" spans="1:13" ht="14.25" customHeight="1" x14ac:dyDescent="0.25">
      <c r="A615" s="289"/>
      <c r="D615" s="251"/>
      <c r="E615" s="251"/>
      <c r="F615" s="251"/>
      <c r="G615" s="251"/>
      <c r="H615" s="251"/>
      <c r="I615" s="251"/>
      <c r="J615" s="289"/>
      <c r="L615" s="251"/>
      <c r="M615" s="289"/>
    </row>
    <row r="616" spans="1:13" ht="14.25" customHeight="1" x14ac:dyDescent="0.25">
      <c r="A616" s="289"/>
      <c r="D616" s="251"/>
      <c r="E616" s="251"/>
      <c r="F616" s="251"/>
      <c r="G616" s="251"/>
      <c r="H616" s="251"/>
      <c r="I616" s="251"/>
      <c r="J616" s="289"/>
      <c r="L616" s="251"/>
      <c r="M616" s="289"/>
    </row>
    <row r="617" spans="1:13" ht="14.25" customHeight="1" x14ac:dyDescent="0.25">
      <c r="A617" s="289"/>
      <c r="D617" s="251"/>
      <c r="E617" s="251"/>
      <c r="F617" s="251"/>
      <c r="G617" s="251"/>
      <c r="H617" s="251"/>
      <c r="I617" s="251"/>
      <c r="J617" s="289"/>
      <c r="L617" s="251"/>
      <c r="M617" s="289"/>
    </row>
    <row r="618" spans="1:13" ht="14.25" customHeight="1" x14ac:dyDescent="0.25">
      <c r="A618" s="289"/>
      <c r="D618" s="251"/>
      <c r="E618" s="251"/>
      <c r="F618" s="251"/>
      <c r="G618" s="251"/>
      <c r="H618" s="251"/>
      <c r="I618" s="251"/>
      <c r="J618" s="289"/>
      <c r="L618" s="251"/>
      <c r="M618" s="289"/>
    </row>
    <row r="619" spans="1:13" ht="14.25" customHeight="1" x14ac:dyDescent="0.25">
      <c r="A619" s="289"/>
      <c r="D619" s="251"/>
      <c r="E619" s="251"/>
      <c r="F619" s="251"/>
      <c r="G619" s="251"/>
      <c r="H619" s="251"/>
      <c r="I619" s="251"/>
      <c r="J619" s="289"/>
      <c r="L619" s="251"/>
      <c r="M619" s="289"/>
    </row>
    <row r="620" spans="1:13" ht="14.25" customHeight="1" x14ac:dyDescent="0.25">
      <c r="A620" s="289"/>
      <c r="D620" s="251"/>
      <c r="E620" s="251"/>
      <c r="F620" s="251"/>
      <c r="G620" s="251"/>
      <c r="H620" s="251"/>
      <c r="I620" s="251"/>
      <c r="J620" s="289"/>
      <c r="L620" s="251"/>
      <c r="M620" s="289"/>
    </row>
    <row r="621" spans="1:13" ht="14.25" customHeight="1" x14ac:dyDescent="0.25">
      <c r="A621" s="289"/>
      <c r="D621" s="251"/>
      <c r="E621" s="251"/>
      <c r="F621" s="251"/>
      <c r="G621" s="251"/>
      <c r="H621" s="251"/>
      <c r="I621" s="251"/>
      <c r="J621" s="289"/>
      <c r="L621" s="251"/>
      <c r="M621" s="289"/>
    </row>
    <row r="622" spans="1:13" ht="14.25" customHeight="1" x14ac:dyDescent="0.25">
      <c r="A622" s="289"/>
      <c r="D622" s="251"/>
      <c r="E622" s="251"/>
      <c r="F622" s="251"/>
      <c r="G622" s="251"/>
      <c r="H622" s="251"/>
      <c r="I622" s="251"/>
      <c r="J622" s="289"/>
      <c r="L622" s="251"/>
      <c r="M622" s="289"/>
    </row>
    <row r="623" spans="1:13" ht="14.25" customHeight="1" x14ac:dyDescent="0.25">
      <c r="A623" s="289"/>
      <c r="D623" s="251"/>
      <c r="E623" s="251"/>
      <c r="F623" s="251"/>
      <c r="G623" s="251"/>
      <c r="H623" s="251"/>
      <c r="I623" s="251"/>
      <c r="J623" s="289"/>
      <c r="L623" s="251"/>
      <c r="M623" s="289"/>
    </row>
    <row r="624" spans="1:13" ht="14.25" customHeight="1" x14ac:dyDescent="0.25">
      <c r="A624" s="289"/>
      <c r="D624" s="251"/>
      <c r="E624" s="251"/>
      <c r="F624" s="251"/>
      <c r="G624" s="251"/>
      <c r="H624" s="251"/>
      <c r="I624" s="251"/>
      <c r="J624" s="289"/>
      <c r="L624" s="251"/>
      <c r="M624" s="289"/>
    </row>
    <row r="625" spans="1:13" ht="14.25" customHeight="1" x14ac:dyDescent="0.25">
      <c r="A625" s="289"/>
      <c r="D625" s="251"/>
      <c r="E625" s="251"/>
      <c r="F625" s="251"/>
      <c r="G625" s="251"/>
      <c r="H625" s="251"/>
      <c r="I625" s="251"/>
      <c r="J625" s="289"/>
      <c r="L625" s="251"/>
      <c r="M625" s="289"/>
    </row>
    <row r="626" spans="1:13" ht="14.25" customHeight="1" x14ac:dyDescent="0.25">
      <c r="A626" s="289"/>
      <c r="D626" s="251"/>
      <c r="E626" s="251"/>
      <c r="F626" s="251"/>
      <c r="G626" s="251"/>
      <c r="H626" s="251"/>
      <c r="I626" s="251"/>
      <c r="J626" s="289"/>
      <c r="L626" s="251"/>
      <c r="M626" s="289"/>
    </row>
    <row r="627" spans="1:13" ht="14.25" customHeight="1" x14ac:dyDescent="0.25">
      <c r="A627" s="289"/>
      <c r="D627" s="251"/>
      <c r="E627" s="251"/>
      <c r="F627" s="251"/>
      <c r="G627" s="251"/>
      <c r="H627" s="251"/>
      <c r="I627" s="251"/>
      <c r="J627" s="289"/>
      <c r="L627" s="251"/>
      <c r="M627" s="289"/>
    </row>
    <row r="628" spans="1:13" ht="14.25" customHeight="1" x14ac:dyDescent="0.25">
      <c r="A628" s="289"/>
      <c r="D628" s="251"/>
      <c r="E628" s="251"/>
      <c r="F628" s="251"/>
      <c r="G628" s="251"/>
      <c r="H628" s="251"/>
      <c r="I628" s="251"/>
      <c r="J628" s="289"/>
      <c r="L628" s="251"/>
      <c r="M628" s="289"/>
    </row>
    <row r="629" spans="1:13" ht="14.25" customHeight="1" x14ac:dyDescent="0.25">
      <c r="A629" s="289"/>
      <c r="D629" s="251"/>
      <c r="E629" s="251"/>
      <c r="F629" s="251"/>
      <c r="G629" s="251"/>
      <c r="H629" s="251"/>
      <c r="I629" s="251"/>
      <c r="J629" s="289"/>
      <c r="L629" s="251"/>
      <c r="M629" s="289"/>
    </row>
    <row r="630" spans="1:13" ht="14.25" customHeight="1" x14ac:dyDescent="0.25">
      <c r="A630" s="289"/>
      <c r="D630" s="251"/>
      <c r="E630" s="251"/>
      <c r="F630" s="251"/>
      <c r="G630" s="251"/>
      <c r="H630" s="251"/>
      <c r="I630" s="251"/>
      <c r="J630" s="289"/>
      <c r="L630" s="251"/>
      <c r="M630" s="289"/>
    </row>
    <row r="631" spans="1:13" ht="14.25" customHeight="1" x14ac:dyDescent="0.25">
      <c r="A631" s="289"/>
      <c r="D631" s="251"/>
      <c r="E631" s="251"/>
      <c r="F631" s="251"/>
      <c r="G631" s="251"/>
      <c r="H631" s="251"/>
      <c r="I631" s="251"/>
      <c r="J631" s="289"/>
      <c r="L631" s="251"/>
      <c r="M631" s="289"/>
    </row>
    <row r="632" spans="1:13" ht="14.25" customHeight="1" x14ac:dyDescent="0.25">
      <c r="A632" s="289"/>
      <c r="D632" s="251"/>
      <c r="E632" s="251"/>
      <c r="F632" s="251"/>
      <c r="G632" s="251"/>
      <c r="H632" s="251"/>
      <c r="I632" s="251"/>
      <c r="J632" s="289"/>
      <c r="L632" s="251"/>
      <c r="M632" s="289"/>
    </row>
    <row r="633" spans="1:13" ht="14.25" customHeight="1" x14ac:dyDescent="0.25">
      <c r="A633" s="289"/>
      <c r="D633" s="251"/>
      <c r="E633" s="251"/>
      <c r="F633" s="251"/>
      <c r="G633" s="251"/>
      <c r="H633" s="251"/>
      <c r="I633" s="251"/>
      <c r="J633" s="289"/>
      <c r="L633" s="251"/>
      <c r="M633" s="289"/>
    </row>
    <row r="634" spans="1:13" ht="14.25" customHeight="1" x14ac:dyDescent="0.25">
      <c r="A634" s="289"/>
      <c r="D634" s="251"/>
      <c r="E634" s="251"/>
      <c r="F634" s="251"/>
      <c r="G634" s="251"/>
      <c r="H634" s="251"/>
      <c r="I634" s="251"/>
      <c r="J634" s="289"/>
      <c r="L634" s="251"/>
      <c r="M634" s="289"/>
    </row>
    <row r="635" spans="1:13" ht="14.25" customHeight="1" x14ac:dyDescent="0.25">
      <c r="A635" s="289"/>
      <c r="D635" s="251"/>
      <c r="E635" s="251"/>
      <c r="F635" s="251"/>
      <c r="G635" s="251"/>
      <c r="H635" s="251"/>
      <c r="I635" s="251"/>
      <c r="J635" s="289"/>
      <c r="L635" s="251"/>
      <c r="M635" s="289"/>
    </row>
    <row r="636" spans="1:13" ht="14.25" customHeight="1" x14ac:dyDescent="0.25">
      <c r="A636" s="289"/>
      <c r="D636" s="251"/>
      <c r="E636" s="251"/>
      <c r="F636" s="251"/>
      <c r="G636" s="251"/>
      <c r="H636" s="251"/>
      <c r="I636" s="251"/>
      <c r="J636" s="289"/>
      <c r="L636" s="251"/>
      <c r="M636" s="289"/>
    </row>
    <row r="637" spans="1:13" ht="14.25" customHeight="1" x14ac:dyDescent="0.25">
      <c r="A637" s="289"/>
      <c r="D637" s="251"/>
      <c r="E637" s="251"/>
      <c r="F637" s="251"/>
      <c r="G637" s="251"/>
      <c r="H637" s="251"/>
      <c r="I637" s="251"/>
      <c r="J637" s="289"/>
      <c r="L637" s="251"/>
      <c r="M637" s="289"/>
    </row>
    <row r="638" spans="1:13" ht="14.25" customHeight="1" x14ac:dyDescent="0.25">
      <c r="A638" s="289"/>
      <c r="D638" s="251"/>
      <c r="E638" s="251"/>
      <c r="F638" s="251"/>
      <c r="G638" s="251"/>
      <c r="H638" s="251"/>
      <c r="I638" s="251"/>
      <c r="J638" s="289"/>
      <c r="L638" s="251"/>
      <c r="M638" s="289"/>
    </row>
    <row r="639" spans="1:13" ht="14.25" customHeight="1" x14ac:dyDescent="0.25">
      <c r="A639" s="289"/>
      <c r="D639" s="251"/>
      <c r="E639" s="251"/>
      <c r="F639" s="251"/>
      <c r="G639" s="251"/>
      <c r="H639" s="251"/>
      <c r="I639" s="251"/>
      <c r="J639" s="289"/>
      <c r="L639" s="251"/>
      <c r="M639" s="289"/>
    </row>
    <row r="640" spans="1:13" ht="14.25" customHeight="1" x14ac:dyDescent="0.25">
      <c r="A640" s="289"/>
      <c r="D640" s="251"/>
      <c r="E640" s="251"/>
      <c r="F640" s="251"/>
      <c r="G640" s="251"/>
      <c r="H640" s="251"/>
      <c r="I640" s="251"/>
      <c r="J640" s="289"/>
      <c r="L640" s="251"/>
      <c r="M640" s="289"/>
    </row>
    <row r="641" spans="1:13" ht="14.25" customHeight="1" x14ac:dyDescent="0.25">
      <c r="A641" s="289"/>
      <c r="D641" s="251"/>
      <c r="E641" s="251"/>
      <c r="F641" s="251"/>
      <c r="G641" s="251"/>
      <c r="H641" s="251"/>
      <c r="I641" s="251"/>
      <c r="J641" s="289"/>
      <c r="L641" s="251"/>
      <c r="M641" s="289"/>
    </row>
    <row r="642" spans="1:13" ht="14.25" customHeight="1" x14ac:dyDescent="0.25">
      <c r="A642" s="289"/>
      <c r="D642" s="251"/>
      <c r="E642" s="251"/>
      <c r="F642" s="251"/>
      <c r="G642" s="251"/>
      <c r="H642" s="251"/>
      <c r="I642" s="251"/>
      <c r="J642" s="289"/>
      <c r="L642" s="251"/>
      <c r="M642" s="289"/>
    </row>
    <row r="643" spans="1:13" ht="14.25" customHeight="1" x14ac:dyDescent="0.25">
      <c r="A643" s="289"/>
      <c r="D643" s="251"/>
      <c r="E643" s="251"/>
      <c r="F643" s="251"/>
      <c r="G643" s="251"/>
      <c r="H643" s="251"/>
      <c r="I643" s="251"/>
      <c r="J643" s="289"/>
      <c r="L643" s="251"/>
      <c r="M643" s="289"/>
    </row>
    <row r="644" spans="1:13" ht="14.25" customHeight="1" x14ac:dyDescent="0.25">
      <c r="A644" s="289"/>
      <c r="D644" s="251"/>
      <c r="E644" s="251"/>
      <c r="F644" s="251"/>
      <c r="G644" s="251"/>
      <c r="H644" s="251"/>
      <c r="I644" s="251"/>
      <c r="J644" s="289"/>
      <c r="L644" s="251"/>
      <c r="M644" s="289"/>
    </row>
    <row r="645" spans="1:13" ht="14.25" customHeight="1" x14ac:dyDescent="0.25">
      <c r="A645" s="289"/>
      <c r="D645" s="251"/>
      <c r="E645" s="251"/>
      <c r="F645" s="251"/>
      <c r="G645" s="251"/>
      <c r="H645" s="251"/>
      <c r="I645" s="251"/>
      <c r="J645" s="289"/>
      <c r="L645" s="251"/>
      <c r="M645" s="289"/>
    </row>
    <row r="646" spans="1:13" ht="14.25" customHeight="1" x14ac:dyDescent="0.25">
      <c r="A646" s="289"/>
      <c r="D646" s="251"/>
      <c r="E646" s="251"/>
      <c r="F646" s="251"/>
      <c r="G646" s="251"/>
      <c r="H646" s="251"/>
      <c r="I646" s="251"/>
      <c r="J646" s="289"/>
      <c r="L646" s="251"/>
      <c r="M646" s="289"/>
    </row>
    <row r="647" spans="1:13" ht="14.25" customHeight="1" x14ac:dyDescent="0.25">
      <c r="A647" s="289"/>
      <c r="D647" s="251"/>
      <c r="E647" s="251"/>
      <c r="F647" s="251"/>
      <c r="G647" s="251"/>
      <c r="H647" s="251"/>
      <c r="I647" s="251"/>
      <c r="J647" s="289"/>
      <c r="L647" s="251"/>
      <c r="M647" s="289"/>
    </row>
    <row r="648" spans="1:13" ht="14.25" customHeight="1" x14ac:dyDescent="0.25">
      <c r="A648" s="289"/>
      <c r="D648" s="251"/>
      <c r="E648" s="251"/>
      <c r="F648" s="251"/>
      <c r="G648" s="251"/>
      <c r="H648" s="251"/>
      <c r="I648" s="251"/>
      <c r="J648" s="289"/>
      <c r="L648" s="251"/>
      <c r="M648" s="289"/>
    </row>
    <row r="649" spans="1:13" ht="14.25" customHeight="1" x14ac:dyDescent="0.25">
      <c r="A649" s="289"/>
      <c r="D649" s="251"/>
      <c r="E649" s="251"/>
      <c r="F649" s="251"/>
      <c r="G649" s="251"/>
      <c r="H649" s="251"/>
      <c r="I649" s="251"/>
      <c r="J649" s="289"/>
      <c r="L649" s="251"/>
      <c r="M649" s="289"/>
    </row>
    <row r="650" spans="1:13" ht="14.25" customHeight="1" x14ac:dyDescent="0.25">
      <c r="A650" s="289"/>
      <c r="D650" s="251"/>
      <c r="E650" s="251"/>
      <c r="F650" s="251"/>
      <c r="G650" s="251"/>
      <c r="H650" s="251"/>
      <c r="I650" s="251"/>
      <c r="J650" s="289"/>
      <c r="L650" s="251"/>
      <c r="M650" s="289"/>
    </row>
    <row r="651" spans="1:13" ht="14.25" customHeight="1" x14ac:dyDescent="0.25">
      <c r="A651" s="289"/>
      <c r="D651" s="251"/>
      <c r="E651" s="251"/>
      <c r="F651" s="251"/>
      <c r="G651" s="251"/>
      <c r="H651" s="251"/>
      <c r="I651" s="251"/>
      <c r="J651" s="289"/>
      <c r="L651" s="251"/>
      <c r="M651" s="289"/>
    </row>
    <row r="652" spans="1:13" ht="14.25" customHeight="1" x14ac:dyDescent="0.25">
      <c r="A652" s="289"/>
      <c r="D652" s="251"/>
      <c r="E652" s="251"/>
      <c r="F652" s="251"/>
      <c r="G652" s="251"/>
      <c r="H652" s="251"/>
      <c r="I652" s="251"/>
      <c r="J652" s="289"/>
      <c r="L652" s="251"/>
      <c r="M652" s="289"/>
    </row>
    <row r="653" spans="1:13" ht="14.25" customHeight="1" x14ac:dyDescent="0.25">
      <c r="A653" s="289"/>
      <c r="D653" s="251"/>
      <c r="E653" s="251"/>
      <c r="F653" s="251"/>
      <c r="G653" s="251"/>
      <c r="H653" s="251"/>
      <c r="I653" s="251"/>
      <c r="J653" s="289"/>
      <c r="L653" s="251"/>
      <c r="M653" s="289"/>
    </row>
    <row r="654" spans="1:13" ht="14.25" customHeight="1" x14ac:dyDescent="0.25">
      <c r="A654" s="289"/>
      <c r="D654" s="251"/>
      <c r="E654" s="251"/>
      <c r="F654" s="251"/>
      <c r="G654" s="251"/>
      <c r="H654" s="251"/>
      <c r="I654" s="251"/>
      <c r="J654" s="289"/>
      <c r="L654" s="251"/>
      <c r="M654" s="289"/>
    </row>
    <row r="655" spans="1:13" ht="14.25" customHeight="1" x14ac:dyDescent="0.25">
      <c r="A655" s="289"/>
      <c r="D655" s="251"/>
      <c r="E655" s="251"/>
      <c r="F655" s="251"/>
      <c r="G655" s="251"/>
      <c r="H655" s="251"/>
      <c r="I655" s="251"/>
      <c r="J655" s="289"/>
      <c r="L655" s="251"/>
      <c r="M655" s="289"/>
    </row>
    <row r="656" spans="1:13" ht="14.25" customHeight="1" x14ac:dyDescent="0.25">
      <c r="A656" s="289"/>
      <c r="D656" s="251"/>
      <c r="E656" s="251"/>
      <c r="F656" s="251"/>
      <c r="G656" s="251"/>
      <c r="H656" s="251"/>
      <c r="I656" s="251"/>
      <c r="J656" s="289"/>
      <c r="L656" s="251"/>
      <c r="M656" s="289"/>
    </row>
    <row r="657" spans="1:13" ht="14.25" customHeight="1" x14ac:dyDescent="0.25">
      <c r="A657" s="289"/>
      <c r="D657" s="251"/>
      <c r="E657" s="251"/>
      <c r="F657" s="251"/>
      <c r="G657" s="251"/>
      <c r="H657" s="251"/>
      <c r="I657" s="251"/>
      <c r="J657" s="289"/>
      <c r="L657" s="251"/>
      <c r="M657" s="289"/>
    </row>
    <row r="658" spans="1:13" ht="14.25" customHeight="1" x14ac:dyDescent="0.25">
      <c r="A658" s="289"/>
      <c r="D658" s="251"/>
      <c r="E658" s="251"/>
      <c r="F658" s="251"/>
      <c r="G658" s="251"/>
      <c r="H658" s="251"/>
      <c r="I658" s="251"/>
      <c r="J658" s="289"/>
      <c r="L658" s="251"/>
      <c r="M658" s="289"/>
    </row>
    <row r="659" spans="1:13" ht="14.25" customHeight="1" x14ac:dyDescent="0.25">
      <c r="A659" s="289"/>
      <c r="D659" s="251"/>
      <c r="E659" s="251"/>
      <c r="F659" s="251"/>
      <c r="G659" s="251"/>
      <c r="H659" s="251"/>
      <c r="I659" s="251"/>
      <c r="J659" s="289"/>
      <c r="L659" s="251"/>
      <c r="M659" s="289"/>
    </row>
    <row r="660" spans="1:13" ht="14.25" customHeight="1" x14ac:dyDescent="0.25">
      <c r="A660" s="289"/>
      <c r="D660" s="251"/>
      <c r="E660" s="251"/>
      <c r="F660" s="251"/>
      <c r="G660" s="251"/>
      <c r="H660" s="251"/>
      <c r="I660" s="251"/>
      <c r="J660" s="289"/>
      <c r="L660" s="251"/>
      <c r="M660" s="289"/>
    </row>
    <row r="661" spans="1:13" ht="14.25" customHeight="1" x14ac:dyDescent="0.25">
      <c r="A661" s="289"/>
      <c r="D661" s="251"/>
      <c r="E661" s="251"/>
      <c r="F661" s="251"/>
      <c r="G661" s="251"/>
      <c r="H661" s="251"/>
      <c r="I661" s="251"/>
      <c r="J661" s="289"/>
      <c r="L661" s="251"/>
      <c r="M661" s="289"/>
    </row>
    <row r="662" spans="1:13" ht="14.25" customHeight="1" x14ac:dyDescent="0.25">
      <c r="A662" s="289"/>
      <c r="D662" s="251"/>
      <c r="E662" s="251"/>
      <c r="F662" s="251"/>
      <c r="G662" s="251"/>
      <c r="H662" s="251"/>
      <c r="I662" s="251"/>
      <c r="J662" s="289"/>
      <c r="L662" s="251"/>
      <c r="M662" s="289"/>
    </row>
    <row r="663" spans="1:13" ht="14.25" customHeight="1" x14ac:dyDescent="0.25">
      <c r="A663" s="289"/>
      <c r="D663" s="251"/>
      <c r="E663" s="251"/>
      <c r="F663" s="251"/>
      <c r="G663" s="251"/>
      <c r="H663" s="251"/>
      <c r="I663" s="251"/>
      <c r="J663" s="289"/>
      <c r="L663" s="251"/>
      <c r="M663" s="289"/>
    </row>
    <row r="664" spans="1:13" ht="14.25" customHeight="1" x14ac:dyDescent="0.25">
      <c r="A664" s="289"/>
      <c r="D664" s="251"/>
      <c r="E664" s="251"/>
      <c r="F664" s="251"/>
      <c r="G664" s="251"/>
      <c r="H664" s="251"/>
      <c r="I664" s="251"/>
      <c r="J664" s="289"/>
      <c r="L664" s="251"/>
      <c r="M664" s="289"/>
    </row>
    <row r="665" spans="1:13" ht="14.25" customHeight="1" x14ac:dyDescent="0.25">
      <c r="A665" s="289"/>
      <c r="D665" s="251"/>
      <c r="E665" s="251"/>
      <c r="F665" s="251"/>
      <c r="G665" s="251"/>
      <c r="H665" s="251"/>
      <c r="I665" s="251"/>
      <c r="J665" s="289"/>
      <c r="L665" s="251"/>
      <c r="M665" s="289"/>
    </row>
    <row r="666" spans="1:13" ht="14.25" customHeight="1" x14ac:dyDescent="0.25">
      <c r="A666" s="289"/>
      <c r="D666" s="251"/>
      <c r="E666" s="251"/>
      <c r="F666" s="251"/>
      <c r="G666" s="251"/>
      <c r="H666" s="251"/>
      <c r="I666" s="251"/>
      <c r="J666" s="289"/>
      <c r="L666" s="251"/>
      <c r="M666" s="289"/>
    </row>
    <row r="667" spans="1:13" ht="14.25" customHeight="1" x14ac:dyDescent="0.25">
      <c r="A667" s="289"/>
      <c r="D667" s="251"/>
      <c r="E667" s="251"/>
      <c r="F667" s="251"/>
      <c r="G667" s="251"/>
      <c r="H667" s="251"/>
      <c r="I667" s="251"/>
      <c r="J667" s="289"/>
      <c r="L667" s="251"/>
      <c r="M667" s="289"/>
    </row>
    <row r="668" spans="1:13" ht="14.25" customHeight="1" x14ac:dyDescent="0.25">
      <c r="A668" s="289"/>
      <c r="D668" s="251"/>
      <c r="E668" s="251"/>
      <c r="F668" s="251"/>
      <c r="G668" s="251"/>
      <c r="H668" s="251"/>
      <c r="I668" s="251"/>
      <c r="J668" s="289"/>
      <c r="L668" s="251"/>
      <c r="M668" s="289"/>
    </row>
    <row r="669" spans="1:13" ht="14.25" customHeight="1" x14ac:dyDescent="0.25">
      <c r="A669" s="289"/>
      <c r="D669" s="251"/>
      <c r="E669" s="251"/>
      <c r="F669" s="251"/>
      <c r="G669" s="251"/>
      <c r="H669" s="251"/>
      <c r="I669" s="251"/>
      <c r="J669" s="289"/>
      <c r="L669" s="251"/>
      <c r="M669" s="289"/>
    </row>
    <row r="670" spans="1:13" ht="14.25" customHeight="1" x14ac:dyDescent="0.25">
      <c r="A670" s="289"/>
      <c r="D670" s="251"/>
      <c r="E670" s="251"/>
      <c r="F670" s="251"/>
      <c r="G670" s="251"/>
      <c r="H670" s="251"/>
      <c r="I670" s="251"/>
      <c r="J670" s="289"/>
      <c r="L670" s="251"/>
      <c r="M670" s="289"/>
    </row>
    <row r="671" spans="1:13" ht="14.25" customHeight="1" x14ac:dyDescent="0.25">
      <c r="A671" s="289"/>
      <c r="D671" s="251"/>
      <c r="E671" s="251"/>
      <c r="F671" s="251"/>
      <c r="G671" s="251"/>
      <c r="H671" s="251"/>
      <c r="I671" s="251"/>
      <c r="J671" s="289"/>
      <c r="L671" s="251"/>
      <c r="M671" s="289"/>
    </row>
    <row r="672" spans="1:13" ht="14.25" customHeight="1" x14ac:dyDescent="0.25">
      <c r="A672" s="289"/>
      <c r="D672" s="251"/>
      <c r="E672" s="251"/>
      <c r="F672" s="251"/>
      <c r="G672" s="251"/>
      <c r="H672" s="251"/>
      <c r="I672" s="251"/>
      <c r="J672" s="289"/>
      <c r="L672" s="251"/>
      <c r="M672" s="289"/>
    </row>
    <row r="673" spans="1:13" ht="14.25" customHeight="1" x14ac:dyDescent="0.25">
      <c r="A673" s="289"/>
      <c r="D673" s="251"/>
      <c r="E673" s="251"/>
      <c r="F673" s="251"/>
      <c r="G673" s="251"/>
      <c r="H673" s="251"/>
      <c r="I673" s="251"/>
      <c r="J673" s="289"/>
      <c r="L673" s="251"/>
      <c r="M673" s="289"/>
    </row>
    <row r="674" spans="1:13" ht="14.25" customHeight="1" x14ac:dyDescent="0.25">
      <c r="A674" s="289"/>
      <c r="D674" s="251"/>
      <c r="E674" s="251"/>
      <c r="F674" s="251"/>
      <c r="G674" s="251"/>
      <c r="H674" s="251"/>
      <c r="I674" s="251"/>
      <c r="J674" s="289"/>
      <c r="L674" s="251"/>
      <c r="M674" s="289"/>
    </row>
    <row r="675" spans="1:13" ht="14.25" customHeight="1" x14ac:dyDescent="0.25">
      <c r="A675" s="289"/>
      <c r="D675" s="251"/>
      <c r="E675" s="251"/>
      <c r="F675" s="251"/>
      <c r="G675" s="251"/>
      <c r="H675" s="251"/>
      <c r="I675" s="251"/>
      <c r="J675" s="289"/>
      <c r="L675" s="251"/>
      <c r="M675" s="289"/>
    </row>
    <row r="676" spans="1:13" ht="14.25" customHeight="1" x14ac:dyDescent="0.25">
      <c r="A676" s="289"/>
      <c r="D676" s="251"/>
      <c r="E676" s="251"/>
      <c r="F676" s="251"/>
      <c r="G676" s="251"/>
      <c r="H676" s="251"/>
      <c r="I676" s="251"/>
      <c r="J676" s="289"/>
      <c r="L676" s="251"/>
      <c r="M676" s="289"/>
    </row>
    <row r="677" spans="1:13" ht="14.25" customHeight="1" x14ac:dyDescent="0.25">
      <c r="A677" s="289"/>
      <c r="D677" s="251"/>
      <c r="E677" s="251"/>
      <c r="F677" s="251"/>
      <c r="G677" s="251"/>
      <c r="H677" s="251"/>
      <c r="I677" s="251"/>
      <c r="J677" s="289"/>
      <c r="L677" s="251"/>
      <c r="M677" s="289"/>
    </row>
    <row r="678" spans="1:13" ht="14.25" customHeight="1" x14ac:dyDescent="0.25">
      <c r="A678" s="289"/>
      <c r="D678" s="251"/>
      <c r="E678" s="251"/>
      <c r="F678" s="251"/>
      <c r="G678" s="251"/>
      <c r="H678" s="251"/>
      <c r="I678" s="251"/>
      <c r="J678" s="289"/>
      <c r="L678" s="251"/>
      <c r="M678" s="289"/>
    </row>
    <row r="679" spans="1:13" ht="14.25" customHeight="1" x14ac:dyDescent="0.25">
      <c r="A679" s="289"/>
      <c r="D679" s="251"/>
      <c r="E679" s="251"/>
      <c r="F679" s="251"/>
      <c r="G679" s="251"/>
      <c r="H679" s="251"/>
      <c r="I679" s="251"/>
      <c r="J679" s="289"/>
      <c r="L679" s="251"/>
      <c r="M679" s="289"/>
    </row>
    <row r="680" spans="1:13" ht="14.25" customHeight="1" x14ac:dyDescent="0.25">
      <c r="A680" s="289"/>
      <c r="D680" s="251"/>
      <c r="E680" s="251"/>
      <c r="F680" s="251"/>
      <c r="G680" s="251"/>
      <c r="H680" s="251"/>
      <c r="I680" s="251"/>
      <c r="J680" s="289"/>
      <c r="L680" s="251"/>
      <c r="M680" s="289"/>
    </row>
    <row r="681" spans="1:13" ht="14.25" customHeight="1" x14ac:dyDescent="0.25">
      <c r="A681" s="289"/>
      <c r="D681" s="251"/>
      <c r="E681" s="251"/>
      <c r="F681" s="251"/>
      <c r="G681" s="251"/>
      <c r="H681" s="251"/>
      <c r="I681" s="251"/>
      <c r="J681" s="289"/>
      <c r="L681" s="251"/>
      <c r="M681" s="289"/>
    </row>
    <row r="682" spans="1:13" ht="14.25" customHeight="1" x14ac:dyDescent="0.25">
      <c r="A682" s="289"/>
      <c r="D682" s="251"/>
      <c r="E682" s="251"/>
      <c r="F682" s="251"/>
      <c r="G682" s="251"/>
      <c r="H682" s="251"/>
      <c r="I682" s="251"/>
      <c r="J682" s="289"/>
      <c r="L682" s="251"/>
      <c r="M682" s="289"/>
    </row>
    <row r="683" spans="1:13" ht="14.25" customHeight="1" x14ac:dyDescent="0.25">
      <c r="A683" s="289"/>
      <c r="D683" s="251"/>
      <c r="E683" s="251"/>
      <c r="F683" s="251"/>
      <c r="G683" s="251"/>
      <c r="H683" s="251"/>
      <c r="I683" s="251"/>
      <c r="J683" s="289"/>
      <c r="L683" s="251"/>
      <c r="M683" s="289"/>
    </row>
    <row r="684" spans="1:13" ht="14.25" customHeight="1" x14ac:dyDescent="0.25">
      <c r="A684" s="289"/>
      <c r="D684" s="251"/>
      <c r="E684" s="251"/>
      <c r="F684" s="251"/>
      <c r="G684" s="251"/>
      <c r="H684" s="251"/>
      <c r="I684" s="251"/>
      <c r="J684" s="289"/>
      <c r="L684" s="251"/>
      <c r="M684" s="289"/>
    </row>
    <row r="685" spans="1:13" ht="14.25" customHeight="1" x14ac:dyDescent="0.25">
      <c r="A685" s="289"/>
      <c r="D685" s="251"/>
      <c r="E685" s="251"/>
      <c r="F685" s="251"/>
      <c r="G685" s="251"/>
      <c r="H685" s="251"/>
      <c r="I685" s="251"/>
      <c r="J685" s="289"/>
      <c r="L685" s="251"/>
      <c r="M685" s="289"/>
    </row>
    <row r="686" spans="1:13" ht="14.25" customHeight="1" x14ac:dyDescent="0.25">
      <c r="A686" s="289"/>
      <c r="D686" s="251"/>
      <c r="E686" s="251"/>
      <c r="F686" s="251"/>
      <c r="G686" s="251"/>
      <c r="H686" s="251"/>
      <c r="I686" s="251"/>
      <c r="J686" s="289"/>
      <c r="L686" s="251"/>
      <c r="M686" s="289"/>
    </row>
    <row r="687" spans="1:13" ht="14.25" customHeight="1" x14ac:dyDescent="0.25">
      <c r="A687" s="289"/>
      <c r="D687" s="251"/>
      <c r="E687" s="251"/>
      <c r="F687" s="251"/>
      <c r="G687" s="251"/>
      <c r="H687" s="251"/>
      <c r="I687" s="251"/>
      <c r="J687" s="289"/>
      <c r="L687" s="251"/>
      <c r="M687" s="289"/>
    </row>
    <row r="688" spans="1:13" ht="14.25" customHeight="1" x14ac:dyDescent="0.25">
      <c r="A688" s="289"/>
      <c r="D688" s="251"/>
      <c r="E688" s="251"/>
      <c r="F688" s="251"/>
      <c r="G688" s="251"/>
      <c r="H688" s="251"/>
      <c r="I688" s="251"/>
      <c r="J688" s="289"/>
      <c r="L688" s="251"/>
      <c r="M688" s="289"/>
    </row>
    <row r="689" spans="1:13" ht="14.25" customHeight="1" x14ac:dyDescent="0.25">
      <c r="A689" s="289"/>
      <c r="D689" s="251"/>
      <c r="E689" s="251"/>
      <c r="F689" s="251"/>
      <c r="G689" s="251"/>
      <c r="H689" s="251"/>
      <c r="I689" s="251"/>
      <c r="J689" s="289"/>
      <c r="L689" s="251"/>
      <c r="M689" s="289"/>
    </row>
    <row r="690" spans="1:13" ht="14.25" customHeight="1" x14ac:dyDescent="0.25">
      <c r="A690" s="289"/>
      <c r="D690" s="251"/>
      <c r="E690" s="251"/>
      <c r="F690" s="251"/>
      <c r="G690" s="251"/>
      <c r="H690" s="251"/>
      <c r="I690" s="251"/>
      <c r="J690" s="289"/>
      <c r="L690" s="251"/>
      <c r="M690" s="289"/>
    </row>
    <row r="691" spans="1:13" ht="14.25" customHeight="1" x14ac:dyDescent="0.25">
      <c r="A691" s="289"/>
      <c r="D691" s="251"/>
      <c r="E691" s="251"/>
      <c r="F691" s="251"/>
      <c r="G691" s="251"/>
      <c r="H691" s="251"/>
      <c r="I691" s="251"/>
      <c r="J691" s="289"/>
      <c r="L691" s="251"/>
      <c r="M691" s="289"/>
    </row>
    <row r="692" spans="1:13" ht="14.25" customHeight="1" x14ac:dyDescent="0.25">
      <c r="A692" s="289"/>
      <c r="D692" s="251"/>
      <c r="E692" s="251"/>
      <c r="F692" s="251"/>
      <c r="G692" s="251"/>
      <c r="H692" s="251"/>
      <c r="I692" s="251"/>
      <c r="J692" s="289"/>
      <c r="L692" s="251"/>
      <c r="M692" s="289"/>
    </row>
    <row r="693" spans="1:13" ht="14.25" customHeight="1" x14ac:dyDescent="0.25">
      <c r="A693" s="289"/>
      <c r="D693" s="251"/>
      <c r="E693" s="251"/>
      <c r="F693" s="251"/>
      <c r="G693" s="251"/>
      <c r="H693" s="251"/>
      <c r="I693" s="251"/>
      <c r="J693" s="289"/>
      <c r="L693" s="251"/>
      <c r="M693" s="289"/>
    </row>
    <row r="694" spans="1:13" ht="14.25" customHeight="1" x14ac:dyDescent="0.25">
      <c r="A694" s="289"/>
      <c r="D694" s="251"/>
      <c r="E694" s="251"/>
      <c r="F694" s="251"/>
      <c r="G694" s="251"/>
      <c r="H694" s="251"/>
      <c r="I694" s="251"/>
      <c r="J694" s="289"/>
      <c r="L694" s="251"/>
      <c r="M694" s="289"/>
    </row>
    <row r="695" spans="1:13" ht="14.25" customHeight="1" x14ac:dyDescent="0.25">
      <c r="A695" s="289"/>
      <c r="D695" s="251"/>
      <c r="E695" s="251"/>
      <c r="F695" s="251"/>
      <c r="G695" s="251"/>
      <c r="H695" s="251"/>
      <c r="I695" s="251"/>
      <c r="J695" s="289"/>
      <c r="L695" s="251"/>
      <c r="M695" s="289"/>
    </row>
    <row r="696" spans="1:13" ht="14.25" customHeight="1" x14ac:dyDescent="0.25">
      <c r="A696" s="289"/>
      <c r="D696" s="251"/>
      <c r="E696" s="251"/>
      <c r="F696" s="251"/>
      <c r="G696" s="251"/>
      <c r="H696" s="251"/>
      <c r="I696" s="251"/>
      <c r="J696" s="289"/>
      <c r="L696" s="251"/>
      <c r="M696" s="289"/>
    </row>
    <row r="697" spans="1:13" ht="14.25" customHeight="1" x14ac:dyDescent="0.25">
      <c r="A697" s="289"/>
      <c r="D697" s="251"/>
      <c r="E697" s="251"/>
      <c r="F697" s="251"/>
      <c r="G697" s="251"/>
      <c r="H697" s="251"/>
      <c r="I697" s="251"/>
      <c r="J697" s="289"/>
      <c r="L697" s="251"/>
      <c r="M697" s="289"/>
    </row>
    <row r="698" spans="1:13" ht="14.25" customHeight="1" x14ac:dyDescent="0.25">
      <c r="A698" s="289"/>
      <c r="D698" s="251"/>
      <c r="E698" s="251"/>
      <c r="F698" s="251"/>
      <c r="G698" s="251"/>
      <c r="H698" s="251"/>
      <c r="I698" s="251"/>
      <c r="J698" s="289"/>
      <c r="L698" s="251"/>
      <c r="M698" s="289"/>
    </row>
    <row r="699" spans="1:13" ht="14.25" customHeight="1" x14ac:dyDescent="0.25">
      <c r="A699" s="289"/>
      <c r="D699" s="251"/>
      <c r="E699" s="251"/>
      <c r="F699" s="251"/>
      <c r="G699" s="251"/>
      <c r="H699" s="251"/>
      <c r="I699" s="251"/>
      <c r="J699" s="289"/>
      <c r="L699" s="251"/>
      <c r="M699" s="289"/>
    </row>
    <row r="700" spans="1:13" ht="14.25" customHeight="1" x14ac:dyDescent="0.25">
      <c r="A700" s="289"/>
      <c r="D700" s="251"/>
      <c r="E700" s="251"/>
      <c r="F700" s="251"/>
      <c r="G700" s="251"/>
      <c r="H700" s="251"/>
      <c r="I700" s="251"/>
      <c r="J700" s="289"/>
      <c r="L700" s="251"/>
      <c r="M700" s="289"/>
    </row>
    <row r="701" spans="1:13" ht="14.25" customHeight="1" x14ac:dyDescent="0.25">
      <c r="A701" s="289"/>
      <c r="D701" s="251"/>
      <c r="E701" s="251"/>
      <c r="F701" s="251"/>
      <c r="G701" s="251"/>
      <c r="H701" s="251"/>
      <c r="I701" s="251"/>
      <c r="J701" s="289"/>
      <c r="L701" s="251"/>
      <c r="M701" s="289"/>
    </row>
    <row r="702" spans="1:13" ht="14.25" customHeight="1" x14ac:dyDescent="0.25">
      <c r="A702" s="289"/>
      <c r="D702" s="251"/>
      <c r="E702" s="251"/>
      <c r="F702" s="251"/>
      <c r="G702" s="251"/>
      <c r="H702" s="251"/>
      <c r="I702" s="251"/>
      <c r="J702" s="289"/>
      <c r="L702" s="251"/>
      <c r="M702" s="289"/>
    </row>
    <row r="703" spans="1:13" ht="14.25" customHeight="1" x14ac:dyDescent="0.25">
      <c r="A703" s="289"/>
      <c r="D703" s="251"/>
      <c r="E703" s="251"/>
      <c r="F703" s="251"/>
      <c r="G703" s="251"/>
      <c r="H703" s="251"/>
      <c r="I703" s="251"/>
      <c r="J703" s="289"/>
      <c r="L703" s="251"/>
      <c r="M703" s="289"/>
    </row>
    <row r="704" spans="1:13" ht="14.25" customHeight="1" x14ac:dyDescent="0.25">
      <c r="A704" s="289"/>
      <c r="D704" s="251"/>
      <c r="E704" s="251"/>
      <c r="F704" s="251"/>
      <c r="G704" s="251"/>
      <c r="H704" s="251"/>
      <c r="I704" s="251"/>
      <c r="J704" s="289"/>
      <c r="L704" s="251"/>
      <c r="M704" s="289"/>
    </row>
    <row r="705" spans="1:13" ht="14.25" customHeight="1" x14ac:dyDescent="0.25">
      <c r="A705" s="289"/>
      <c r="D705" s="251"/>
      <c r="E705" s="251"/>
      <c r="F705" s="251"/>
      <c r="G705" s="251"/>
      <c r="H705" s="251"/>
      <c r="I705" s="251"/>
      <c r="J705" s="289"/>
      <c r="L705" s="251"/>
      <c r="M705" s="289"/>
    </row>
    <row r="706" spans="1:13" ht="14.25" customHeight="1" x14ac:dyDescent="0.25">
      <c r="A706" s="289"/>
      <c r="D706" s="251"/>
      <c r="E706" s="251"/>
      <c r="F706" s="251"/>
      <c r="G706" s="251"/>
      <c r="H706" s="251"/>
      <c r="I706" s="251"/>
      <c r="J706" s="289"/>
      <c r="L706" s="251"/>
      <c r="M706" s="289"/>
    </row>
    <row r="707" spans="1:13" ht="14.25" customHeight="1" x14ac:dyDescent="0.25">
      <c r="A707" s="289"/>
      <c r="D707" s="251"/>
      <c r="E707" s="251"/>
      <c r="F707" s="251"/>
      <c r="G707" s="251"/>
      <c r="H707" s="251"/>
      <c r="I707" s="251"/>
      <c r="J707" s="289"/>
      <c r="L707" s="251"/>
      <c r="M707" s="289"/>
    </row>
    <row r="708" spans="1:13" ht="14.25" customHeight="1" x14ac:dyDescent="0.25">
      <c r="A708" s="289"/>
      <c r="D708" s="251"/>
      <c r="E708" s="251"/>
      <c r="F708" s="251"/>
      <c r="G708" s="251"/>
      <c r="H708" s="251"/>
      <c r="I708" s="251"/>
      <c r="J708" s="289"/>
      <c r="L708" s="251"/>
      <c r="M708" s="289"/>
    </row>
    <row r="709" spans="1:13" ht="14.25" customHeight="1" x14ac:dyDescent="0.25">
      <c r="A709" s="289"/>
      <c r="D709" s="251"/>
      <c r="E709" s="251"/>
      <c r="F709" s="251"/>
      <c r="G709" s="251"/>
      <c r="H709" s="251"/>
      <c r="I709" s="251"/>
      <c r="J709" s="289"/>
      <c r="L709" s="251"/>
      <c r="M709" s="289"/>
    </row>
    <row r="710" spans="1:13" ht="14.25" customHeight="1" x14ac:dyDescent="0.25">
      <c r="A710" s="289"/>
      <c r="D710" s="251"/>
      <c r="E710" s="251"/>
      <c r="F710" s="251"/>
      <c r="G710" s="251"/>
      <c r="H710" s="251"/>
      <c r="I710" s="251"/>
      <c r="J710" s="289"/>
      <c r="L710" s="251"/>
      <c r="M710" s="289"/>
    </row>
    <row r="711" spans="1:13" ht="14.25" customHeight="1" x14ac:dyDescent="0.25">
      <c r="A711" s="289"/>
      <c r="D711" s="251"/>
      <c r="E711" s="251"/>
      <c r="F711" s="251"/>
      <c r="G711" s="251"/>
      <c r="H711" s="251"/>
      <c r="I711" s="251"/>
      <c r="J711" s="289"/>
      <c r="L711" s="251"/>
      <c r="M711" s="289"/>
    </row>
    <row r="712" spans="1:13" ht="14.25" customHeight="1" x14ac:dyDescent="0.25">
      <c r="A712" s="289"/>
      <c r="D712" s="251"/>
      <c r="E712" s="251"/>
      <c r="F712" s="251"/>
      <c r="G712" s="251"/>
      <c r="H712" s="251"/>
      <c r="I712" s="251"/>
      <c r="J712" s="289"/>
      <c r="L712" s="251"/>
      <c r="M712" s="289"/>
    </row>
    <row r="713" spans="1:13" ht="14.25" customHeight="1" x14ac:dyDescent="0.25">
      <c r="A713" s="289"/>
      <c r="D713" s="251"/>
      <c r="E713" s="251"/>
      <c r="F713" s="251"/>
      <c r="G713" s="251"/>
      <c r="H713" s="251"/>
      <c r="I713" s="251"/>
      <c r="J713" s="289"/>
      <c r="L713" s="251"/>
      <c r="M713" s="289"/>
    </row>
    <row r="714" spans="1:13" ht="14.25" customHeight="1" x14ac:dyDescent="0.25">
      <c r="A714" s="289"/>
      <c r="D714" s="251"/>
      <c r="E714" s="251"/>
      <c r="F714" s="251"/>
      <c r="G714" s="251"/>
      <c r="H714" s="251"/>
      <c r="I714" s="251"/>
      <c r="J714" s="289"/>
      <c r="L714" s="251"/>
      <c r="M714" s="289"/>
    </row>
    <row r="715" spans="1:13" ht="14.25" customHeight="1" x14ac:dyDescent="0.25">
      <c r="A715" s="289"/>
      <c r="D715" s="251"/>
      <c r="E715" s="251"/>
      <c r="F715" s="251"/>
      <c r="G715" s="251"/>
      <c r="H715" s="251"/>
      <c r="I715" s="251"/>
      <c r="J715" s="289"/>
      <c r="L715" s="251"/>
      <c r="M715" s="289"/>
    </row>
    <row r="716" spans="1:13" ht="14.25" customHeight="1" x14ac:dyDescent="0.25">
      <c r="A716" s="289"/>
      <c r="D716" s="251"/>
      <c r="E716" s="251"/>
      <c r="F716" s="251"/>
      <c r="G716" s="251"/>
      <c r="H716" s="251"/>
      <c r="I716" s="251"/>
      <c r="J716" s="289"/>
      <c r="L716" s="251"/>
      <c r="M716" s="289"/>
    </row>
    <row r="717" spans="1:13" ht="14.25" customHeight="1" x14ac:dyDescent="0.25">
      <c r="A717" s="289"/>
      <c r="D717" s="251"/>
      <c r="E717" s="251"/>
      <c r="F717" s="251"/>
      <c r="G717" s="251"/>
      <c r="H717" s="251"/>
      <c r="I717" s="251"/>
      <c r="J717" s="289"/>
      <c r="L717" s="251"/>
      <c r="M717" s="289"/>
    </row>
    <row r="718" spans="1:13" ht="14.25" customHeight="1" x14ac:dyDescent="0.25">
      <c r="A718" s="289"/>
      <c r="D718" s="251"/>
      <c r="E718" s="251"/>
      <c r="F718" s="251"/>
      <c r="G718" s="251"/>
      <c r="H718" s="251"/>
      <c r="I718" s="251"/>
      <c r="J718" s="289"/>
      <c r="L718" s="251"/>
      <c r="M718" s="289"/>
    </row>
    <row r="719" spans="1:13" ht="14.25" customHeight="1" x14ac:dyDescent="0.25">
      <c r="A719" s="289"/>
      <c r="D719" s="251"/>
      <c r="E719" s="251"/>
      <c r="F719" s="251"/>
      <c r="G719" s="251"/>
      <c r="H719" s="251"/>
      <c r="I719" s="251"/>
      <c r="J719" s="289"/>
      <c r="L719" s="251"/>
      <c r="M719" s="289"/>
    </row>
    <row r="720" spans="1:13" ht="14.25" customHeight="1" x14ac:dyDescent="0.25">
      <c r="A720" s="289"/>
      <c r="D720" s="251"/>
      <c r="E720" s="251"/>
      <c r="F720" s="251"/>
      <c r="G720" s="251"/>
      <c r="H720" s="251"/>
      <c r="I720" s="251"/>
      <c r="J720" s="289"/>
      <c r="L720" s="251"/>
      <c r="M720" s="289"/>
    </row>
    <row r="721" spans="1:13" ht="14.25" customHeight="1" x14ac:dyDescent="0.25">
      <c r="A721" s="289"/>
      <c r="D721" s="251"/>
      <c r="E721" s="251"/>
      <c r="F721" s="251"/>
      <c r="G721" s="251"/>
      <c r="H721" s="251"/>
      <c r="I721" s="251"/>
      <c r="J721" s="289"/>
      <c r="L721" s="251"/>
      <c r="M721" s="289"/>
    </row>
    <row r="722" spans="1:13" ht="14.25" customHeight="1" x14ac:dyDescent="0.25">
      <c r="A722" s="289"/>
      <c r="D722" s="251"/>
      <c r="E722" s="251"/>
      <c r="F722" s="251"/>
      <c r="G722" s="251"/>
      <c r="H722" s="251"/>
      <c r="I722" s="251"/>
      <c r="J722" s="289"/>
      <c r="L722" s="251"/>
      <c r="M722" s="289"/>
    </row>
    <row r="723" spans="1:13" ht="14.25" customHeight="1" x14ac:dyDescent="0.25">
      <c r="A723" s="289"/>
      <c r="D723" s="251"/>
      <c r="E723" s="251"/>
      <c r="F723" s="251"/>
      <c r="G723" s="251"/>
      <c r="H723" s="251"/>
      <c r="I723" s="251"/>
      <c r="J723" s="289"/>
      <c r="L723" s="251"/>
      <c r="M723" s="289"/>
    </row>
    <row r="724" spans="1:13" ht="14.25" customHeight="1" x14ac:dyDescent="0.25">
      <c r="A724" s="289"/>
      <c r="D724" s="251"/>
      <c r="E724" s="251"/>
      <c r="F724" s="251"/>
      <c r="G724" s="251"/>
      <c r="H724" s="251"/>
      <c r="I724" s="251"/>
      <c r="J724" s="289"/>
      <c r="L724" s="251"/>
      <c r="M724" s="289"/>
    </row>
    <row r="725" spans="1:13" ht="14.25" customHeight="1" x14ac:dyDescent="0.25">
      <c r="A725" s="289"/>
      <c r="D725" s="251"/>
      <c r="E725" s="251"/>
      <c r="F725" s="251"/>
      <c r="G725" s="251"/>
      <c r="H725" s="251"/>
      <c r="I725" s="251"/>
      <c r="J725" s="289"/>
      <c r="L725" s="251"/>
      <c r="M725" s="289"/>
    </row>
    <row r="726" spans="1:13" ht="14.25" customHeight="1" x14ac:dyDescent="0.25">
      <c r="A726" s="289"/>
      <c r="D726" s="251"/>
      <c r="E726" s="251"/>
      <c r="F726" s="251"/>
      <c r="G726" s="251"/>
      <c r="H726" s="251"/>
      <c r="I726" s="251"/>
      <c r="J726" s="289"/>
      <c r="L726" s="251"/>
      <c r="M726" s="289"/>
    </row>
    <row r="727" spans="1:13" ht="14.25" customHeight="1" x14ac:dyDescent="0.25">
      <c r="A727" s="289"/>
      <c r="D727" s="251"/>
      <c r="E727" s="251"/>
      <c r="F727" s="251"/>
      <c r="G727" s="251"/>
      <c r="H727" s="251"/>
      <c r="I727" s="251"/>
      <c r="J727" s="289"/>
      <c r="L727" s="251"/>
      <c r="M727" s="289"/>
    </row>
    <row r="728" spans="1:13" ht="14.25" customHeight="1" x14ac:dyDescent="0.25">
      <c r="A728" s="289"/>
      <c r="D728" s="251"/>
      <c r="E728" s="251"/>
      <c r="F728" s="251"/>
      <c r="G728" s="251"/>
      <c r="H728" s="251"/>
      <c r="I728" s="251"/>
      <c r="J728" s="289"/>
      <c r="L728" s="251"/>
      <c r="M728" s="289"/>
    </row>
    <row r="729" spans="1:13" ht="14.25" customHeight="1" x14ac:dyDescent="0.25">
      <c r="A729" s="289"/>
      <c r="D729" s="251"/>
      <c r="E729" s="251"/>
      <c r="F729" s="251"/>
      <c r="G729" s="251"/>
      <c r="H729" s="251"/>
      <c r="I729" s="251"/>
      <c r="J729" s="289"/>
      <c r="L729" s="251"/>
      <c r="M729" s="289"/>
    </row>
    <row r="730" spans="1:13" ht="14.25" customHeight="1" x14ac:dyDescent="0.25">
      <c r="A730" s="289"/>
      <c r="D730" s="251"/>
      <c r="E730" s="251"/>
      <c r="F730" s="251"/>
      <c r="G730" s="251"/>
      <c r="H730" s="251"/>
      <c r="I730" s="251"/>
      <c r="J730" s="289"/>
      <c r="L730" s="251"/>
      <c r="M730" s="289"/>
    </row>
    <row r="731" spans="1:13" ht="14.25" customHeight="1" x14ac:dyDescent="0.25">
      <c r="A731" s="289"/>
      <c r="D731" s="251"/>
      <c r="E731" s="251"/>
      <c r="F731" s="251"/>
      <c r="G731" s="251"/>
      <c r="H731" s="251"/>
      <c r="I731" s="251"/>
      <c r="J731" s="289"/>
      <c r="L731" s="251"/>
      <c r="M731" s="289"/>
    </row>
    <row r="732" spans="1:13" ht="14.25" customHeight="1" x14ac:dyDescent="0.25">
      <c r="A732" s="289"/>
      <c r="D732" s="251"/>
      <c r="E732" s="251"/>
      <c r="F732" s="251"/>
      <c r="G732" s="251"/>
      <c r="H732" s="251"/>
      <c r="I732" s="251"/>
      <c r="J732" s="289"/>
      <c r="L732" s="251"/>
      <c r="M732" s="289"/>
    </row>
    <row r="733" spans="1:13" ht="14.25" customHeight="1" x14ac:dyDescent="0.25">
      <c r="A733" s="289"/>
      <c r="D733" s="251"/>
      <c r="E733" s="251"/>
      <c r="F733" s="251"/>
      <c r="G733" s="251"/>
      <c r="H733" s="251"/>
      <c r="I733" s="251"/>
      <c r="J733" s="289"/>
      <c r="L733" s="251"/>
      <c r="M733" s="289"/>
    </row>
    <row r="734" spans="1:13" ht="14.25" customHeight="1" x14ac:dyDescent="0.25">
      <c r="A734" s="289"/>
      <c r="D734" s="251"/>
      <c r="E734" s="251"/>
      <c r="F734" s="251"/>
      <c r="G734" s="251"/>
      <c r="H734" s="251"/>
      <c r="I734" s="251"/>
      <c r="J734" s="289"/>
      <c r="L734" s="251"/>
      <c r="M734" s="289"/>
    </row>
    <row r="735" spans="1:13" ht="14.25" customHeight="1" x14ac:dyDescent="0.25">
      <c r="A735" s="289"/>
      <c r="D735" s="251"/>
      <c r="E735" s="251"/>
      <c r="F735" s="251"/>
      <c r="G735" s="251"/>
      <c r="H735" s="251"/>
      <c r="I735" s="251"/>
      <c r="J735" s="289"/>
      <c r="L735" s="251"/>
      <c r="M735" s="289"/>
    </row>
  </sheetData>
  <mergeCells count="4">
    <mergeCell ref="A5:M5"/>
    <mergeCell ref="A7:M7"/>
    <mergeCell ref="B9:I9"/>
    <mergeCell ref="K9:L9"/>
  </mergeCells>
  <pageMargins left="0.511811024" right="0.511811024" top="0.78740157499999996" bottom="0.78740157499999996" header="0" footer="0"/>
  <pageSetup paperSize="9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57C6F-CA29-4DFE-8424-747A866A7B25}">
  <sheetPr>
    <tabColor rgb="FF0070C0"/>
  </sheetPr>
  <dimension ref="A1:W793"/>
  <sheetViews>
    <sheetView showGridLines="0" workbookViewId="0">
      <selection activeCell="F11" sqref="F11"/>
    </sheetView>
  </sheetViews>
  <sheetFormatPr defaultColWidth="14.42578125" defaultRowHeight="15" customHeight="1" x14ac:dyDescent="0.25"/>
  <cols>
    <col min="1" max="1" width="12.28515625" customWidth="1"/>
    <col min="2" max="2" width="14.5703125" customWidth="1"/>
    <col min="3" max="3" width="47.5703125" bestFit="1" customWidth="1"/>
    <col min="4" max="4" width="11.140625" bestFit="1" customWidth="1"/>
    <col min="5" max="5" width="10.7109375" customWidth="1"/>
    <col min="6" max="6" width="10.85546875" bestFit="1" customWidth="1"/>
    <col min="7" max="7" width="9.28515625" bestFit="1" customWidth="1"/>
    <col min="8" max="8" width="17.28515625" bestFit="1" customWidth="1"/>
    <col min="9" max="9" width="12.5703125" customWidth="1"/>
    <col min="10" max="10" width="8.85546875" customWidth="1"/>
    <col min="11" max="11" width="47.5703125" bestFit="1" customWidth="1"/>
    <col min="12" max="12" width="20.7109375" customWidth="1"/>
    <col min="13" max="13" width="27" customWidth="1"/>
    <col min="14" max="23" width="8.7109375" customWidth="1"/>
  </cols>
  <sheetData>
    <row r="1" spans="1:23" ht="15" customHeight="1" x14ac:dyDescent="0.25">
      <c r="A1" s="214" t="s">
        <v>0</v>
      </c>
      <c r="B1" s="712" t="str">
        <f>DADOS_INICIAIS!B1</f>
        <v>MONOLYT</v>
      </c>
      <c r="C1" s="400"/>
      <c r="D1" s="401"/>
      <c r="E1" s="401"/>
      <c r="F1" s="401"/>
      <c r="G1" s="401"/>
      <c r="H1" s="401"/>
      <c r="I1" s="401"/>
      <c r="J1" s="402"/>
      <c r="K1" s="402"/>
      <c r="L1" s="401"/>
      <c r="M1" s="403"/>
    </row>
    <row r="2" spans="1:23" ht="15" customHeight="1" x14ac:dyDescent="0.25">
      <c r="A2" s="219" t="s">
        <v>113</v>
      </c>
      <c r="B2" s="399" t="str">
        <f>DADOS_INICIAIS!B2</f>
        <v>BLUE HEAVEN</v>
      </c>
      <c r="C2" s="405"/>
      <c r="D2" s="406"/>
      <c r="E2" s="406"/>
      <c r="F2" s="406"/>
      <c r="G2" s="406"/>
      <c r="H2" s="406"/>
      <c r="I2" s="406"/>
      <c r="J2" s="407"/>
      <c r="K2" s="407"/>
      <c r="L2" s="406"/>
      <c r="M2" s="408"/>
    </row>
    <row r="3" spans="1:23" ht="15" customHeight="1" x14ac:dyDescent="0.25">
      <c r="A3" s="219" t="s">
        <v>1</v>
      </c>
      <c r="B3" s="404" t="s">
        <v>161</v>
      </c>
      <c r="C3" s="405"/>
      <c r="D3" s="406"/>
      <c r="E3" s="406"/>
      <c r="F3" s="406"/>
      <c r="G3" s="406"/>
      <c r="H3" s="406"/>
      <c r="I3" s="406"/>
      <c r="J3" s="407"/>
      <c r="K3" s="407"/>
      <c r="L3" s="406"/>
      <c r="M3" s="408"/>
    </row>
    <row r="4" spans="1:23" ht="15" customHeight="1" x14ac:dyDescent="0.25">
      <c r="A4" s="409" t="s">
        <v>160</v>
      </c>
      <c r="B4" s="713">
        <v>45447</v>
      </c>
      <c r="C4" s="405"/>
      <c r="D4" s="411"/>
      <c r="E4" s="411"/>
      <c r="F4" s="411"/>
      <c r="G4" s="411"/>
      <c r="H4" s="411"/>
      <c r="I4" s="411"/>
      <c r="J4" s="412"/>
      <c r="K4" s="412"/>
      <c r="L4" s="411"/>
      <c r="M4" s="408"/>
    </row>
    <row r="5" spans="1:23" ht="24.6" customHeight="1" x14ac:dyDescent="0.25">
      <c r="A5" s="1061" t="s">
        <v>283</v>
      </c>
      <c r="B5" s="1062"/>
      <c r="C5" s="1062"/>
      <c r="D5" s="1062"/>
      <c r="E5" s="1062"/>
      <c r="F5" s="1062"/>
      <c r="G5" s="1062"/>
      <c r="H5" s="1062"/>
      <c r="I5" s="1062"/>
      <c r="J5" s="1062"/>
      <c r="K5" s="1062"/>
      <c r="L5" s="1062"/>
      <c r="M5" s="1063"/>
    </row>
    <row r="6" spans="1:23" ht="9.6" customHeight="1" x14ac:dyDescent="0.25">
      <c r="A6" s="284"/>
      <c r="B6" s="289"/>
      <c r="C6" s="289"/>
      <c r="D6" s="413"/>
      <c r="E6" s="413"/>
      <c r="F6" s="413"/>
      <c r="G6" s="413"/>
      <c r="H6" s="413"/>
      <c r="I6" s="413"/>
      <c r="J6" s="289"/>
      <c r="K6" s="289"/>
      <c r="L6" s="413"/>
      <c r="M6" s="285"/>
    </row>
    <row r="7" spans="1:23" ht="23.45" customHeight="1" x14ac:dyDescent="0.25">
      <c r="A7" s="1064" t="s">
        <v>539</v>
      </c>
      <c r="B7" s="1062"/>
      <c r="C7" s="1062"/>
      <c r="D7" s="1062"/>
      <c r="E7" s="1062"/>
      <c r="F7" s="1062"/>
      <c r="G7" s="1062"/>
      <c r="H7" s="1062"/>
      <c r="I7" s="1062"/>
      <c r="J7" s="1062"/>
      <c r="K7" s="1062"/>
      <c r="L7" s="1062"/>
      <c r="M7" s="1063"/>
    </row>
    <row r="8" spans="1:23" ht="30" customHeight="1" thickBot="1" x14ac:dyDescent="0.3">
      <c r="A8" s="284"/>
      <c r="B8" s="289"/>
      <c r="C8" s="289"/>
      <c r="D8" s="413"/>
      <c r="E8" s="413"/>
      <c r="F8" s="413"/>
      <c r="G8" s="413"/>
      <c r="H8" s="413"/>
      <c r="I8" s="413"/>
      <c r="J8" s="289"/>
      <c r="K8" s="289"/>
      <c r="L8" s="413"/>
      <c r="M8" s="285"/>
      <c r="N8" s="289"/>
      <c r="O8" s="289"/>
      <c r="P8" s="289"/>
      <c r="Q8" s="289"/>
      <c r="R8" s="289"/>
      <c r="S8" s="289"/>
      <c r="T8" s="289"/>
      <c r="U8" s="289"/>
      <c r="V8" s="289"/>
      <c r="W8" s="289"/>
    </row>
    <row r="9" spans="1:23" s="189" customFormat="1" ht="14.25" customHeight="1" thickBot="1" x14ac:dyDescent="0.3">
      <c r="A9" s="724"/>
      <c r="B9" s="1125" t="s">
        <v>521</v>
      </c>
      <c r="C9" s="1126"/>
      <c r="D9" s="1126"/>
      <c r="E9" s="1126"/>
      <c r="F9" s="1126"/>
      <c r="G9" s="1126"/>
      <c r="H9" s="1126"/>
      <c r="I9" s="1127"/>
      <c r="J9" s="725"/>
      <c r="K9" s="1125" t="s">
        <v>540</v>
      </c>
      <c r="L9" s="1127"/>
      <c r="M9" s="726"/>
    </row>
    <row r="10" spans="1:23" ht="14.25" customHeight="1" x14ac:dyDescent="0.25">
      <c r="A10" s="284"/>
      <c r="B10" s="414" t="s">
        <v>522</v>
      </c>
      <c r="C10" s="415" t="s">
        <v>535</v>
      </c>
      <c r="D10" s="435" t="s">
        <v>536</v>
      </c>
      <c r="E10" s="435" t="s">
        <v>537</v>
      </c>
      <c r="F10" s="416" t="s">
        <v>18</v>
      </c>
      <c r="G10" s="417" t="s">
        <v>524</v>
      </c>
      <c r="H10" s="727" t="s">
        <v>1124</v>
      </c>
      <c r="I10" s="418" t="s">
        <v>520</v>
      </c>
      <c r="J10" s="289"/>
      <c r="K10" s="234" t="s">
        <v>538</v>
      </c>
      <c r="L10" s="418" t="s">
        <v>520</v>
      </c>
      <c r="M10" s="285"/>
    </row>
    <row r="11" spans="1:23" ht="14.25" customHeight="1" x14ac:dyDescent="0.25">
      <c r="A11" s="284"/>
      <c r="B11" s="419" t="s">
        <v>202</v>
      </c>
      <c r="C11" s="420" t="s">
        <v>1115</v>
      </c>
      <c r="D11" s="437">
        <v>0.9</v>
      </c>
      <c r="E11" s="437">
        <v>2.1</v>
      </c>
      <c r="F11" s="421">
        <v>8</v>
      </c>
      <c r="G11" s="422">
        <v>1</v>
      </c>
      <c r="H11" s="728">
        <v>1750</v>
      </c>
      <c r="I11" s="423">
        <f>G11*F11*H11</f>
        <v>14000</v>
      </c>
      <c r="J11" s="289" t="s">
        <v>1126</v>
      </c>
      <c r="K11" s="439" t="str" cm="1">
        <f t="array" ref="K11:K12">_xlfn.UNIQUE(C11:C13)</f>
        <v>PORTA CORTA FOGO 90x210cm COM BARRA ANTIPÂNICO</v>
      </c>
      <c r="L11" s="424">
        <f>SUMIF(C:C,K11,I:I)</f>
        <v>14000</v>
      </c>
      <c r="M11" s="285"/>
    </row>
    <row r="12" spans="1:23" ht="14.25" customHeight="1" x14ac:dyDescent="0.25">
      <c r="A12" s="284"/>
      <c r="B12" s="425"/>
      <c r="C12" s="426"/>
      <c r="D12" s="440"/>
      <c r="E12" s="440"/>
      <c r="F12" s="427"/>
      <c r="G12" s="428"/>
      <c r="H12" s="729"/>
      <c r="I12" s="429">
        <f>G12*PORTA_CORTA_FOGO!$F12</f>
        <v>0</v>
      </c>
      <c r="J12" s="289"/>
      <c r="K12" s="442">
        <v>0</v>
      </c>
      <c r="L12" s="429"/>
      <c r="M12" s="285"/>
    </row>
    <row r="13" spans="1:23" ht="14.25" customHeight="1" x14ac:dyDescent="0.25">
      <c r="A13" s="284"/>
      <c r="B13" s="432"/>
      <c r="C13" s="433"/>
      <c r="D13" s="443"/>
      <c r="E13" s="443"/>
      <c r="F13" s="434"/>
      <c r="G13" s="428"/>
      <c r="H13" s="729"/>
      <c r="I13" s="429">
        <f>G13*PORTA_CORTA_FOGO!$F13</f>
        <v>0</v>
      </c>
      <c r="J13" s="289"/>
      <c r="K13" s="442"/>
      <c r="L13" s="429"/>
      <c r="M13" s="285"/>
    </row>
    <row r="14" spans="1:23" ht="14.25" customHeight="1" x14ac:dyDescent="0.25">
      <c r="A14" s="284"/>
      <c r="B14" s="305"/>
      <c r="C14" s="305"/>
      <c r="D14" s="251"/>
      <c r="E14" s="251"/>
      <c r="F14" s="251"/>
      <c r="G14" s="251"/>
      <c r="H14" s="251"/>
      <c r="I14" s="735">
        <f>SUM(I11:I13)</f>
        <v>14000</v>
      </c>
      <c r="J14" s="736"/>
      <c r="K14" s="305"/>
      <c r="L14" s="251"/>
      <c r="M14" s="285"/>
    </row>
    <row r="15" spans="1:23" ht="14.25" customHeight="1" x14ac:dyDescent="0.25">
      <c r="A15" s="284"/>
      <c r="B15" s="305"/>
      <c r="C15" s="305"/>
      <c r="D15" s="251"/>
      <c r="E15" s="251"/>
      <c r="F15" s="251"/>
      <c r="G15" s="251"/>
      <c r="H15" s="251"/>
      <c r="I15" s="251">
        <f>I14*1.1</f>
        <v>15400.000000000002</v>
      </c>
      <c r="J15" s="289"/>
      <c r="K15" s="305"/>
      <c r="L15" s="251"/>
      <c r="M15" s="285"/>
    </row>
    <row r="16" spans="1:23" ht="14.25" customHeight="1" x14ac:dyDescent="0.25">
      <c r="A16" s="284"/>
      <c r="B16" s="305"/>
      <c r="C16" s="305"/>
      <c r="D16" s="251"/>
      <c r="E16" s="251"/>
      <c r="F16" s="251"/>
      <c r="G16" s="251"/>
      <c r="H16" s="251"/>
      <c r="I16" s="251"/>
      <c r="J16" s="289"/>
      <c r="K16" s="305"/>
      <c r="L16" s="251"/>
      <c r="M16" s="285"/>
    </row>
    <row r="17" spans="1:13" ht="14.25" customHeight="1" thickBot="1" x14ac:dyDescent="0.3">
      <c r="A17" s="297"/>
      <c r="B17" s="449"/>
      <c r="C17" s="449"/>
      <c r="D17" s="450"/>
      <c r="E17" s="450"/>
      <c r="F17" s="450"/>
      <c r="G17" s="450"/>
      <c r="H17" s="450"/>
      <c r="I17" s="450"/>
      <c r="J17" s="298"/>
      <c r="K17" s="449"/>
      <c r="L17" s="450"/>
      <c r="M17" s="299"/>
    </row>
    <row r="18" spans="1:13" ht="14.25" customHeight="1" x14ac:dyDescent="0.25">
      <c r="A18" s="289"/>
      <c r="D18" s="251"/>
      <c r="E18" s="251"/>
      <c r="F18" s="251"/>
      <c r="G18" s="251"/>
      <c r="H18" s="251"/>
      <c r="I18" s="251"/>
      <c r="J18" s="289"/>
      <c r="L18" s="251"/>
      <c r="M18" s="289"/>
    </row>
    <row r="19" spans="1:13" ht="14.25" customHeight="1" x14ac:dyDescent="0.25">
      <c r="A19" s="289"/>
      <c r="D19" s="251"/>
      <c r="E19" s="251"/>
      <c r="F19" s="251"/>
      <c r="G19" s="251"/>
      <c r="H19" s="251"/>
      <c r="I19" s="251"/>
      <c r="J19" s="289"/>
      <c r="L19" s="251"/>
      <c r="M19" s="289"/>
    </row>
    <row r="20" spans="1:13" ht="14.25" customHeight="1" x14ac:dyDescent="0.25">
      <c r="A20" s="289"/>
      <c r="D20" s="251"/>
      <c r="E20" s="251"/>
      <c r="F20" s="251"/>
      <c r="G20" s="251"/>
      <c r="H20" s="251"/>
      <c r="I20" s="251"/>
      <c r="J20" s="289"/>
      <c r="L20" s="251"/>
      <c r="M20" s="289"/>
    </row>
    <row r="21" spans="1:13" ht="14.25" customHeight="1" x14ac:dyDescent="0.25">
      <c r="A21" s="289"/>
      <c r="D21" s="251"/>
      <c r="E21" s="251"/>
      <c r="F21" s="251"/>
      <c r="G21" s="251"/>
      <c r="H21" s="251"/>
      <c r="I21" s="251"/>
      <c r="J21" s="289"/>
      <c r="L21" s="251"/>
      <c r="M21" s="289"/>
    </row>
    <row r="22" spans="1:13" ht="14.25" customHeight="1" x14ac:dyDescent="0.25">
      <c r="A22" s="289"/>
      <c r="D22" s="251"/>
      <c r="E22" s="251"/>
      <c r="F22" s="251"/>
      <c r="G22" s="251"/>
      <c r="H22" s="251"/>
      <c r="I22" s="251"/>
      <c r="J22" s="289"/>
      <c r="L22" s="251"/>
      <c r="M22" s="289"/>
    </row>
    <row r="23" spans="1:13" ht="14.25" customHeight="1" x14ac:dyDescent="0.25">
      <c r="A23" s="289"/>
      <c r="D23" s="251"/>
      <c r="E23" s="251"/>
      <c r="F23" s="251"/>
      <c r="G23" s="251"/>
      <c r="H23" s="251"/>
      <c r="I23" s="251"/>
      <c r="J23" s="289"/>
      <c r="L23" s="251"/>
      <c r="M23" s="289"/>
    </row>
    <row r="24" spans="1:13" ht="14.25" customHeight="1" x14ac:dyDescent="0.25">
      <c r="A24" s="289"/>
      <c r="D24" s="251"/>
      <c r="E24" s="251"/>
      <c r="F24" s="251"/>
      <c r="G24" s="251"/>
      <c r="H24" s="251"/>
      <c r="I24" s="251"/>
      <c r="J24" s="289"/>
      <c r="L24" s="251"/>
      <c r="M24" s="289"/>
    </row>
    <row r="25" spans="1:13" ht="14.25" customHeight="1" x14ac:dyDescent="0.25">
      <c r="A25" s="289"/>
      <c r="D25" s="251"/>
      <c r="E25" s="251"/>
      <c r="F25" s="251"/>
      <c r="G25" s="251"/>
      <c r="H25" s="251"/>
      <c r="I25" s="251"/>
      <c r="J25" s="289"/>
      <c r="L25" s="251"/>
      <c r="M25" s="289"/>
    </row>
    <row r="26" spans="1:13" ht="14.25" customHeight="1" x14ac:dyDescent="0.25">
      <c r="A26" s="289"/>
      <c r="D26" s="251"/>
      <c r="E26" s="251"/>
      <c r="F26" s="251"/>
      <c r="G26" s="251"/>
      <c r="H26" s="251"/>
      <c r="I26" s="251"/>
      <c r="J26" s="289"/>
      <c r="L26" s="251"/>
      <c r="M26" s="289"/>
    </row>
    <row r="27" spans="1:13" ht="14.25" customHeight="1" x14ac:dyDescent="0.25">
      <c r="A27" s="289"/>
      <c r="D27" s="251"/>
      <c r="E27" s="251"/>
      <c r="F27" s="251"/>
      <c r="G27" s="251"/>
      <c r="H27" s="251"/>
      <c r="I27" s="251"/>
      <c r="J27" s="289"/>
      <c r="L27" s="251"/>
      <c r="M27" s="289"/>
    </row>
    <row r="28" spans="1:13" ht="14.25" customHeight="1" x14ac:dyDescent="0.25">
      <c r="A28" s="289"/>
      <c r="D28" s="251"/>
      <c r="E28" s="251"/>
      <c r="F28" s="251"/>
      <c r="G28" s="251"/>
      <c r="H28" s="251"/>
      <c r="I28" s="251"/>
      <c r="J28" s="289"/>
      <c r="L28" s="251"/>
      <c r="M28" s="289"/>
    </row>
    <row r="29" spans="1:13" ht="14.25" customHeight="1" x14ac:dyDescent="0.25">
      <c r="A29" s="289"/>
      <c r="D29" s="251"/>
      <c r="E29" s="251"/>
      <c r="F29" s="251"/>
      <c r="G29" s="251"/>
      <c r="H29" s="251"/>
      <c r="I29" s="251"/>
      <c r="J29" s="289"/>
      <c r="L29" s="251"/>
      <c r="M29" s="289"/>
    </row>
    <row r="30" spans="1:13" ht="14.25" customHeight="1" x14ac:dyDescent="0.25">
      <c r="A30" s="289"/>
      <c r="D30" s="251"/>
      <c r="E30" s="251"/>
      <c r="F30" s="251"/>
      <c r="G30" s="251"/>
      <c r="H30" s="251"/>
      <c r="I30" s="251"/>
      <c r="J30" s="289"/>
      <c r="L30" s="251"/>
      <c r="M30" s="289"/>
    </row>
    <row r="31" spans="1:13" ht="14.25" customHeight="1" x14ac:dyDescent="0.25">
      <c r="A31" s="289"/>
      <c r="D31" s="251"/>
      <c r="E31" s="251"/>
      <c r="F31" s="251"/>
      <c r="G31" s="251"/>
      <c r="H31" s="251"/>
      <c r="I31" s="251"/>
      <c r="J31" s="289"/>
      <c r="L31" s="251"/>
      <c r="M31" s="289"/>
    </row>
    <row r="32" spans="1:13" ht="14.25" customHeight="1" x14ac:dyDescent="0.25">
      <c r="A32" s="289"/>
      <c r="D32" s="251"/>
      <c r="E32" s="251"/>
      <c r="F32" s="251"/>
      <c r="G32" s="251"/>
      <c r="H32" s="251"/>
      <c r="I32" s="251"/>
      <c r="J32" s="289"/>
      <c r="L32" s="251"/>
      <c r="M32" s="289"/>
    </row>
    <row r="33" spans="1:13" ht="14.25" customHeight="1" x14ac:dyDescent="0.25">
      <c r="A33" s="289"/>
      <c r="D33" s="251"/>
      <c r="E33" s="251"/>
      <c r="F33" s="251"/>
      <c r="G33" s="251"/>
      <c r="H33" s="251"/>
      <c r="I33" s="251"/>
      <c r="J33" s="289"/>
      <c r="L33" s="251"/>
      <c r="M33" s="289"/>
    </row>
    <row r="34" spans="1:13" ht="14.25" customHeight="1" x14ac:dyDescent="0.25">
      <c r="A34" s="289"/>
      <c r="D34" s="251"/>
      <c r="E34" s="251"/>
      <c r="F34" s="251"/>
      <c r="G34" s="251"/>
      <c r="H34" s="251"/>
      <c r="I34" s="251"/>
      <c r="J34" s="289"/>
      <c r="L34" s="251"/>
      <c r="M34" s="289"/>
    </row>
    <row r="35" spans="1:13" ht="14.25" customHeight="1" x14ac:dyDescent="0.25">
      <c r="A35" s="289"/>
      <c r="D35" s="251"/>
      <c r="E35" s="251"/>
      <c r="F35" s="251"/>
      <c r="G35" s="251"/>
      <c r="H35" s="251"/>
      <c r="I35" s="251"/>
      <c r="J35" s="289"/>
      <c r="L35" s="251"/>
      <c r="M35" s="289"/>
    </row>
    <row r="36" spans="1:13" ht="14.25" customHeight="1" x14ac:dyDescent="0.25">
      <c r="A36" s="289"/>
      <c r="D36" s="251"/>
      <c r="E36" s="251"/>
      <c r="F36" s="251"/>
      <c r="G36" s="251"/>
      <c r="H36" s="251"/>
      <c r="I36" s="251"/>
      <c r="J36" s="289"/>
      <c r="L36" s="251"/>
      <c r="M36" s="289"/>
    </row>
    <row r="37" spans="1:13" ht="14.25" customHeight="1" x14ac:dyDescent="0.25">
      <c r="A37" s="289"/>
      <c r="D37" s="251"/>
      <c r="E37" s="251"/>
      <c r="F37" s="251"/>
      <c r="G37" s="251"/>
      <c r="H37" s="251"/>
      <c r="I37" s="251"/>
      <c r="J37" s="289"/>
      <c r="L37" s="251"/>
      <c r="M37" s="289"/>
    </row>
    <row r="38" spans="1:13" ht="14.25" customHeight="1" x14ac:dyDescent="0.25">
      <c r="A38" s="289"/>
      <c r="D38" s="251"/>
      <c r="E38" s="251"/>
      <c r="F38" s="251"/>
      <c r="G38" s="251"/>
      <c r="H38" s="251"/>
      <c r="I38" s="251"/>
      <c r="J38" s="289"/>
      <c r="L38" s="251"/>
      <c r="M38" s="289"/>
    </row>
    <row r="39" spans="1:13" ht="14.25" customHeight="1" x14ac:dyDescent="0.25">
      <c r="A39" s="289"/>
      <c r="D39" s="251"/>
      <c r="E39" s="251"/>
      <c r="F39" s="251"/>
      <c r="G39" s="251"/>
      <c r="H39" s="251"/>
      <c r="I39" s="251"/>
      <c r="J39" s="289"/>
      <c r="L39" s="251"/>
      <c r="M39" s="289"/>
    </row>
    <row r="40" spans="1:13" ht="14.25" customHeight="1" x14ac:dyDescent="0.25">
      <c r="A40" s="289"/>
      <c r="D40" s="251"/>
      <c r="E40" s="251"/>
      <c r="F40" s="251"/>
      <c r="G40" s="251"/>
      <c r="H40" s="251"/>
      <c r="I40" s="251"/>
      <c r="J40" s="289"/>
      <c r="L40" s="251"/>
      <c r="M40" s="289"/>
    </row>
    <row r="41" spans="1:13" ht="14.25" customHeight="1" x14ac:dyDescent="0.25">
      <c r="A41" s="289"/>
      <c r="D41" s="251"/>
      <c r="E41" s="251"/>
      <c r="F41" s="251"/>
      <c r="G41" s="251"/>
      <c r="H41" s="251"/>
      <c r="I41" s="251"/>
      <c r="J41" s="289"/>
      <c r="L41" s="251"/>
      <c r="M41" s="289"/>
    </row>
    <row r="42" spans="1:13" ht="14.25" customHeight="1" x14ac:dyDescent="0.25">
      <c r="A42" s="289"/>
      <c r="D42" s="251"/>
      <c r="E42" s="251"/>
      <c r="F42" s="251"/>
      <c r="G42" s="251"/>
      <c r="H42" s="251"/>
      <c r="I42" s="251"/>
      <c r="J42" s="289"/>
      <c r="L42" s="251"/>
      <c r="M42" s="289"/>
    </row>
    <row r="43" spans="1:13" ht="14.25" customHeight="1" x14ac:dyDescent="0.25">
      <c r="A43" s="289"/>
      <c r="D43" s="251"/>
      <c r="E43" s="251"/>
      <c r="F43" s="251"/>
      <c r="G43" s="251"/>
      <c r="H43" s="251"/>
      <c r="I43" s="251"/>
      <c r="J43" s="289"/>
      <c r="L43" s="251"/>
      <c r="M43" s="289"/>
    </row>
    <row r="44" spans="1:13" ht="14.25" customHeight="1" x14ac:dyDescent="0.25">
      <c r="A44" s="289"/>
      <c r="D44" s="251"/>
      <c r="E44" s="251"/>
      <c r="F44" s="251"/>
      <c r="G44" s="251"/>
      <c r="H44" s="251"/>
      <c r="I44" s="251"/>
      <c r="J44" s="289"/>
      <c r="L44" s="251"/>
      <c r="M44" s="289"/>
    </row>
    <row r="45" spans="1:13" ht="14.25" customHeight="1" x14ac:dyDescent="0.25">
      <c r="A45" s="289"/>
      <c r="D45" s="251"/>
      <c r="E45" s="251"/>
      <c r="F45" s="251"/>
      <c r="G45" s="251"/>
      <c r="H45" s="251"/>
      <c r="I45" s="251"/>
      <c r="J45" s="289"/>
      <c r="L45" s="251"/>
      <c r="M45" s="289"/>
    </row>
    <row r="46" spans="1:13" ht="14.25" customHeight="1" x14ac:dyDescent="0.25">
      <c r="A46" s="289"/>
      <c r="D46" s="251"/>
      <c r="E46" s="251"/>
      <c r="F46" s="251"/>
      <c r="G46" s="251"/>
      <c r="H46" s="251"/>
      <c r="I46" s="251"/>
      <c r="J46" s="289"/>
      <c r="L46" s="251"/>
      <c r="M46" s="289"/>
    </row>
    <row r="47" spans="1:13" ht="14.25" customHeight="1" x14ac:dyDescent="0.25">
      <c r="A47" s="289"/>
      <c r="D47" s="251"/>
      <c r="E47" s="251"/>
      <c r="F47" s="251"/>
      <c r="G47" s="251"/>
      <c r="H47" s="251"/>
      <c r="I47" s="251"/>
      <c r="J47" s="289"/>
      <c r="L47" s="251"/>
      <c r="M47" s="289"/>
    </row>
    <row r="48" spans="1:13" ht="14.25" customHeight="1" x14ac:dyDescent="0.25">
      <c r="A48" s="289"/>
      <c r="D48" s="251"/>
      <c r="E48" s="251"/>
      <c r="F48" s="251"/>
      <c r="G48" s="251"/>
      <c r="H48" s="251"/>
      <c r="I48" s="251"/>
      <c r="J48" s="289"/>
      <c r="L48" s="251"/>
      <c r="M48" s="289"/>
    </row>
    <row r="49" spans="1:13" ht="14.25" customHeight="1" x14ac:dyDescent="0.25">
      <c r="A49" s="289"/>
      <c r="D49" s="251"/>
      <c r="E49" s="251"/>
      <c r="F49" s="251"/>
      <c r="G49" s="251"/>
      <c r="H49" s="251"/>
      <c r="I49" s="251"/>
      <c r="J49" s="289"/>
      <c r="L49" s="251"/>
      <c r="M49" s="289"/>
    </row>
    <row r="50" spans="1:13" ht="14.25" customHeight="1" x14ac:dyDescent="0.25">
      <c r="A50" s="289"/>
      <c r="D50" s="251"/>
      <c r="E50" s="251"/>
      <c r="F50" s="251"/>
      <c r="G50" s="251"/>
      <c r="H50" s="251"/>
      <c r="I50" s="251"/>
      <c r="J50" s="289"/>
      <c r="L50" s="251"/>
      <c r="M50" s="289"/>
    </row>
    <row r="51" spans="1:13" ht="14.25" customHeight="1" x14ac:dyDescent="0.25">
      <c r="A51" s="289"/>
      <c r="D51" s="251"/>
      <c r="E51" s="251"/>
      <c r="F51" s="251"/>
      <c r="G51" s="251"/>
      <c r="H51" s="251"/>
      <c r="I51" s="251"/>
      <c r="J51" s="289"/>
      <c r="L51" s="251"/>
      <c r="M51" s="289"/>
    </row>
    <row r="52" spans="1:13" ht="14.25" customHeight="1" x14ac:dyDescent="0.25">
      <c r="A52" s="289"/>
      <c r="D52" s="251"/>
      <c r="E52" s="251"/>
      <c r="F52" s="251"/>
      <c r="G52" s="251"/>
      <c r="H52" s="251"/>
      <c r="I52" s="251"/>
      <c r="J52" s="289"/>
      <c r="L52" s="251"/>
      <c r="M52" s="289"/>
    </row>
    <row r="53" spans="1:13" ht="14.25" customHeight="1" x14ac:dyDescent="0.25">
      <c r="A53" s="289"/>
      <c r="D53" s="251"/>
      <c r="E53" s="251"/>
      <c r="F53" s="251"/>
      <c r="G53" s="251"/>
      <c r="H53" s="251"/>
      <c r="I53" s="251"/>
      <c r="J53" s="289"/>
      <c r="L53" s="251"/>
      <c r="M53" s="289"/>
    </row>
    <row r="54" spans="1:13" ht="14.25" customHeight="1" x14ac:dyDescent="0.25">
      <c r="A54" s="289"/>
      <c r="D54" s="251"/>
      <c r="E54" s="251"/>
      <c r="F54" s="251"/>
      <c r="G54" s="251"/>
      <c r="H54" s="251"/>
      <c r="I54" s="251"/>
      <c r="J54" s="289"/>
      <c r="L54" s="251"/>
      <c r="M54" s="289"/>
    </row>
    <row r="55" spans="1:13" ht="14.25" customHeight="1" x14ac:dyDescent="0.25">
      <c r="A55" s="289"/>
      <c r="D55" s="251"/>
      <c r="E55" s="251"/>
      <c r="F55" s="251"/>
      <c r="G55" s="251"/>
      <c r="H55" s="251"/>
      <c r="I55" s="251"/>
      <c r="J55" s="289"/>
      <c r="L55" s="251"/>
      <c r="M55" s="289"/>
    </row>
    <row r="56" spans="1:13" ht="14.25" customHeight="1" x14ac:dyDescent="0.25">
      <c r="A56" s="289"/>
      <c r="D56" s="251"/>
      <c r="E56" s="251"/>
      <c r="F56" s="251"/>
      <c r="G56" s="251"/>
      <c r="H56" s="251"/>
      <c r="I56" s="251"/>
      <c r="J56" s="289"/>
      <c r="L56" s="251"/>
      <c r="M56" s="289"/>
    </row>
    <row r="57" spans="1:13" ht="14.25" customHeight="1" x14ac:dyDescent="0.25">
      <c r="A57" s="289"/>
      <c r="D57" s="251"/>
      <c r="E57" s="251"/>
      <c r="F57" s="251"/>
      <c r="G57" s="251"/>
      <c r="H57" s="251"/>
      <c r="I57" s="251"/>
      <c r="J57" s="289"/>
      <c r="L57" s="251"/>
      <c r="M57" s="289"/>
    </row>
    <row r="58" spans="1:13" ht="14.25" customHeight="1" x14ac:dyDescent="0.25">
      <c r="A58" s="289"/>
      <c r="D58" s="251"/>
      <c r="E58" s="251"/>
      <c r="F58" s="251"/>
      <c r="G58" s="251"/>
      <c r="H58" s="251"/>
      <c r="I58" s="251"/>
      <c r="J58" s="289"/>
      <c r="L58" s="251"/>
      <c r="M58" s="289"/>
    </row>
    <row r="59" spans="1:13" ht="14.25" customHeight="1" x14ac:dyDescent="0.25">
      <c r="A59" s="289"/>
      <c r="D59" s="251"/>
      <c r="E59" s="251"/>
      <c r="F59" s="251"/>
      <c r="G59" s="251"/>
      <c r="H59" s="251"/>
      <c r="I59" s="251"/>
      <c r="J59" s="289"/>
      <c r="L59" s="251"/>
      <c r="M59" s="289"/>
    </row>
    <row r="60" spans="1:13" ht="14.25" customHeight="1" x14ac:dyDescent="0.25">
      <c r="A60" s="289"/>
      <c r="D60" s="251"/>
      <c r="E60" s="251"/>
      <c r="F60" s="251"/>
      <c r="G60" s="251"/>
      <c r="H60" s="251"/>
      <c r="I60" s="251"/>
      <c r="J60" s="289"/>
      <c r="L60" s="251"/>
      <c r="M60" s="289"/>
    </row>
    <row r="61" spans="1:13" ht="14.25" customHeight="1" x14ac:dyDescent="0.25">
      <c r="A61" s="289"/>
      <c r="D61" s="251"/>
      <c r="E61" s="251"/>
      <c r="F61" s="251"/>
      <c r="G61" s="251"/>
      <c r="H61" s="251"/>
      <c r="I61" s="251"/>
      <c r="J61" s="289"/>
      <c r="L61" s="251"/>
      <c r="M61" s="289"/>
    </row>
    <row r="62" spans="1:13" ht="14.25" customHeight="1" x14ac:dyDescent="0.25">
      <c r="A62" s="289"/>
      <c r="D62" s="251"/>
      <c r="E62" s="251"/>
      <c r="F62" s="251"/>
      <c r="G62" s="251"/>
      <c r="H62" s="251"/>
      <c r="I62" s="251"/>
      <c r="J62" s="289"/>
      <c r="L62" s="251"/>
      <c r="M62" s="289"/>
    </row>
    <row r="63" spans="1:13" ht="14.25" customHeight="1" x14ac:dyDescent="0.25">
      <c r="A63" s="289"/>
      <c r="D63" s="251"/>
      <c r="E63" s="251"/>
      <c r="F63" s="251"/>
      <c r="G63" s="251"/>
      <c r="H63" s="251"/>
      <c r="I63" s="251"/>
      <c r="J63" s="289"/>
      <c r="L63" s="251"/>
      <c r="M63" s="289"/>
    </row>
    <row r="64" spans="1:13" ht="14.25" customHeight="1" x14ac:dyDescent="0.25">
      <c r="A64" s="289"/>
      <c r="D64" s="251"/>
      <c r="E64" s="251"/>
      <c r="F64" s="251"/>
      <c r="G64" s="251"/>
      <c r="H64" s="251"/>
      <c r="I64" s="251"/>
      <c r="J64" s="289"/>
      <c r="L64" s="251"/>
      <c r="M64" s="289"/>
    </row>
    <row r="65" spans="1:13" ht="14.25" customHeight="1" x14ac:dyDescent="0.25">
      <c r="A65" s="289"/>
      <c r="D65" s="251"/>
      <c r="E65" s="251"/>
      <c r="F65" s="251"/>
      <c r="G65" s="251"/>
      <c r="H65" s="251"/>
      <c r="I65" s="251"/>
      <c r="J65" s="289"/>
      <c r="L65" s="251"/>
      <c r="M65" s="289"/>
    </row>
    <row r="66" spans="1:13" ht="14.25" customHeight="1" x14ac:dyDescent="0.25">
      <c r="A66" s="289"/>
      <c r="D66" s="251"/>
      <c r="E66" s="251"/>
      <c r="F66" s="251"/>
      <c r="G66" s="251"/>
      <c r="H66" s="251"/>
      <c r="I66" s="251"/>
      <c r="J66" s="289"/>
      <c r="L66" s="251"/>
      <c r="M66" s="289"/>
    </row>
    <row r="67" spans="1:13" ht="14.25" customHeight="1" x14ac:dyDescent="0.25">
      <c r="A67" s="289"/>
      <c r="D67" s="251"/>
      <c r="E67" s="251"/>
      <c r="F67" s="251"/>
      <c r="G67" s="251"/>
      <c r="H67" s="251"/>
      <c r="I67" s="251"/>
      <c r="J67" s="289"/>
      <c r="L67" s="251"/>
      <c r="M67" s="289"/>
    </row>
    <row r="68" spans="1:13" ht="14.25" customHeight="1" x14ac:dyDescent="0.25">
      <c r="A68" s="289"/>
      <c r="D68" s="251"/>
      <c r="E68" s="251"/>
      <c r="F68" s="251"/>
      <c r="G68" s="251"/>
      <c r="H68" s="251"/>
      <c r="I68" s="251"/>
      <c r="J68" s="289"/>
      <c r="L68" s="251"/>
      <c r="M68" s="289"/>
    </row>
    <row r="69" spans="1:13" ht="14.25" customHeight="1" x14ac:dyDescent="0.25">
      <c r="A69" s="289"/>
      <c r="D69" s="251"/>
      <c r="E69" s="251"/>
      <c r="F69" s="251"/>
      <c r="G69" s="251"/>
      <c r="H69" s="251"/>
      <c r="I69" s="251"/>
      <c r="J69" s="289"/>
      <c r="L69" s="251"/>
      <c r="M69" s="289"/>
    </row>
    <row r="70" spans="1:13" ht="14.25" customHeight="1" x14ac:dyDescent="0.25">
      <c r="A70" s="289"/>
      <c r="D70" s="251"/>
      <c r="E70" s="251"/>
      <c r="F70" s="251"/>
      <c r="G70" s="251"/>
      <c r="H70" s="251"/>
      <c r="I70" s="251"/>
      <c r="J70" s="289"/>
      <c r="L70" s="251"/>
      <c r="M70" s="289"/>
    </row>
    <row r="71" spans="1:13" ht="14.25" customHeight="1" x14ac:dyDescent="0.25">
      <c r="A71" s="289"/>
      <c r="D71" s="251"/>
      <c r="E71" s="251"/>
      <c r="F71" s="251"/>
      <c r="G71" s="251"/>
      <c r="H71" s="251"/>
      <c r="I71" s="251"/>
      <c r="J71" s="289"/>
      <c r="L71" s="251"/>
      <c r="M71" s="289"/>
    </row>
    <row r="72" spans="1:13" ht="14.25" customHeight="1" x14ac:dyDescent="0.25">
      <c r="A72" s="289"/>
      <c r="D72" s="251"/>
      <c r="E72" s="251"/>
      <c r="F72" s="251"/>
      <c r="G72" s="251"/>
      <c r="H72" s="251"/>
      <c r="I72" s="251"/>
      <c r="J72" s="289"/>
      <c r="L72" s="251"/>
      <c r="M72" s="289"/>
    </row>
    <row r="73" spans="1:13" ht="14.25" customHeight="1" x14ac:dyDescent="0.25">
      <c r="A73" s="289"/>
      <c r="D73" s="251"/>
      <c r="E73" s="251"/>
      <c r="F73" s="251"/>
      <c r="G73" s="251"/>
      <c r="H73" s="251"/>
      <c r="I73" s="251"/>
      <c r="J73" s="289"/>
      <c r="L73" s="251"/>
      <c r="M73" s="289"/>
    </row>
    <row r="74" spans="1:13" ht="14.25" customHeight="1" x14ac:dyDescent="0.25">
      <c r="A74" s="289"/>
      <c r="D74" s="251"/>
      <c r="E74" s="251"/>
      <c r="F74" s="251"/>
      <c r="G74" s="251"/>
      <c r="H74" s="251"/>
      <c r="I74" s="251"/>
      <c r="J74" s="289"/>
      <c r="L74" s="251"/>
      <c r="M74" s="289"/>
    </row>
    <row r="75" spans="1:13" ht="14.25" customHeight="1" x14ac:dyDescent="0.25">
      <c r="A75" s="289"/>
      <c r="D75" s="251"/>
      <c r="E75" s="251"/>
      <c r="F75" s="251"/>
      <c r="G75" s="251"/>
      <c r="H75" s="251"/>
      <c r="I75" s="251"/>
      <c r="J75" s="289"/>
      <c r="L75" s="251"/>
      <c r="M75" s="289"/>
    </row>
    <row r="76" spans="1:13" ht="14.25" customHeight="1" x14ac:dyDescent="0.25">
      <c r="A76" s="289"/>
      <c r="D76" s="251"/>
      <c r="E76" s="251"/>
      <c r="F76" s="251"/>
      <c r="G76" s="251"/>
      <c r="H76" s="251"/>
      <c r="I76" s="251"/>
      <c r="J76" s="289"/>
      <c r="L76" s="251"/>
      <c r="M76" s="289"/>
    </row>
    <row r="77" spans="1:13" ht="14.25" customHeight="1" x14ac:dyDescent="0.25">
      <c r="A77" s="289"/>
      <c r="D77" s="251"/>
      <c r="E77" s="251"/>
      <c r="F77" s="251"/>
      <c r="G77" s="251"/>
      <c r="H77" s="251"/>
      <c r="I77" s="251"/>
      <c r="J77" s="289"/>
      <c r="L77" s="251"/>
      <c r="M77" s="289"/>
    </row>
    <row r="78" spans="1:13" ht="14.25" customHeight="1" x14ac:dyDescent="0.25">
      <c r="A78" s="289"/>
      <c r="D78" s="251"/>
      <c r="E78" s="251"/>
      <c r="F78" s="251"/>
      <c r="G78" s="251"/>
      <c r="H78" s="251"/>
      <c r="I78" s="251"/>
      <c r="J78" s="289"/>
      <c r="L78" s="251"/>
      <c r="M78" s="289"/>
    </row>
    <row r="79" spans="1:13" ht="14.25" customHeight="1" x14ac:dyDescent="0.25">
      <c r="A79" s="289"/>
      <c r="D79" s="251"/>
      <c r="E79" s="251"/>
      <c r="F79" s="251"/>
      <c r="G79" s="251"/>
      <c r="H79" s="251"/>
      <c r="I79" s="251"/>
      <c r="J79" s="289"/>
      <c r="L79" s="251"/>
      <c r="M79" s="289"/>
    </row>
    <row r="80" spans="1:13" ht="14.25" customHeight="1" x14ac:dyDescent="0.25">
      <c r="A80" s="289"/>
      <c r="D80" s="251"/>
      <c r="E80" s="251"/>
      <c r="F80" s="251"/>
      <c r="G80" s="251"/>
      <c r="H80" s="251"/>
      <c r="I80" s="251"/>
      <c r="J80" s="289"/>
      <c r="L80" s="251"/>
      <c r="M80" s="289"/>
    </row>
    <row r="81" spans="1:13" ht="14.25" customHeight="1" x14ac:dyDescent="0.25">
      <c r="A81" s="289"/>
      <c r="D81" s="251"/>
      <c r="E81" s="251"/>
      <c r="F81" s="251"/>
      <c r="G81" s="251"/>
      <c r="H81" s="251"/>
      <c r="I81" s="251"/>
      <c r="J81" s="289"/>
      <c r="L81" s="251"/>
      <c r="M81" s="289"/>
    </row>
    <row r="82" spans="1:13" ht="14.25" customHeight="1" x14ac:dyDescent="0.25">
      <c r="A82" s="289"/>
      <c r="D82" s="251"/>
      <c r="E82" s="251"/>
      <c r="F82" s="251"/>
      <c r="G82" s="251"/>
      <c r="H82" s="251"/>
      <c r="I82" s="251"/>
      <c r="J82" s="289"/>
      <c r="L82" s="251"/>
      <c r="M82" s="289"/>
    </row>
    <row r="83" spans="1:13" ht="14.25" customHeight="1" x14ac:dyDescent="0.25">
      <c r="A83" s="289"/>
      <c r="D83" s="251"/>
      <c r="E83" s="251"/>
      <c r="F83" s="251"/>
      <c r="G83" s="251"/>
      <c r="H83" s="251"/>
      <c r="I83" s="251"/>
      <c r="J83" s="289"/>
      <c r="L83" s="251"/>
      <c r="M83" s="289"/>
    </row>
    <row r="84" spans="1:13" ht="14.25" customHeight="1" x14ac:dyDescent="0.25">
      <c r="A84" s="289"/>
      <c r="D84" s="251"/>
      <c r="E84" s="251"/>
      <c r="F84" s="251"/>
      <c r="G84" s="251"/>
      <c r="H84" s="251"/>
      <c r="I84" s="251"/>
      <c r="J84" s="289"/>
      <c r="L84" s="251"/>
      <c r="M84" s="289"/>
    </row>
    <row r="85" spans="1:13" ht="14.25" customHeight="1" x14ac:dyDescent="0.25">
      <c r="A85" s="289"/>
      <c r="D85" s="251"/>
      <c r="E85" s="251"/>
      <c r="F85" s="251"/>
      <c r="G85" s="251"/>
      <c r="H85" s="251"/>
      <c r="I85" s="251"/>
      <c r="J85" s="289"/>
      <c r="L85" s="251"/>
      <c r="M85" s="289"/>
    </row>
    <row r="86" spans="1:13" ht="14.25" customHeight="1" x14ac:dyDescent="0.25">
      <c r="A86" s="289"/>
      <c r="D86" s="251"/>
      <c r="E86" s="251"/>
      <c r="F86" s="251"/>
      <c r="G86" s="251"/>
      <c r="H86" s="251"/>
      <c r="I86" s="251"/>
      <c r="J86" s="289"/>
      <c r="L86" s="251"/>
      <c r="M86" s="289"/>
    </row>
    <row r="87" spans="1:13" ht="14.25" customHeight="1" x14ac:dyDescent="0.25">
      <c r="A87" s="289"/>
      <c r="D87" s="251"/>
      <c r="E87" s="251"/>
      <c r="F87" s="251"/>
      <c r="G87" s="251"/>
      <c r="H87" s="251"/>
      <c r="I87" s="251"/>
      <c r="J87" s="289"/>
      <c r="L87" s="251"/>
      <c r="M87" s="289"/>
    </row>
    <row r="88" spans="1:13" ht="14.25" customHeight="1" x14ac:dyDescent="0.25">
      <c r="A88" s="289"/>
      <c r="D88" s="251"/>
      <c r="E88" s="251"/>
      <c r="F88" s="251"/>
      <c r="G88" s="251"/>
      <c r="H88" s="251"/>
      <c r="I88" s="251"/>
      <c r="J88" s="289"/>
      <c r="L88" s="251"/>
      <c r="M88" s="289"/>
    </row>
    <row r="89" spans="1:13" ht="14.25" customHeight="1" x14ac:dyDescent="0.25">
      <c r="A89" s="289"/>
      <c r="D89" s="251"/>
      <c r="E89" s="251"/>
      <c r="F89" s="251"/>
      <c r="G89" s="251"/>
      <c r="H89" s="251"/>
      <c r="I89" s="251"/>
      <c r="J89" s="289"/>
      <c r="L89" s="251"/>
      <c r="M89" s="289"/>
    </row>
    <row r="90" spans="1:13" ht="14.25" customHeight="1" x14ac:dyDescent="0.25">
      <c r="A90" s="289"/>
      <c r="D90" s="251"/>
      <c r="E90" s="251"/>
      <c r="F90" s="251"/>
      <c r="G90" s="251"/>
      <c r="H90" s="251"/>
      <c r="I90" s="251"/>
      <c r="J90" s="289"/>
      <c r="L90" s="251"/>
      <c r="M90" s="289"/>
    </row>
    <row r="91" spans="1:13" ht="14.25" customHeight="1" x14ac:dyDescent="0.25">
      <c r="A91" s="289"/>
      <c r="D91" s="251"/>
      <c r="E91" s="251"/>
      <c r="F91" s="251"/>
      <c r="G91" s="251"/>
      <c r="H91" s="251"/>
      <c r="I91" s="251"/>
      <c r="J91" s="289"/>
      <c r="L91" s="251"/>
      <c r="M91" s="289"/>
    </row>
    <row r="92" spans="1:13" ht="14.25" customHeight="1" x14ac:dyDescent="0.25">
      <c r="A92" s="289"/>
      <c r="D92" s="251"/>
      <c r="E92" s="251"/>
      <c r="F92" s="251"/>
      <c r="G92" s="251"/>
      <c r="H92" s="251"/>
      <c r="I92" s="251"/>
      <c r="J92" s="289"/>
      <c r="L92" s="251"/>
      <c r="M92" s="289"/>
    </row>
    <row r="93" spans="1:13" ht="14.25" customHeight="1" x14ac:dyDescent="0.25">
      <c r="A93" s="289"/>
      <c r="D93" s="251"/>
      <c r="E93" s="251"/>
      <c r="F93" s="251"/>
      <c r="G93" s="251"/>
      <c r="H93" s="251"/>
      <c r="I93" s="251"/>
      <c r="J93" s="289"/>
      <c r="L93" s="251"/>
      <c r="M93" s="289"/>
    </row>
    <row r="94" spans="1:13" ht="14.25" customHeight="1" x14ac:dyDescent="0.25">
      <c r="A94" s="289"/>
      <c r="D94" s="251"/>
      <c r="E94" s="251"/>
      <c r="F94" s="251"/>
      <c r="G94" s="251"/>
      <c r="H94" s="251"/>
      <c r="I94" s="251"/>
      <c r="J94" s="289"/>
      <c r="L94" s="251"/>
      <c r="M94" s="289"/>
    </row>
    <row r="95" spans="1:13" ht="14.25" customHeight="1" x14ac:dyDescent="0.25">
      <c r="A95" s="289"/>
      <c r="D95" s="251"/>
      <c r="E95" s="251"/>
      <c r="F95" s="251"/>
      <c r="G95" s="251"/>
      <c r="H95" s="251"/>
      <c r="I95" s="251"/>
      <c r="J95" s="289"/>
      <c r="L95" s="251"/>
      <c r="M95" s="289"/>
    </row>
    <row r="96" spans="1:13" ht="14.25" customHeight="1" x14ac:dyDescent="0.25">
      <c r="A96" s="289"/>
      <c r="D96" s="251"/>
      <c r="E96" s="251"/>
      <c r="F96" s="251"/>
      <c r="G96" s="251"/>
      <c r="H96" s="251"/>
      <c r="I96" s="251"/>
      <c r="J96" s="289"/>
      <c r="L96" s="251"/>
      <c r="M96" s="289"/>
    </row>
    <row r="97" spans="1:13" ht="14.25" customHeight="1" x14ac:dyDescent="0.25">
      <c r="A97" s="289"/>
      <c r="D97" s="251"/>
      <c r="E97" s="251"/>
      <c r="F97" s="251"/>
      <c r="G97" s="251"/>
      <c r="H97" s="251"/>
      <c r="I97" s="251"/>
      <c r="J97" s="289"/>
      <c r="L97" s="251"/>
      <c r="M97" s="289"/>
    </row>
    <row r="98" spans="1:13" ht="14.25" customHeight="1" x14ac:dyDescent="0.25">
      <c r="A98" s="289"/>
      <c r="D98" s="251"/>
      <c r="E98" s="251"/>
      <c r="F98" s="251"/>
      <c r="G98" s="251"/>
      <c r="H98" s="251"/>
      <c r="I98" s="251"/>
      <c r="J98" s="289"/>
      <c r="L98" s="251"/>
      <c r="M98" s="289"/>
    </row>
    <row r="99" spans="1:13" ht="14.25" customHeight="1" x14ac:dyDescent="0.25">
      <c r="A99" s="289"/>
      <c r="D99" s="251"/>
      <c r="E99" s="251"/>
      <c r="F99" s="251"/>
      <c r="G99" s="251"/>
      <c r="H99" s="251"/>
      <c r="I99" s="251"/>
      <c r="J99" s="289"/>
      <c r="L99" s="251"/>
      <c r="M99" s="289"/>
    </row>
    <row r="100" spans="1:13" ht="14.25" customHeight="1" x14ac:dyDescent="0.25">
      <c r="A100" s="289"/>
      <c r="D100" s="251"/>
      <c r="E100" s="251"/>
      <c r="F100" s="251"/>
      <c r="G100" s="251"/>
      <c r="H100" s="251"/>
      <c r="I100" s="251"/>
      <c r="J100" s="289"/>
      <c r="L100" s="251"/>
      <c r="M100" s="289"/>
    </row>
    <row r="101" spans="1:13" ht="14.25" customHeight="1" x14ac:dyDescent="0.25">
      <c r="A101" s="289"/>
      <c r="D101" s="251"/>
      <c r="E101" s="251"/>
      <c r="F101" s="251"/>
      <c r="G101" s="251"/>
      <c r="H101" s="251"/>
      <c r="I101" s="251"/>
      <c r="J101" s="289"/>
      <c r="L101" s="251"/>
      <c r="M101" s="289"/>
    </row>
    <row r="102" spans="1:13" ht="14.25" customHeight="1" x14ac:dyDescent="0.25">
      <c r="A102" s="289"/>
      <c r="D102" s="251"/>
      <c r="E102" s="251"/>
      <c r="F102" s="251"/>
      <c r="G102" s="251"/>
      <c r="H102" s="251"/>
      <c r="I102" s="251"/>
      <c r="J102" s="289"/>
      <c r="L102" s="251"/>
      <c r="M102" s="289"/>
    </row>
    <row r="103" spans="1:13" ht="14.25" customHeight="1" x14ac:dyDescent="0.25">
      <c r="A103" s="289"/>
      <c r="D103" s="251"/>
      <c r="E103" s="251"/>
      <c r="F103" s="251"/>
      <c r="G103" s="251"/>
      <c r="H103" s="251"/>
      <c r="I103" s="251"/>
      <c r="J103" s="289"/>
      <c r="L103" s="251"/>
      <c r="M103" s="289"/>
    </row>
    <row r="104" spans="1:13" ht="14.25" customHeight="1" x14ac:dyDescent="0.25">
      <c r="A104" s="289"/>
      <c r="D104" s="251"/>
      <c r="E104" s="251"/>
      <c r="F104" s="251"/>
      <c r="G104" s="251"/>
      <c r="H104" s="251"/>
      <c r="I104" s="251"/>
      <c r="J104" s="289"/>
      <c r="L104" s="251"/>
      <c r="M104" s="289"/>
    </row>
    <row r="105" spans="1:13" ht="14.25" customHeight="1" x14ac:dyDescent="0.25">
      <c r="A105" s="289"/>
      <c r="D105" s="251"/>
      <c r="E105" s="251"/>
      <c r="F105" s="251"/>
      <c r="G105" s="251"/>
      <c r="H105" s="251"/>
      <c r="I105" s="251"/>
      <c r="J105" s="289"/>
      <c r="L105" s="251"/>
      <c r="M105" s="289"/>
    </row>
    <row r="106" spans="1:13" ht="14.25" customHeight="1" x14ac:dyDescent="0.25">
      <c r="A106" s="289"/>
      <c r="D106" s="251"/>
      <c r="E106" s="251"/>
      <c r="F106" s="251"/>
      <c r="G106" s="251"/>
      <c r="H106" s="251"/>
      <c r="I106" s="251"/>
      <c r="J106" s="289"/>
      <c r="L106" s="251"/>
      <c r="M106" s="289"/>
    </row>
    <row r="107" spans="1:13" ht="14.25" customHeight="1" x14ac:dyDescent="0.25">
      <c r="A107" s="289"/>
      <c r="D107" s="251"/>
      <c r="E107" s="251"/>
      <c r="F107" s="251"/>
      <c r="G107" s="251"/>
      <c r="H107" s="251"/>
      <c r="I107" s="251"/>
      <c r="J107" s="289"/>
      <c r="L107" s="251"/>
      <c r="M107" s="289"/>
    </row>
    <row r="108" spans="1:13" ht="14.25" customHeight="1" x14ac:dyDescent="0.25">
      <c r="A108" s="289"/>
      <c r="D108" s="251"/>
      <c r="E108" s="251"/>
      <c r="F108" s="251"/>
      <c r="G108" s="251"/>
      <c r="H108" s="251"/>
      <c r="I108" s="251"/>
      <c r="J108" s="289"/>
      <c r="L108" s="251"/>
      <c r="M108" s="289"/>
    </row>
    <row r="109" spans="1:13" ht="14.25" customHeight="1" x14ac:dyDescent="0.25">
      <c r="A109" s="289"/>
      <c r="D109" s="251"/>
      <c r="E109" s="251"/>
      <c r="F109" s="251"/>
      <c r="G109" s="251"/>
      <c r="H109" s="251"/>
      <c r="I109" s="251"/>
      <c r="J109" s="289"/>
      <c r="L109" s="251"/>
      <c r="M109" s="289"/>
    </row>
    <row r="110" spans="1:13" ht="14.25" customHeight="1" x14ac:dyDescent="0.25">
      <c r="A110" s="289"/>
      <c r="D110" s="251"/>
      <c r="E110" s="251"/>
      <c r="F110" s="251"/>
      <c r="G110" s="251"/>
      <c r="H110" s="251"/>
      <c r="I110" s="251"/>
      <c r="J110" s="289"/>
      <c r="L110" s="251"/>
      <c r="M110" s="289"/>
    </row>
    <row r="111" spans="1:13" ht="14.25" customHeight="1" x14ac:dyDescent="0.25">
      <c r="A111" s="289"/>
      <c r="D111" s="251"/>
      <c r="E111" s="251"/>
      <c r="F111" s="251"/>
      <c r="G111" s="251"/>
      <c r="H111" s="251"/>
      <c r="I111" s="251"/>
      <c r="J111" s="289"/>
      <c r="L111" s="251"/>
      <c r="M111" s="289"/>
    </row>
    <row r="112" spans="1:13" ht="14.25" customHeight="1" x14ac:dyDescent="0.25">
      <c r="A112" s="289"/>
      <c r="D112" s="251"/>
      <c r="E112" s="251"/>
      <c r="F112" s="251"/>
      <c r="G112" s="251"/>
      <c r="H112" s="251"/>
      <c r="I112" s="251"/>
      <c r="J112" s="289"/>
      <c r="L112" s="251"/>
      <c r="M112" s="289"/>
    </row>
    <row r="113" spans="1:13" ht="14.25" customHeight="1" x14ac:dyDescent="0.25">
      <c r="A113" s="289"/>
      <c r="D113" s="251"/>
      <c r="E113" s="251"/>
      <c r="F113" s="251"/>
      <c r="G113" s="251"/>
      <c r="H113" s="251"/>
      <c r="I113" s="251"/>
      <c r="J113" s="289"/>
      <c r="L113" s="251"/>
      <c r="M113" s="289"/>
    </row>
    <row r="114" spans="1:13" ht="14.25" customHeight="1" x14ac:dyDescent="0.25">
      <c r="A114" s="289"/>
      <c r="D114" s="251"/>
      <c r="E114" s="251"/>
      <c r="F114" s="251"/>
      <c r="G114" s="251"/>
      <c r="H114" s="251"/>
      <c r="I114" s="251"/>
      <c r="J114" s="289"/>
      <c r="L114" s="251"/>
      <c r="M114" s="289"/>
    </row>
    <row r="115" spans="1:13" ht="14.25" customHeight="1" x14ac:dyDescent="0.25">
      <c r="A115" s="289"/>
      <c r="D115" s="251"/>
      <c r="E115" s="251"/>
      <c r="F115" s="251"/>
      <c r="G115" s="251"/>
      <c r="H115" s="251"/>
      <c r="I115" s="251"/>
      <c r="J115" s="289"/>
      <c r="L115" s="251"/>
      <c r="M115" s="289"/>
    </row>
    <row r="116" spans="1:13" ht="14.25" customHeight="1" x14ac:dyDescent="0.25">
      <c r="A116" s="289"/>
      <c r="D116" s="251"/>
      <c r="E116" s="251"/>
      <c r="F116" s="251"/>
      <c r="G116" s="251"/>
      <c r="H116" s="251"/>
      <c r="I116" s="251"/>
      <c r="J116" s="289"/>
      <c r="L116" s="251"/>
      <c r="M116" s="289"/>
    </row>
    <row r="117" spans="1:13" ht="14.25" customHeight="1" x14ac:dyDescent="0.25">
      <c r="A117" s="289"/>
      <c r="D117" s="251"/>
      <c r="E117" s="251"/>
      <c r="F117" s="251"/>
      <c r="G117" s="251"/>
      <c r="H117" s="251"/>
      <c r="I117" s="251"/>
      <c r="J117" s="289"/>
      <c r="L117" s="251"/>
      <c r="M117" s="289"/>
    </row>
    <row r="118" spans="1:13" ht="14.25" customHeight="1" x14ac:dyDescent="0.25">
      <c r="A118" s="289"/>
      <c r="D118" s="251"/>
      <c r="E118" s="251"/>
      <c r="F118" s="251"/>
      <c r="G118" s="251"/>
      <c r="H118" s="251"/>
      <c r="I118" s="251"/>
      <c r="J118" s="289"/>
      <c r="L118" s="251"/>
      <c r="M118" s="289"/>
    </row>
    <row r="119" spans="1:13" ht="14.25" customHeight="1" x14ac:dyDescent="0.25">
      <c r="A119" s="289"/>
      <c r="D119" s="251"/>
      <c r="E119" s="251"/>
      <c r="F119" s="251"/>
      <c r="G119" s="251"/>
      <c r="H119" s="251"/>
      <c r="I119" s="251"/>
      <c r="J119" s="289"/>
      <c r="L119" s="251"/>
      <c r="M119" s="289"/>
    </row>
    <row r="120" spans="1:13" ht="14.25" customHeight="1" x14ac:dyDescent="0.25">
      <c r="A120" s="289"/>
      <c r="D120" s="251"/>
      <c r="E120" s="251"/>
      <c r="F120" s="251"/>
      <c r="G120" s="251"/>
      <c r="H120" s="251"/>
      <c r="I120" s="251"/>
      <c r="J120" s="289"/>
      <c r="L120" s="251"/>
      <c r="M120" s="289"/>
    </row>
    <row r="121" spans="1:13" ht="14.25" customHeight="1" x14ac:dyDescent="0.25">
      <c r="A121" s="289"/>
      <c r="D121" s="251"/>
      <c r="E121" s="251"/>
      <c r="F121" s="251"/>
      <c r="G121" s="251"/>
      <c r="H121" s="251"/>
      <c r="I121" s="251"/>
      <c r="J121" s="289"/>
      <c r="L121" s="251"/>
      <c r="M121" s="289"/>
    </row>
    <row r="122" spans="1:13" ht="14.25" customHeight="1" x14ac:dyDescent="0.25">
      <c r="A122" s="289"/>
      <c r="D122" s="251"/>
      <c r="E122" s="251"/>
      <c r="F122" s="251"/>
      <c r="G122" s="251"/>
      <c r="H122" s="251"/>
      <c r="I122" s="251"/>
      <c r="J122" s="289"/>
      <c r="L122" s="251"/>
      <c r="M122" s="289"/>
    </row>
    <row r="123" spans="1:13" ht="14.25" customHeight="1" x14ac:dyDescent="0.25">
      <c r="A123" s="289"/>
      <c r="D123" s="251"/>
      <c r="E123" s="251"/>
      <c r="F123" s="251"/>
      <c r="G123" s="251"/>
      <c r="H123" s="251"/>
      <c r="I123" s="251"/>
      <c r="J123" s="289"/>
      <c r="L123" s="251"/>
      <c r="M123" s="289"/>
    </row>
    <row r="124" spans="1:13" ht="14.25" customHeight="1" x14ac:dyDescent="0.25">
      <c r="A124" s="289"/>
      <c r="D124" s="251"/>
      <c r="E124" s="251"/>
      <c r="F124" s="251"/>
      <c r="G124" s="251"/>
      <c r="H124" s="251"/>
      <c r="I124" s="251"/>
      <c r="J124" s="289"/>
      <c r="L124" s="251"/>
      <c r="M124" s="289"/>
    </row>
    <row r="125" spans="1:13" ht="14.25" customHeight="1" x14ac:dyDescent="0.25">
      <c r="A125" s="289"/>
      <c r="D125" s="251"/>
      <c r="E125" s="251"/>
      <c r="F125" s="251"/>
      <c r="G125" s="251"/>
      <c r="H125" s="251"/>
      <c r="I125" s="251"/>
      <c r="J125" s="289"/>
      <c r="L125" s="251"/>
      <c r="M125" s="289"/>
    </row>
    <row r="126" spans="1:13" ht="14.25" customHeight="1" x14ac:dyDescent="0.25">
      <c r="A126" s="289"/>
      <c r="D126" s="251"/>
      <c r="E126" s="251"/>
      <c r="F126" s="251"/>
      <c r="G126" s="251"/>
      <c r="H126" s="251"/>
      <c r="I126" s="251"/>
      <c r="J126" s="289"/>
      <c r="L126" s="251"/>
      <c r="M126" s="289"/>
    </row>
    <row r="127" spans="1:13" ht="14.25" customHeight="1" x14ac:dyDescent="0.25">
      <c r="A127" s="289"/>
      <c r="D127" s="251"/>
      <c r="E127" s="251"/>
      <c r="F127" s="251"/>
      <c r="G127" s="251"/>
      <c r="H127" s="251"/>
      <c r="I127" s="251"/>
      <c r="J127" s="289"/>
      <c r="L127" s="251"/>
      <c r="M127" s="289"/>
    </row>
    <row r="128" spans="1:13" ht="14.25" customHeight="1" x14ac:dyDescent="0.25">
      <c r="A128" s="289"/>
      <c r="D128" s="251"/>
      <c r="E128" s="251"/>
      <c r="F128" s="251"/>
      <c r="G128" s="251"/>
      <c r="H128" s="251"/>
      <c r="I128" s="251"/>
      <c r="J128" s="289"/>
      <c r="L128" s="251"/>
      <c r="M128" s="289"/>
    </row>
    <row r="129" spans="1:13" ht="14.25" customHeight="1" x14ac:dyDescent="0.25">
      <c r="A129" s="289"/>
      <c r="D129" s="251"/>
      <c r="E129" s="251"/>
      <c r="F129" s="251"/>
      <c r="G129" s="251"/>
      <c r="H129" s="251"/>
      <c r="I129" s="251"/>
      <c r="J129" s="289"/>
      <c r="L129" s="251"/>
      <c r="M129" s="289"/>
    </row>
    <row r="130" spans="1:13" ht="14.25" customHeight="1" x14ac:dyDescent="0.25">
      <c r="A130" s="289"/>
      <c r="D130" s="251"/>
      <c r="E130" s="251"/>
      <c r="F130" s="251"/>
      <c r="G130" s="251"/>
      <c r="H130" s="251"/>
      <c r="I130" s="251"/>
      <c r="J130" s="289"/>
      <c r="L130" s="251"/>
      <c r="M130" s="289"/>
    </row>
    <row r="131" spans="1:13" ht="14.25" customHeight="1" x14ac:dyDescent="0.25">
      <c r="A131" s="289"/>
      <c r="D131" s="251"/>
      <c r="E131" s="251"/>
      <c r="F131" s="251"/>
      <c r="G131" s="251"/>
      <c r="H131" s="251"/>
      <c r="I131" s="251"/>
      <c r="J131" s="289"/>
      <c r="L131" s="251"/>
      <c r="M131" s="289"/>
    </row>
    <row r="132" spans="1:13" ht="14.25" customHeight="1" x14ac:dyDescent="0.25">
      <c r="A132" s="289"/>
      <c r="D132" s="251"/>
      <c r="E132" s="251"/>
      <c r="F132" s="251"/>
      <c r="G132" s="251"/>
      <c r="H132" s="251"/>
      <c r="I132" s="251"/>
      <c r="J132" s="289"/>
      <c r="L132" s="251"/>
      <c r="M132" s="289"/>
    </row>
    <row r="133" spans="1:13" ht="14.25" customHeight="1" x14ac:dyDescent="0.25">
      <c r="A133" s="289"/>
      <c r="D133" s="251"/>
      <c r="E133" s="251"/>
      <c r="F133" s="251"/>
      <c r="G133" s="251"/>
      <c r="H133" s="251"/>
      <c r="I133" s="251"/>
      <c r="J133" s="289"/>
      <c r="L133" s="251"/>
      <c r="M133" s="289"/>
    </row>
    <row r="134" spans="1:13" ht="14.25" customHeight="1" x14ac:dyDescent="0.25">
      <c r="A134" s="289"/>
      <c r="D134" s="251"/>
      <c r="E134" s="251"/>
      <c r="F134" s="251"/>
      <c r="G134" s="251"/>
      <c r="H134" s="251"/>
      <c r="I134" s="251"/>
      <c r="J134" s="289"/>
      <c r="L134" s="251"/>
      <c r="M134" s="289"/>
    </row>
    <row r="135" spans="1:13" ht="14.25" customHeight="1" x14ac:dyDescent="0.25">
      <c r="A135" s="289"/>
      <c r="D135" s="251"/>
      <c r="E135" s="251"/>
      <c r="F135" s="251"/>
      <c r="G135" s="251"/>
      <c r="H135" s="251"/>
      <c r="I135" s="251"/>
      <c r="J135" s="289"/>
      <c r="L135" s="251"/>
      <c r="M135" s="289"/>
    </row>
    <row r="136" spans="1:13" ht="14.25" customHeight="1" x14ac:dyDescent="0.25">
      <c r="A136" s="289"/>
      <c r="D136" s="251"/>
      <c r="E136" s="251"/>
      <c r="F136" s="251"/>
      <c r="G136" s="251"/>
      <c r="H136" s="251"/>
      <c r="I136" s="251"/>
      <c r="J136" s="289"/>
      <c r="L136" s="251"/>
      <c r="M136" s="289"/>
    </row>
    <row r="137" spans="1:13" ht="14.25" customHeight="1" x14ac:dyDescent="0.25">
      <c r="A137" s="289"/>
      <c r="D137" s="251"/>
      <c r="E137" s="251"/>
      <c r="F137" s="251"/>
      <c r="G137" s="251"/>
      <c r="H137" s="251"/>
      <c r="I137" s="251"/>
      <c r="J137" s="289"/>
      <c r="L137" s="251"/>
      <c r="M137" s="289"/>
    </row>
    <row r="138" spans="1:13" ht="14.25" customHeight="1" x14ac:dyDescent="0.25">
      <c r="A138" s="289"/>
      <c r="D138" s="251"/>
      <c r="E138" s="251"/>
      <c r="F138" s="251"/>
      <c r="G138" s="251"/>
      <c r="H138" s="251"/>
      <c r="I138" s="251"/>
      <c r="J138" s="289"/>
      <c r="L138" s="251"/>
      <c r="M138" s="289"/>
    </row>
    <row r="139" spans="1:13" ht="14.25" customHeight="1" x14ac:dyDescent="0.25">
      <c r="A139" s="289"/>
      <c r="D139" s="251"/>
      <c r="E139" s="251"/>
      <c r="F139" s="251"/>
      <c r="G139" s="251"/>
      <c r="H139" s="251"/>
      <c r="I139" s="251"/>
      <c r="J139" s="289"/>
      <c r="L139" s="251"/>
      <c r="M139" s="289"/>
    </row>
    <row r="140" spans="1:13" ht="14.25" customHeight="1" x14ac:dyDescent="0.25">
      <c r="A140" s="289"/>
      <c r="D140" s="251"/>
      <c r="E140" s="251"/>
      <c r="F140" s="251"/>
      <c r="G140" s="251"/>
      <c r="H140" s="251"/>
      <c r="I140" s="251"/>
      <c r="J140" s="289"/>
      <c r="L140" s="251"/>
      <c r="M140" s="289"/>
    </row>
    <row r="141" spans="1:13" ht="14.25" customHeight="1" x14ac:dyDescent="0.25">
      <c r="A141" s="289"/>
      <c r="D141" s="251"/>
      <c r="E141" s="251"/>
      <c r="F141" s="251"/>
      <c r="G141" s="251"/>
      <c r="H141" s="251"/>
      <c r="I141" s="251"/>
      <c r="J141" s="289"/>
      <c r="L141" s="251"/>
      <c r="M141" s="289"/>
    </row>
    <row r="142" spans="1:13" ht="14.25" customHeight="1" x14ac:dyDescent="0.25">
      <c r="A142" s="289"/>
      <c r="D142" s="251"/>
      <c r="E142" s="251"/>
      <c r="F142" s="251"/>
      <c r="G142" s="251"/>
      <c r="H142" s="251"/>
      <c r="I142" s="251"/>
      <c r="J142" s="289"/>
      <c r="L142" s="251"/>
      <c r="M142" s="289"/>
    </row>
    <row r="143" spans="1:13" ht="14.25" customHeight="1" x14ac:dyDescent="0.25">
      <c r="A143" s="289"/>
      <c r="D143" s="251"/>
      <c r="E143" s="251"/>
      <c r="F143" s="251"/>
      <c r="G143" s="251"/>
      <c r="H143" s="251"/>
      <c r="I143" s="251"/>
      <c r="J143" s="289"/>
      <c r="L143" s="251"/>
      <c r="M143" s="289"/>
    </row>
    <row r="144" spans="1:13" ht="14.25" customHeight="1" x14ac:dyDescent="0.25">
      <c r="A144" s="289"/>
      <c r="D144" s="251"/>
      <c r="E144" s="251"/>
      <c r="F144" s="251"/>
      <c r="G144" s="251"/>
      <c r="H144" s="251"/>
      <c r="I144" s="251"/>
      <c r="J144" s="289"/>
      <c r="L144" s="251"/>
      <c r="M144" s="289"/>
    </row>
    <row r="145" spans="1:13" ht="14.25" customHeight="1" x14ac:dyDescent="0.25">
      <c r="A145" s="289"/>
      <c r="D145" s="251"/>
      <c r="E145" s="251"/>
      <c r="F145" s="251"/>
      <c r="G145" s="251"/>
      <c r="H145" s="251"/>
      <c r="I145" s="251"/>
      <c r="J145" s="289"/>
      <c r="L145" s="251"/>
      <c r="M145" s="289"/>
    </row>
    <row r="146" spans="1:13" ht="14.25" customHeight="1" x14ac:dyDescent="0.25">
      <c r="A146" s="289"/>
      <c r="D146" s="251"/>
      <c r="E146" s="251"/>
      <c r="F146" s="251"/>
      <c r="G146" s="251"/>
      <c r="H146" s="251"/>
      <c r="I146" s="251"/>
      <c r="J146" s="289"/>
      <c r="L146" s="251"/>
      <c r="M146" s="289"/>
    </row>
    <row r="147" spans="1:13" ht="14.25" customHeight="1" x14ac:dyDescent="0.25">
      <c r="A147" s="289"/>
      <c r="D147" s="251"/>
      <c r="E147" s="251"/>
      <c r="F147" s="251"/>
      <c r="G147" s="251"/>
      <c r="H147" s="251"/>
      <c r="I147" s="251"/>
      <c r="J147" s="289"/>
      <c r="L147" s="251"/>
      <c r="M147" s="289"/>
    </row>
    <row r="148" spans="1:13" ht="14.25" customHeight="1" x14ac:dyDescent="0.25">
      <c r="A148" s="289"/>
      <c r="D148" s="251"/>
      <c r="E148" s="251"/>
      <c r="F148" s="251"/>
      <c r="G148" s="251"/>
      <c r="H148" s="251"/>
      <c r="I148" s="251"/>
      <c r="J148" s="289"/>
      <c r="L148" s="251"/>
      <c r="M148" s="289"/>
    </row>
    <row r="149" spans="1:13" ht="14.25" customHeight="1" x14ac:dyDescent="0.25">
      <c r="A149" s="289"/>
      <c r="D149" s="251"/>
      <c r="E149" s="251"/>
      <c r="F149" s="251"/>
      <c r="G149" s="251"/>
      <c r="H149" s="251"/>
      <c r="I149" s="251"/>
      <c r="J149" s="289"/>
      <c r="L149" s="251"/>
      <c r="M149" s="289"/>
    </row>
    <row r="150" spans="1:13" ht="14.25" customHeight="1" x14ac:dyDescent="0.25">
      <c r="A150" s="289"/>
      <c r="D150" s="251"/>
      <c r="E150" s="251"/>
      <c r="F150" s="251"/>
      <c r="G150" s="251"/>
      <c r="H150" s="251"/>
      <c r="I150" s="251"/>
      <c r="J150" s="289"/>
      <c r="L150" s="251"/>
      <c r="M150" s="289"/>
    </row>
    <row r="151" spans="1:13" ht="14.25" customHeight="1" x14ac:dyDescent="0.25">
      <c r="A151" s="289"/>
      <c r="D151" s="251"/>
      <c r="E151" s="251"/>
      <c r="F151" s="251"/>
      <c r="G151" s="251"/>
      <c r="H151" s="251"/>
      <c r="I151" s="251"/>
      <c r="J151" s="289"/>
      <c r="L151" s="251"/>
      <c r="M151" s="289"/>
    </row>
    <row r="152" spans="1:13" ht="14.25" customHeight="1" x14ac:dyDescent="0.25">
      <c r="A152" s="289"/>
      <c r="D152" s="251"/>
      <c r="E152" s="251"/>
      <c r="F152" s="251"/>
      <c r="G152" s="251"/>
      <c r="H152" s="251"/>
      <c r="I152" s="251"/>
      <c r="J152" s="289"/>
      <c r="L152" s="251"/>
      <c r="M152" s="289"/>
    </row>
    <row r="153" spans="1:13" ht="14.25" customHeight="1" x14ac:dyDescent="0.25">
      <c r="A153" s="289"/>
      <c r="D153" s="251"/>
      <c r="E153" s="251"/>
      <c r="F153" s="251"/>
      <c r="G153" s="251"/>
      <c r="H153" s="251"/>
      <c r="I153" s="251"/>
      <c r="J153" s="289"/>
      <c r="L153" s="251"/>
      <c r="M153" s="289"/>
    </row>
    <row r="154" spans="1:13" ht="14.25" customHeight="1" x14ac:dyDescent="0.25">
      <c r="A154" s="289"/>
      <c r="D154" s="251"/>
      <c r="E154" s="251"/>
      <c r="F154" s="251"/>
      <c r="G154" s="251"/>
      <c r="H154" s="251"/>
      <c r="I154" s="251"/>
      <c r="J154" s="289"/>
      <c r="L154" s="251"/>
      <c r="M154" s="289"/>
    </row>
    <row r="155" spans="1:13" ht="14.25" customHeight="1" x14ac:dyDescent="0.25">
      <c r="A155" s="289"/>
      <c r="D155" s="251"/>
      <c r="E155" s="251"/>
      <c r="F155" s="251"/>
      <c r="G155" s="251"/>
      <c r="H155" s="251"/>
      <c r="I155" s="251"/>
      <c r="J155" s="289"/>
      <c r="L155" s="251"/>
      <c r="M155" s="289"/>
    </row>
    <row r="156" spans="1:13" ht="14.25" customHeight="1" x14ac:dyDescent="0.25">
      <c r="A156" s="289"/>
      <c r="D156" s="251"/>
      <c r="E156" s="251"/>
      <c r="F156" s="251"/>
      <c r="G156" s="251"/>
      <c r="H156" s="251"/>
      <c r="I156" s="251"/>
      <c r="J156" s="289"/>
      <c r="L156" s="251"/>
      <c r="M156" s="289"/>
    </row>
    <row r="157" spans="1:13" ht="14.25" customHeight="1" x14ac:dyDescent="0.25">
      <c r="A157" s="289"/>
      <c r="D157" s="251"/>
      <c r="E157" s="251"/>
      <c r="F157" s="251"/>
      <c r="G157" s="251"/>
      <c r="H157" s="251"/>
      <c r="I157" s="251"/>
      <c r="J157" s="289"/>
      <c r="L157" s="251"/>
      <c r="M157" s="289"/>
    </row>
    <row r="158" spans="1:13" ht="14.25" customHeight="1" x14ac:dyDescent="0.25">
      <c r="A158" s="289"/>
      <c r="D158" s="251"/>
      <c r="E158" s="251"/>
      <c r="F158" s="251"/>
      <c r="G158" s="251"/>
      <c r="H158" s="251"/>
      <c r="I158" s="251"/>
      <c r="J158" s="289"/>
      <c r="L158" s="251"/>
      <c r="M158" s="289"/>
    </row>
    <row r="159" spans="1:13" ht="14.25" customHeight="1" x14ac:dyDescent="0.25">
      <c r="A159" s="289"/>
      <c r="D159" s="251"/>
      <c r="E159" s="251"/>
      <c r="F159" s="251"/>
      <c r="G159" s="251"/>
      <c r="H159" s="251"/>
      <c r="I159" s="251"/>
      <c r="J159" s="289"/>
      <c r="L159" s="251"/>
      <c r="M159" s="289"/>
    </row>
    <row r="160" spans="1:13" ht="14.25" customHeight="1" x14ac:dyDescent="0.25">
      <c r="A160" s="289"/>
      <c r="D160" s="251"/>
      <c r="E160" s="251"/>
      <c r="F160" s="251"/>
      <c r="G160" s="251"/>
      <c r="H160" s="251"/>
      <c r="I160" s="251"/>
      <c r="J160" s="289"/>
      <c r="L160" s="251"/>
      <c r="M160" s="289"/>
    </row>
    <row r="161" spans="1:13" ht="14.25" customHeight="1" x14ac:dyDescent="0.25">
      <c r="A161" s="289"/>
      <c r="D161" s="251"/>
      <c r="E161" s="251"/>
      <c r="F161" s="251"/>
      <c r="G161" s="251"/>
      <c r="H161" s="251"/>
      <c r="I161" s="251"/>
      <c r="J161" s="289"/>
      <c r="L161" s="251"/>
      <c r="M161" s="289"/>
    </row>
    <row r="162" spans="1:13" ht="14.25" customHeight="1" x14ac:dyDescent="0.25">
      <c r="A162" s="289"/>
      <c r="D162" s="251"/>
      <c r="E162" s="251"/>
      <c r="F162" s="251"/>
      <c r="G162" s="251"/>
      <c r="H162" s="251"/>
      <c r="I162" s="251"/>
      <c r="J162" s="289"/>
      <c r="L162" s="251"/>
      <c r="M162" s="289"/>
    </row>
    <row r="163" spans="1:13" ht="14.25" customHeight="1" x14ac:dyDescent="0.25">
      <c r="A163" s="289"/>
      <c r="D163" s="251"/>
      <c r="E163" s="251"/>
      <c r="F163" s="251"/>
      <c r="G163" s="251"/>
      <c r="H163" s="251"/>
      <c r="I163" s="251"/>
      <c r="J163" s="289"/>
      <c r="L163" s="251"/>
      <c r="M163" s="289"/>
    </row>
    <row r="164" spans="1:13" ht="14.25" customHeight="1" x14ac:dyDescent="0.25">
      <c r="A164" s="289"/>
      <c r="D164" s="251"/>
      <c r="E164" s="251"/>
      <c r="F164" s="251"/>
      <c r="G164" s="251"/>
      <c r="H164" s="251"/>
      <c r="I164" s="251"/>
      <c r="J164" s="289"/>
      <c r="L164" s="251"/>
      <c r="M164" s="289"/>
    </row>
    <row r="165" spans="1:13" ht="14.25" customHeight="1" x14ac:dyDescent="0.25">
      <c r="A165" s="289"/>
      <c r="D165" s="251"/>
      <c r="E165" s="251"/>
      <c r="F165" s="251"/>
      <c r="G165" s="251"/>
      <c r="H165" s="251"/>
      <c r="I165" s="251"/>
      <c r="J165" s="289"/>
      <c r="L165" s="251"/>
      <c r="M165" s="289"/>
    </row>
    <row r="166" spans="1:13" ht="14.25" customHeight="1" x14ac:dyDescent="0.25">
      <c r="A166" s="289"/>
      <c r="D166" s="251"/>
      <c r="E166" s="251"/>
      <c r="F166" s="251"/>
      <c r="G166" s="251"/>
      <c r="H166" s="251"/>
      <c r="I166" s="251"/>
      <c r="J166" s="289"/>
      <c r="L166" s="251"/>
      <c r="M166" s="289"/>
    </row>
    <row r="167" spans="1:13" ht="14.25" customHeight="1" x14ac:dyDescent="0.25">
      <c r="A167" s="289"/>
      <c r="D167" s="251"/>
      <c r="E167" s="251"/>
      <c r="F167" s="251"/>
      <c r="G167" s="251"/>
      <c r="H167" s="251"/>
      <c r="I167" s="251"/>
      <c r="J167" s="289"/>
      <c r="L167" s="251"/>
      <c r="M167" s="289"/>
    </row>
    <row r="168" spans="1:13" ht="14.25" customHeight="1" x14ac:dyDescent="0.25">
      <c r="A168" s="289"/>
      <c r="D168" s="251"/>
      <c r="E168" s="251"/>
      <c r="F168" s="251"/>
      <c r="G168" s="251"/>
      <c r="H168" s="251"/>
      <c r="I168" s="251"/>
      <c r="J168" s="289"/>
      <c r="L168" s="251"/>
      <c r="M168" s="289"/>
    </row>
    <row r="169" spans="1:13" ht="14.25" customHeight="1" x14ac:dyDescent="0.25">
      <c r="A169" s="289"/>
      <c r="D169" s="251"/>
      <c r="E169" s="251"/>
      <c r="F169" s="251"/>
      <c r="G169" s="251"/>
      <c r="H169" s="251"/>
      <c r="I169" s="251"/>
      <c r="J169" s="289"/>
      <c r="L169" s="251"/>
      <c r="M169" s="289"/>
    </row>
    <row r="170" spans="1:13" ht="14.25" customHeight="1" x14ac:dyDescent="0.25">
      <c r="A170" s="289"/>
      <c r="D170" s="251"/>
      <c r="E170" s="251"/>
      <c r="F170" s="251"/>
      <c r="G170" s="251"/>
      <c r="H170" s="251"/>
      <c r="I170" s="251"/>
      <c r="J170" s="289"/>
      <c r="L170" s="251"/>
      <c r="M170" s="289"/>
    </row>
    <row r="171" spans="1:13" ht="14.25" customHeight="1" x14ac:dyDescent="0.25">
      <c r="A171" s="289"/>
      <c r="D171" s="251"/>
      <c r="E171" s="251"/>
      <c r="F171" s="251"/>
      <c r="G171" s="251"/>
      <c r="H171" s="251"/>
      <c r="I171" s="251"/>
      <c r="J171" s="289"/>
      <c r="L171" s="251"/>
      <c r="M171" s="289"/>
    </row>
    <row r="172" spans="1:13" ht="14.25" customHeight="1" x14ac:dyDescent="0.25">
      <c r="A172" s="289"/>
      <c r="D172" s="251"/>
      <c r="E172" s="251"/>
      <c r="F172" s="251"/>
      <c r="G172" s="251"/>
      <c r="H172" s="251"/>
      <c r="I172" s="251"/>
      <c r="J172" s="289"/>
      <c r="L172" s="251"/>
      <c r="M172" s="289"/>
    </row>
    <row r="173" spans="1:13" ht="14.25" customHeight="1" x14ac:dyDescent="0.25">
      <c r="A173" s="289"/>
      <c r="D173" s="251"/>
      <c r="E173" s="251"/>
      <c r="F173" s="251"/>
      <c r="G173" s="251"/>
      <c r="H173" s="251"/>
      <c r="I173" s="251"/>
      <c r="J173" s="289"/>
      <c r="L173" s="251"/>
      <c r="M173" s="289"/>
    </row>
    <row r="174" spans="1:13" ht="14.25" customHeight="1" x14ac:dyDescent="0.25">
      <c r="A174" s="289"/>
      <c r="D174" s="251"/>
      <c r="E174" s="251"/>
      <c r="F174" s="251"/>
      <c r="G174" s="251"/>
      <c r="H174" s="251"/>
      <c r="I174" s="251"/>
      <c r="J174" s="289"/>
      <c r="L174" s="251"/>
      <c r="M174" s="289"/>
    </row>
    <row r="175" spans="1:13" ht="14.25" customHeight="1" x14ac:dyDescent="0.25">
      <c r="A175" s="289"/>
      <c r="D175" s="251"/>
      <c r="E175" s="251"/>
      <c r="F175" s="251"/>
      <c r="G175" s="251"/>
      <c r="H175" s="251"/>
      <c r="I175" s="251"/>
      <c r="J175" s="289"/>
      <c r="L175" s="251"/>
      <c r="M175" s="289"/>
    </row>
    <row r="176" spans="1:13" ht="14.25" customHeight="1" x14ac:dyDescent="0.25">
      <c r="A176" s="289"/>
      <c r="D176" s="251"/>
      <c r="E176" s="251"/>
      <c r="F176" s="251"/>
      <c r="G176" s="251"/>
      <c r="H176" s="251"/>
      <c r="I176" s="251"/>
      <c r="J176" s="289"/>
      <c r="L176" s="251"/>
      <c r="M176" s="289"/>
    </row>
    <row r="177" spans="1:13" ht="14.25" customHeight="1" x14ac:dyDescent="0.25">
      <c r="A177" s="289"/>
      <c r="D177" s="251"/>
      <c r="E177" s="251"/>
      <c r="F177" s="251"/>
      <c r="G177" s="251"/>
      <c r="H177" s="251"/>
      <c r="I177" s="251"/>
      <c r="J177" s="289"/>
      <c r="L177" s="251"/>
      <c r="M177" s="289"/>
    </row>
    <row r="178" spans="1:13" ht="14.25" customHeight="1" x14ac:dyDescent="0.25">
      <c r="A178" s="289"/>
      <c r="D178" s="251"/>
      <c r="E178" s="251"/>
      <c r="F178" s="251"/>
      <c r="G178" s="251"/>
      <c r="H178" s="251"/>
      <c r="I178" s="251"/>
      <c r="J178" s="289"/>
      <c r="L178" s="251"/>
      <c r="M178" s="289"/>
    </row>
    <row r="179" spans="1:13" ht="14.25" customHeight="1" x14ac:dyDescent="0.25">
      <c r="A179" s="289"/>
      <c r="D179" s="251"/>
      <c r="E179" s="251"/>
      <c r="F179" s="251"/>
      <c r="G179" s="251"/>
      <c r="H179" s="251"/>
      <c r="I179" s="251"/>
      <c r="J179" s="289"/>
      <c r="L179" s="251"/>
      <c r="M179" s="289"/>
    </row>
    <row r="180" spans="1:13" ht="14.25" customHeight="1" x14ac:dyDescent="0.25">
      <c r="A180" s="289"/>
      <c r="D180" s="251"/>
      <c r="E180" s="251"/>
      <c r="F180" s="251"/>
      <c r="G180" s="251"/>
      <c r="H180" s="251"/>
      <c r="I180" s="251"/>
      <c r="J180" s="289"/>
      <c r="L180" s="251"/>
      <c r="M180" s="289"/>
    </row>
    <row r="181" spans="1:13" ht="14.25" customHeight="1" x14ac:dyDescent="0.25">
      <c r="A181" s="289"/>
      <c r="D181" s="251"/>
      <c r="E181" s="251"/>
      <c r="F181" s="251"/>
      <c r="G181" s="251"/>
      <c r="H181" s="251"/>
      <c r="I181" s="251"/>
      <c r="J181" s="289"/>
      <c r="L181" s="251"/>
      <c r="M181" s="289"/>
    </row>
    <row r="182" spans="1:13" ht="14.25" customHeight="1" x14ac:dyDescent="0.25">
      <c r="A182" s="289"/>
      <c r="D182" s="251"/>
      <c r="E182" s="251"/>
      <c r="F182" s="251"/>
      <c r="G182" s="251"/>
      <c r="H182" s="251"/>
      <c r="I182" s="251"/>
      <c r="J182" s="289"/>
      <c r="L182" s="251"/>
      <c r="M182" s="289"/>
    </row>
    <row r="183" spans="1:13" ht="14.25" customHeight="1" x14ac:dyDescent="0.25">
      <c r="A183" s="289"/>
      <c r="D183" s="251"/>
      <c r="E183" s="251"/>
      <c r="F183" s="251"/>
      <c r="G183" s="251"/>
      <c r="H183" s="251"/>
      <c r="I183" s="251"/>
      <c r="J183" s="289"/>
      <c r="L183" s="251"/>
      <c r="M183" s="289"/>
    </row>
    <row r="184" spans="1:13" ht="14.25" customHeight="1" x14ac:dyDescent="0.25">
      <c r="A184" s="289"/>
      <c r="D184" s="251"/>
      <c r="E184" s="251"/>
      <c r="F184" s="251"/>
      <c r="G184" s="251"/>
      <c r="H184" s="251"/>
      <c r="I184" s="251"/>
      <c r="J184" s="289"/>
      <c r="L184" s="251"/>
      <c r="M184" s="289"/>
    </row>
    <row r="185" spans="1:13" ht="14.25" customHeight="1" x14ac:dyDescent="0.25">
      <c r="A185" s="289"/>
      <c r="D185" s="251"/>
      <c r="E185" s="251"/>
      <c r="F185" s="251"/>
      <c r="G185" s="251"/>
      <c r="H185" s="251"/>
      <c r="I185" s="251"/>
      <c r="J185" s="289"/>
      <c r="L185" s="251"/>
      <c r="M185" s="289"/>
    </row>
    <row r="186" spans="1:13" ht="14.25" customHeight="1" x14ac:dyDescent="0.25">
      <c r="A186" s="289"/>
      <c r="D186" s="251"/>
      <c r="E186" s="251"/>
      <c r="F186" s="251"/>
      <c r="G186" s="251"/>
      <c r="H186" s="251"/>
      <c r="I186" s="251"/>
      <c r="J186" s="289"/>
      <c r="L186" s="251"/>
      <c r="M186" s="289"/>
    </row>
    <row r="187" spans="1:13" ht="14.25" customHeight="1" x14ac:dyDescent="0.25">
      <c r="A187" s="289"/>
      <c r="D187" s="251"/>
      <c r="E187" s="251"/>
      <c r="F187" s="251"/>
      <c r="G187" s="251"/>
      <c r="H187" s="251"/>
      <c r="I187" s="251"/>
      <c r="J187" s="289"/>
      <c r="L187" s="251"/>
      <c r="M187" s="289"/>
    </row>
    <row r="188" spans="1:13" ht="14.25" customHeight="1" x14ac:dyDescent="0.25">
      <c r="A188" s="289"/>
      <c r="D188" s="251"/>
      <c r="E188" s="251"/>
      <c r="F188" s="251"/>
      <c r="G188" s="251"/>
      <c r="H188" s="251"/>
      <c r="I188" s="251"/>
      <c r="J188" s="289"/>
      <c r="L188" s="251"/>
      <c r="M188" s="289"/>
    </row>
    <row r="189" spans="1:13" ht="14.25" customHeight="1" x14ac:dyDescent="0.25">
      <c r="A189" s="289"/>
      <c r="D189" s="251"/>
      <c r="E189" s="251"/>
      <c r="F189" s="251"/>
      <c r="G189" s="251"/>
      <c r="H189" s="251"/>
      <c r="I189" s="251"/>
      <c r="J189" s="289"/>
      <c r="L189" s="251"/>
      <c r="M189" s="289"/>
    </row>
    <row r="190" spans="1:13" ht="14.25" customHeight="1" x14ac:dyDescent="0.25">
      <c r="A190" s="289"/>
      <c r="D190" s="251"/>
      <c r="E190" s="251"/>
      <c r="F190" s="251"/>
      <c r="G190" s="251"/>
      <c r="H190" s="251"/>
      <c r="I190" s="251"/>
      <c r="J190" s="289"/>
      <c r="L190" s="251"/>
      <c r="M190" s="289"/>
    </row>
    <row r="191" spans="1:13" ht="14.25" customHeight="1" x14ac:dyDescent="0.25">
      <c r="A191" s="289"/>
      <c r="D191" s="251"/>
      <c r="E191" s="251"/>
      <c r="F191" s="251"/>
      <c r="G191" s="251"/>
      <c r="H191" s="251"/>
      <c r="I191" s="251"/>
      <c r="J191" s="289"/>
      <c r="L191" s="251"/>
      <c r="M191" s="289"/>
    </row>
    <row r="192" spans="1:13" ht="14.25" customHeight="1" x14ac:dyDescent="0.25">
      <c r="A192" s="289"/>
      <c r="D192" s="251"/>
      <c r="E192" s="251"/>
      <c r="F192" s="251"/>
      <c r="G192" s="251"/>
      <c r="H192" s="251"/>
      <c r="I192" s="251"/>
      <c r="J192" s="289"/>
      <c r="L192" s="251"/>
      <c r="M192" s="289"/>
    </row>
    <row r="193" spans="1:13" ht="14.25" customHeight="1" x14ac:dyDescent="0.25">
      <c r="A193" s="289"/>
      <c r="D193" s="251"/>
      <c r="E193" s="251"/>
      <c r="F193" s="251"/>
      <c r="G193" s="251"/>
      <c r="H193" s="251"/>
      <c r="I193" s="251"/>
      <c r="J193" s="289"/>
      <c r="L193" s="251"/>
      <c r="M193" s="289"/>
    </row>
    <row r="194" spans="1:13" ht="14.25" customHeight="1" x14ac:dyDescent="0.25">
      <c r="A194" s="289"/>
      <c r="D194" s="251"/>
      <c r="E194" s="251"/>
      <c r="F194" s="251"/>
      <c r="G194" s="251"/>
      <c r="H194" s="251"/>
      <c r="I194" s="251"/>
      <c r="J194" s="289"/>
      <c r="L194" s="251"/>
      <c r="M194" s="289"/>
    </row>
    <row r="195" spans="1:13" ht="14.25" customHeight="1" x14ac:dyDescent="0.25">
      <c r="A195" s="289"/>
      <c r="D195" s="251"/>
      <c r="E195" s="251"/>
      <c r="F195" s="251"/>
      <c r="G195" s="251"/>
      <c r="H195" s="251"/>
      <c r="I195" s="251"/>
      <c r="J195" s="289"/>
      <c r="L195" s="251"/>
      <c r="M195" s="289"/>
    </row>
    <row r="196" spans="1:13" ht="14.25" customHeight="1" x14ac:dyDescent="0.25">
      <c r="A196" s="289"/>
      <c r="D196" s="251"/>
      <c r="E196" s="251"/>
      <c r="F196" s="251"/>
      <c r="G196" s="251"/>
      <c r="H196" s="251"/>
      <c r="I196" s="251"/>
      <c r="J196" s="289"/>
      <c r="L196" s="251"/>
      <c r="M196" s="289"/>
    </row>
    <row r="197" spans="1:13" ht="14.25" customHeight="1" x14ac:dyDescent="0.25">
      <c r="A197" s="289"/>
      <c r="D197" s="251"/>
      <c r="E197" s="251"/>
      <c r="F197" s="251"/>
      <c r="G197" s="251"/>
      <c r="H197" s="251"/>
      <c r="I197" s="251"/>
      <c r="J197" s="289"/>
      <c r="L197" s="251"/>
      <c r="M197" s="289"/>
    </row>
    <row r="198" spans="1:13" ht="14.25" customHeight="1" x14ac:dyDescent="0.25">
      <c r="A198" s="289"/>
      <c r="D198" s="251"/>
      <c r="E198" s="251"/>
      <c r="F198" s="251"/>
      <c r="G198" s="251"/>
      <c r="H198" s="251"/>
      <c r="I198" s="251"/>
      <c r="J198" s="289"/>
      <c r="L198" s="251"/>
      <c r="M198" s="289"/>
    </row>
    <row r="199" spans="1:13" ht="14.25" customHeight="1" x14ac:dyDescent="0.25">
      <c r="A199" s="289"/>
      <c r="D199" s="251"/>
      <c r="E199" s="251"/>
      <c r="F199" s="251"/>
      <c r="G199" s="251"/>
      <c r="H199" s="251"/>
      <c r="I199" s="251"/>
      <c r="J199" s="289"/>
      <c r="L199" s="251"/>
      <c r="M199" s="289"/>
    </row>
    <row r="200" spans="1:13" ht="14.25" customHeight="1" x14ac:dyDescent="0.25">
      <c r="A200" s="289"/>
      <c r="D200" s="251"/>
      <c r="E200" s="251"/>
      <c r="F200" s="251"/>
      <c r="G200" s="251"/>
      <c r="H200" s="251"/>
      <c r="I200" s="251"/>
      <c r="J200" s="289"/>
      <c r="L200" s="251"/>
      <c r="M200" s="289"/>
    </row>
    <row r="201" spans="1:13" ht="14.25" customHeight="1" x14ac:dyDescent="0.25">
      <c r="A201" s="289"/>
      <c r="D201" s="251"/>
      <c r="E201" s="251"/>
      <c r="F201" s="251"/>
      <c r="G201" s="251"/>
      <c r="H201" s="251"/>
      <c r="I201" s="251"/>
      <c r="J201" s="289"/>
      <c r="L201" s="251"/>
      <c r="M201" s="289"/>
    </row>
    <row r="202" spans="1:13" ht="14.25" customHeight="1" x14ac:dyDescent="0.25">
      <c r="A202" s="289"/>
      <c r="D202" s="251"/>
      <c r="E202" s="251"/>
      <c r="F202" s="251"/>
      <c r="G202" s="251"/>
      <c r="H202" s="251"/>
      <c r="I202" s="251"/>
      <c r="J202" s="289"/>
      <c r="L202" s="251"/>
      <c r="M202" s="289"/>
    </row>
    <row r="203" spans="1:13" ht="14.25" customHeight="1" x14ac:dyDescent="0.25">
      <c r="A203" s="289"/>
      <c r="D203" s="251"/>
      <c r="E203" s="251"/>
      <c r="F203" s="251"/>
      <c r="G203" s="251"/>
      <c r="H203" s="251"/>
      <c r="I203" s="251"/>
      <c r="J203" s="289"/>
      <c r="L203" s="251"/>
      <c r="M203" s="289"/>
    </row>
    <row r="204" spans="1:13" ht="14.25" customHeight="1" x14ac:dyDescent="0.25">
      <c r="A204" s="289"/>
      <c r="D204" s="251"/>
      <c r="E204" s="251"/>
      <c r="F204" s="251"/>
      <c r="G204" s="251"/>
      <c r="H204" s="251"/>
      <c r="I204" s="251"/>
      <c r="J204" s="289"/>
      <c r="L204" s="251"/>
      <c r="M204" s="289"/>
    </row>
    <row r="205" spans="1:13" ht="14.25" customHeight="1" x14ac:dyDescent="0.25">
      <c r="A205" s="289"/>
      <c r="D205" s="251"/>
      <c r="E205" s="251"/>
      <c r="F205" s="251"/>
      <c r="G205" s="251"/>
      <c r="H205" s="251"/>
      <c r="I205" s="251"/>
      <c r="J205" s="289"/>
      <c r="L205" s="251"/>
      <c r="M205" s="289"/>
    </row>
    <row r="206" spans="1:13" ht="14.25" customHeight="1" x14ac:dyDescent="0.25">
      <c r="A206" s="289"/>
      <c r="D206" s="251"/>
      <c r="E206" s="251"/>
      <c r="F206" s="251"/>
      <c r="G206" s="251"/>
      <c r="H206" s="251"/>
      <c r="I206" s="251"/>
      <c r="J206" s="289"/>
      <c r="L206" s="251"/>
      <c r="M206" s="289"/>
    </row>
    <row r="207" spans="1:13" ht="14.25" customHeight="1" x14ac:dyDescent="0.25">
      <c r="A207" s="289"/>
      <c r="D207" s="251"/>
      <c r="E207" s="251"/>
      <c r="F207" s="251"/>
      <c r="G207" s="251"/>
      <c r="H207" s="251"/>
      <c r="I207" s="251"/>
      <c r="J207" s="289"/>
      <c r="L207" s="251"/>
      <c r="M207" s="289"/>
    </row>
    <row r="208" spans="1:13" ht="14.25" customHeight="1" x14ac:dyDescent="0.25">
      <c r="A208" s="289"/>
      <c r="D208" s="251"/>
      <c r="E208" s="251"/>
      <c r="F208" s="251"/>
      <c r="G208" s="251"/>
      <c r="H208" s="251"/>
      <c r="I208" s="251"/>
      <c r="J208" s="289"/>
      <c r="L208" s="251"/>
      <c r="M208" s="289"/>
    </row>
    <row r="209" spans="1:13" ht="14.25" customHeight="1" x14ac:dyDescent="0.25">
      <c r="A209" s="289"/>
      <c r="D209" s="251"/>
      <c r="E209" s="251"/>
      <c r="F209" s="251"/>
      <c r="G209" s="251"/>
      <c r="H209" s="251"/>
      <c r="I209" s="251"/>
      <c r="J209" s="289"/>
      <c r="L209" s="251"/>
      <c r="M209" s="289"/>
    </row>
    <row r="210" spans="1:13" ht="14.25" customHeight="1" x14ac:dyDescent="0.25">
      <c r="A210" s="289"/>
      <c r="D210" s="251"/>
      <c r="E210" s="251"/>
      <c r="F210" s="251"/>
      <c r="G210" s="251"/>
      <c r="H210" s="251"/>
      <c r="I210" s="251"/>
      <c r="J210" s="289"/>
      <c r="L210" s="251"/>
      <c r="M210" s="289"/>
    </row>
    <row r="211" spans="1:13" ht="14.25" customHeight="1" x14ac:dyDescent="0.25">
      <c r="A211" s="289"/>
      <c r="D211" s="251"/>
      <c r="E211" s="251"/>
      <c r="F211" s="251"/>
      <c r="G211" s="251"/>
      <c r="H211" s="251"/>
      <c r="I211" s="251"/>
      <c r="J211" s="289"/>
      <c r="L211" s="251"/>
      <c r="M211" s="289"/>
    </row>
    <row r="212" spans="1:13" ht="14.25" customHeight="1" x14ac:dyDescent="0.25">
      <c r="A212" s="289"/>
      <c r="D212" s="251"/>
      <c r="E212" s="251"/>
      <c r="F212" s="251"/>
      <c r="G212" s="251"/>
      <c r="H212" s="251"/>
      <c r="I212" s="251"/>
      <c r="J212" s="289"/>
      <c r="L212" s="251"/>
      <c r="M212" s="289"/>
    </row>
    <row r="213" spans="1:13" ht="14.25" customHeight="1" x14ac:dyDescent="0.25">
      <c r="A213" s="289"/>
      <c r="D213" s="251"/>
      <c r="E213" s="251"/>
      <c r="F213" s="251"/>
      <c r="G213" s="251"/>
      <c r="H213" s="251"/>
      <c r="I213" s="251"/>
      <c r="J213" s="289"/>
      <c r="L213" s="251"/>
      <c r="M213" s="289"/>
    </row>
    <row r="214" spans="1:13" ht="15.75" customHeight="1" x14ac:dyDescent="0.25">
      <c r="D214" s="251"/>
      <c r="E214" s="251"/>
      <c r="F214" s="251"/>
      <c r="G214" s="251"/>
      <c r="H214" s="251"/>
      <c r="I214" s="251"/>
      <c r="L214" s="251"/>
    </row>
    <row r="215" spans="1:13" ht="15.75" customHeight="1" x14ac:dyDescent="0.25">
      <c r="D215" s="251"/>
      <c r="E215" s="251"/>
      <c r="F215" s="251"/>
      <c r="G215" s="251"/>
      <c r="H215" s="251"/>
      <c r="I215" s="251"/>
      <c r="L215" s="251"/>
    </row>
    <row r="216" spans="1:13" ht="15.75" customHeight="1" x14ac:dyDescent="0.25">
      <c r="D216" s="251"/>
      <c r="E216" s="251"/>
      <c r="F216" s="251"/>
      <c r="G216" s="251"/>
      <c r="H216" s="251"/>
      <c r="I216" s="251"/>
      <c r="L216" s="251"/>
    </row>
    <row r="217" spans="1:13" ht="15.75" customHeight="1" x14ac:dyDescent="0.25">
      <c r="D217" s="251"/>
      <c r="E217" s="251"/>
      <c r="F217" s="251"/>
      <c r="G217" s="251"/>
      <c r="H217" s="251"/>
      <c r="I217" s="251"/>
      <c r="L217" s="251"/>
    </row>
    <row r="218" spans="1:13" ht="15.75" customHeight="1" x14ac:dyDescent="0.25">
      <c r="D218" s="251"/>
      <c r="E218" s="251"/>
      <c r="F218" s="251"/>
      <c r="G218" s="251"/>
      <c r="H218" s="251"/>
      <c r="I218" s="251"/>
      <c r="L218" s="251"/>
    </row>
    <row r="219" spans="1:13" ht="15.75" customHeight="1" x14ac:dyDescent="0.25">
      <c r="D219" s="251"/>
      <c r="E219" s="251"/>
      <c r="F219" s="251"/>
      <c r="G219" s="251"/>
      <c r="H219" s="251"/>
      <c r="I219" s="251"/>
      <c r="L219" s="251"/>
    </row>
    <row r="220" spans="1:13" ht="15.75" customHeight="1" x14ac:dyDescent="0.25">
      <c r="D220" s="251"/>
      <c r="E220" s="251"/>
      <c r="F220" s="251"/>
      <c r="G220" s="251"/>
      <c r="H220" s="251"/>
      <c r="I220" s="251"/>
      <c r="L220" s="251"/>
    </row>
    <row r="221" spans="1:13" ht="15.75" customHeight="1" x14ac:dyDescent="0.25">
      <c r="D221" s="251"/>
      <c r="E221" s="251"/>
      <c r="F221" s="251"/>
      <c r="G221" s="251"/>
      <c r="H221" s="251"/>
      <c r="I221" s="251"/>
      <c r="L221" s="251"/>
    </row>
    <row r="222" spans="1:13" ht="15.75" customHeight="1" x14ac:dyDescent="0.25">
      <c r="D222" s="251"/>
      <c r="E222" s="251"/>
      <c r="F222" s="251"/>
      <c r="G222" s="251"/>
      <c r="H222" s="251"/>
      <c r="I222" s="251"/>
      <c r="L222" s="251"/>
    </row>
    <row r="223" spans="1:13" ht="15.75" customHeight="1" x14ac:dyDescent="0.25">
      <c r="D223" s="251"/>
      <c r="E223" s="251"/>
      <c r="F223" s="251"/>
      <c r="G223" s="251"/>
      <c r="H223" s="251"/>
      <c r="I223" s="251"/>
      <c r="L223" s="251"/>
    </row>
    <row r="224" spans="1:13" ht="15.75" customHeight="1" x14ac:dyDescent="0.25">
      <c r="D224" s="251"/>
      <c r="E224" s="251"/>
      <c r="F224" s="251"/>
      <c r="G224" s="251"/>
      <c r="H224" s="251"/>
      <c r="I224" s="251"/>
      <c r="L224" s="251"/>
    </row>
    <row r="225" spans="4:12" ht="15.75" customHeight="1" x14ac:dyDescent="0.25">
      <c r="D225" s="251"/>
      <c r="E225" s="251"/>
      <c r="F225" s="251"/>
      <c r="G225" s="251"/>
      <c r="H225" s="251"/>
      <c r="I225" s="251"/>
      <c r="L225" s="251"/>
    </row>
    <row r="226" spans="4:12" ht="15.75" customHeight="1" x14ac:dyDescent="0.25">
      <c r="D226" s="251"/>
      <c r="E226" s="251"/>
      <c r="F226" s="251"/>
      <c r="G226" s="251"/>
      <c r="H226" s="251"/>
      <c r="I226" s="251"/>
      <c r="L226" s="251"/>
    </row>
    <row r="227" spans="4:12" ht="15.75" customHeight="1" x14ac:dyDescent="0.25">
      <c r="D227" s="251"/>
      <c r="E227" s="251"/>
      <c r="F227" s="251"/>
      <c r="G227" s="251"/>
      <c r="H227" s="251"/>
      <c r="I227" s="251"/>
      <c r="L227" s="251"/>
    </row>
    <row r="228" spans="4:12" ht="15.75" customHeight="1" x14ac:dyDescent="0.25">
      <c r="D228" s="251"/>
      <c r="E228" s="251"/>
      <c r="F228" s="251"/>
      <c r="G228" s="251"/>
      <c r="H228" s="251"/>
      <c r="I228" s="251"/>
      <c r="L228" s="251"/>
    </row>
    <row r="229" spans="4:12" ht="15.75" customHeight="1" x14ac:dyDescent="0.25">
      <c r="D229" s="251"/>
      <c r="E229" s="251"/>
      <c r="F229" s="251"/>
      <c r="G229" s="251"/>
      <c r="H229" s="251"/>
      <c r="I229" s="251"/>
      <c r="L229" s="251"/>
    </row>
    <row r="230" spans="4:12" ht="15.75" customHeight="1" x14ac:dyDescent="0.25">
      <c r="D230" s="251"/>
      <c r="E230" s="251"/>
      <c r="F230" s="251"/>
      <c r="G230" s="251"/>
      <c r="H230" s="251"/>
      <c r="I230" s="251"/>
      <c r="L230" s="251"/>
    </row>
    <row r="231" spans="4:12" ht="15.75" customHeight="1" x14ac:dyDescent="0.25">
      <c r="D231" s="251"/>
      <c r="E231" s="251"/>
      <c r="F231" s="251"/>
      <c r="G231" s="251"/>
      <c r="H231" s="251"/>
      <c r="I231" s="251"/>
      <c r="L231" s="251"/>
    </row>
    <row r="232" spans="4:12" ht="15.75" customHeight="1" x14ac:dyDescent="0.25">
      <c r="D232" s="251"/>
      <c r="E232" s="251"/>
      <c r="F232" s="251"/>
      <c r="G232" s="251"/>
      <c r="H232" s="251"/>
      <c r="I232" s="251"/>
      <c r="L232" s="251"/>
    </row>
    <row r="233" spans="4:12" ht="15.75" customHeight="1" x14ac:dyDescent="0.25">
      <c r="D233" s="251"/>
      <c r="E233" s="251"/>
      <c r="F233" s="251"/>
      <c r="G233" s="251"/>
      <c r="H233" s="251"/>
      <c r="I233" s="251"/>
      <c r="L233" s="251"/>
    </row>
    <row r="234" spans="4:12" ht="15.75" customHeight="1" x14ac:dyDescent="0.25">
      <c r="D234" s="251"/>
      <c r="E234" s="251"/>
      <c r="F234" s="251"/>
      <c r="G234" s="251"/>
      <c r="H234" s="251"/>
      <c r="I234" s="251"/>
      <c r="L234" s="251"/>
    </row>
    <row r="235" spans="4:12" ht="15.75" customHeight="1" x14ac:dyDescent="0.25">
      <c r="D235" s="251"/>
      <c r="E235" s="251"/>
      <c r="F235" s="251"/>
      <c r="G235" s="251"/>
      <c r="H235" s="251"/>
      <c r="I235" s="251"/>
      <c r="L235" s="251"/>
    </row>
    <row r="236" spans="4:12" ht="15.75" customHeight="1" x14ac:dyDescent="0.25">
      <c r="D236" s="251"/>
      <c r="E236" s="251"/>
      <c r="F236" s="251"/>
      <c r="G236" s="251"/>
      <c r="H236" s="251"/>
      <c r="I236" s="251"/>
      <c r="L236" s="251"/>
    </row>
    <row r="237" spans="4:12" ht="15.75" customHeight="1" x14ac:dyDescent="0.25">
      <c r="D237" s="251"/>
      <c r="E237" s="251"/>
      <c r="F237" s="251"/>
      <c r="G237" s="251"/>
      <c r="H237" s="251"/>
      <c r="I237" s="251"/>
      <c r="L237" s="251"/>
    </row>
    <row r="238" spans="4:12" ht="15.75" customHeight="1" x14ac:dyDescent="0.25">
      <c r="D238" s="251"/>
      <c r="E238" s="251"/>
      <c r="F238" s="251"/>
      <c r="G238" s="251"/>
      <c r="H238" s="251"/>
      <c r="I238" s="251"/>
      <c r="L238" s="251"/>
    </row>
    <row r="239" spans="4:12" ht="15.75" customHeight="1" x14ac:dyDescent="0.25">
      <c r="D239" s="251"/>
      <c r="E239" s="251"/>
      <c r="F239" s="251"/>
      <c r="G239" s="251"/>
      <c r="H239" s="251"/>
      <c r="I239" s="251"/>
      <c r="L239" s="251"/>
    </row>
    <row r="240" spans="4:12" ht="15.75" customHeight="1" x14ac:dyDescent="0.25">
      <c r="D240" s="251"/>
      <c r="E240" s="251"/>
      <c r="F240" s="251"/>
      <c r="G240" s="251"/>
      <c r="H240" s="251"/>
      <c r="I240" s="251"/>
      <c r="L240" s="251"/>
    </row>
    <row r="241" spans="4:12" ht="15.75" customHeight="1" x14ac:dyDescent="0.25">
      <c r="D241" s="251"/>
      <c r="E241" s="251"/>
      <c r="F241" s="251"/>
      <c r="G241" s="251"/>
      <c r="H241" s="251"/>
      <c r="I241" s="251"/>
      <c r="L241" s="251"/>
    </row>
    <row r="242" spans="4:12" ht="15.75" customHeight="1" x14ac:dyDescent="0.25">
      <c r="D242" s="251"/>
      <c r="E242" s="251"/>
      <c r="F242" s="251"/>
      <c r="G242" s="251"/>
      <c r="H242" s="251"/>
      <c r="I242" s="251"/>
      <c r="L242" s="251"/>
    </row>
    <row r="243" spans="4:12" ht="15.75" customHeight="1" x14ac:dyDescent="0.25">
      <c r="D243" s="251"/>
      <c r="E243" s="251"/>
      <c r="F243" s="251"/>
      <c r="G243" s="251"/>
      <c r="H243" s="251"/>
      <c r="I243" s="251"/>
      <c r="L243" s="251"/>
    </row>
    <row r="244" spans="4:12" ht="15.75" customHeight="1" x14ac:dyDescent="0.25">
      <c r="D244" s="251"/>
      <c r="E244" s="251"/>
      <c r="F244" s="251"/>
      <c r="G244" s="251"/>
      <c r="H244" s="251"/>
      <c r="I244" s="251"/>
      <c r="L244" s="251"/>
    </row>
    <row r="245" spans="4:12" ht="15.75" customHeight="1" x14ac:dyDescent="0.25">
      <c r="D245" s="251"/>
      <c r="E245" s="251"/>
      <c r="F245" s="251"/>
      <c r="G245" s="251"/>
      <c r="H245" s="251"/>
      <c r="I245" s="251"/>
      <c r="L245" s="251"/>
    </row>
    <row r="246" spans="4:12" ht="15.75" customHeight="1" x14ac:dyDescent="0.25">
      <c r="D246" s="251"/>
      <c r="E246" s="251"/>
      <c r="F246" s="251"/>
      <c r="G246" s="251"/>
      <c r="H246" s="251"/>
      <c r="I246" s="251"/>
      <c r="L246" s="251"/>
    </row>
    <row r="247" spans="4:12" ht="15.75" customHeight="1" x14ac:dyDescent="0.25">
      <c r="D247" s="251"/>
      <c r="E247" s="251"/>
      <c r="F247" s="251"/>
      <c r="G247" s="251"/>
      <c r="H247" s="251"/>
      <c r="I247" s="251"/>
      <c r="L247" s="251"/>
    </row>
    <row r="248" spans="4:12" ht="15.75" customHeight="1" x14ac:dyDescent="0.25">
      <c r="D248" s="251"/>
      <c r="E248" s="251"/>
      <c r="F248" s="251"/>
      <c r="G248" s="251"/>
      <c r="H248" s="251"/>
      <c r="I248" s="251"/>
      <c r="L248" s="251"/>
    </row>
    <row r="249" spans="4:12" ht="15.75" customHeight="1" x14ac:dyDescent="0.25">
      <c r="D249" s="251"/>
      <c r="E249" s="251"/>
      <c r="F249" s="251"/>
      <c r="G249" s="251"/>
      <c r="H249" s="251"/>
      <c r="I249" s="251"/>
      <c r="L249" s="251"/>
    </row>
    <row r="250" spans="4:12" ht="15.75" customHeight="1" x14ac:dyDescent="0.25">
      <c r="D250" s="251"/>
      <c r="E250" s="251"/>
      <c r="F250" s="251"/>
      <c r="G250" s="251"/>
      <c r="H250" s="251"/>
      <c r="I250" s="251"/>
      <c r="L250" s="251"/>
    </row>
    <row r="251" spans="4:12" ht="15.75" customHeight="1" x14ac:dyDescent="0.25">
      <c r="D251" s="251"/>
      <c r="E251" s="251"/>
      <c r="F251" s="251"/>
      <c r="G251" s="251"/>
      <c r="H251" s="251"/>
      <c r="I251" s="251"/>
      <c r="L251" s="251"/>
    </row>
    <row r="252" spans="4:12" ht="15.75" customHeight="1" x14ac:dyDescent="0.25">
      <c r="D252" s="251"/>
      <c r="E252" s="251"/>
      <c r="F252" s="251"/>
      <c r="G252" s="251"/>
      <c r="H252" s="251"/>
      <c r="I252" s="251"/>
      <c r="L252" s="251"/>
    </row>
    <row r="253" spans="4:12" ht="15.75" customHeight="1" x14ac:dyDescent="0.25">
      <c r="D253" s="251"/>
      <c r="E253" s="251"/>
      <c r="F253" s="251"/>
      <c r="G253" s="251"/>
      <c r="H253" s="251"/>
      <c r="I253" s="251"/>
      <c r="L253" s="251"/>
    </row>
    <row r="254" spans="4:12" ht="15.75" customHeight="1" x14ac:dyDescent="0.25">
      <c r="D254" s="251"/>
      <c r="E254" s="251"/>
      <c r="F254" s="251"/>
      <c r="G254" s="251"/>
      <c r="H254" s="251"/>
      <c r="I254" s="251"/>
      <c r="L254" s="251"/>
    </row>
    <row r="255" spans="4:12" ht="15.75" customHeight="1" x14ac:dyDescent="0.25">
      <c r="D255" s="251"/>
      <c r="E255" s="251"/>
      <c r="F255" s="251"/>
      <c r="G255" s="251"/>
      <c r="H255" s="251"/>
      <c r="I255" s="251"/>
      <c r="L255" s="251"/>
    </row>
    <row r="256" spans="4:12" ht="15.75" customHeight="1" x14ac:dyDescent="0.25">
      <c r="D256" s="251"/>
      <c r="E256" s="251"/>
      <c r="F256" s="251"/>
      <c r="G256" s="251"/>
      <c r="H256" s="251"/>
      <c r="I256" s="251"/>
      <c r="L256" s="251"/>
    </row>
    <row r="257" spans="4:12" ht="15.75" customHeight="1" x14ac:dyDescent="0.25">
      <c r="D257" s="251"/>
      <c r="E257" s="251"/>
      <c r="F257" s="251"/>
      <c r="G257" s="251"/>
      <c r="H257" s="251"/>
      <c r="I257" s="251"/>
      <c r="L257" s="251"/>
    </row>
    <row r="258" spans="4:12" ht="15.75" customHeight="1" x14ac:dyDescent="0.25">
      <c r="D258" s="251"/>
      <c r="E258" s="251"/>
      <c r="F258" s="251"/>
      <c r="G258" s="251"/>
      <c r="H258" s="251"/>
      <c r="I258" s="251"/>
      <c r="L258" s="251"/>
    </row>
    <row r="259" spans="4:12" ht="15.75" customHeight="1" x14ac:dyDescent="0.25">
      <c r="D259" s="251"/>
      <c r="E259" s="251"/>
      <c r="F259" s="251"/>
      <c r="G259" s="251"/>
      <c r="H259" s="251"/>
      <c r="I259" s="251"/>
      <c r="L259" s="251"/>
    </row>
    <row r="260" spans="4:12" ht="15.75" customHeight="1" x14ac:dyDescent="0.25">
      <c r="D260" s="251"/>
      <c r="E260" s="251"/>
      <c r="F260" s="251"/>
      <c r="G260" s="251"/>
      <c r="H260" s="251"/>
      <c r="I260" s="251"/>
      <c r="L260" s="251"/>
    </row>
    <row r="261" spans="4:12" ht="15.75" customHeight="1" x14ac:dyDescent="0.25">
      <c r="D261" s="251"/>
      <c r="E261" s="251"/>
      <c r="F261" s="251"/>
      <c r="G261" s="251"/>
      <c r="H261" s="251"/>
      <c r="I261" s="251"/>
      <c r="L261" s="251"/>
    </row>
    <row r="262" spans="4:12" ht="15.75" customHeight="1" x14ac:dyDescent="0.25">
      <c r="D262" s="251"/>
      <c r="E262" s="251"/>
      <c r="F262" s="251"/>
      <c r="G262" s="251"/>
      <c r="H262" s="251"/>
      <c r="I262" s="251"/>
      <c r="L262" s="251"/>
    </row>
    <row r="263" spans="4:12" ht="15.75" customHeight="1" x14ac:dyDescent="0.25">
      <c r="D263" s="251"/>
      <c r="E263" s="251"/>
      <c r="F263" s="251"/>
      <c r="G263" s="251"/>
      <c r="H263" s="251"/>
      <c r="I263" s="251"/>
      <c r="L263" s="251"/>
    </row>
    <row r="264" spans="4:12" ht="15.75" customHeight="1" x14ac:dyDescent="0.25">
      <c r="D264" s="251"/>
      <c r="E264" s="251"/>
      <c r="F264" s="251"/>
      <c r="G264" s="251"/>
      <c r="H264" s="251"/>
      <c r="I264" s="251"/>
      <c r="L264" s="251"/>
    </row>
    <row r="265" spans="4:12" ht="15.75" customHeight="1" x14ac:dyDescent="0.25">
      <c r="D265" s="251"/>
      <c r="E265" s="251"/>
      <c r="F265" s="251"/>
      <c r="G265" s="251"/>
      <c r="H265" s="251"/>
      <c r="I265" s="251"/>
      <c r="L265" s="251"/>
    </row>
    <row r="266" spans="4:12" ht="15.75" customHeight="1" x14ac:dyDescent="0.25">
      <c r="D266" s="251"/>
      <c r="E266" s="251"/>
      <c r="F266" s="251"/>
      <c r="G266" s="251"/>
      <c r="H266" s="251"/>
      <c r="I266" s="251"/>
      <c r="L266" s="251"/>
    </row>
    <row r="267" spans="4:12" ht="15.75" customHeight="1" x14ac:dyDescent="0.25">
      <c r="D267" s="251"/>
      <c r="E267" s="251"/>
      <c r="F267" s="251"/>
      <c r="G267" s="251"/>
      <c r="H267" s="251"/>
      <c r="I267" s="251"/>
      <c r="L267" s="251"/>
    </row>
    <row r="268" spans="4:12" ht="15.75" customHeight="1" x14ac:dyDescent="0.25">
      <c r="D268" s="251"/>
      <c r="E268" s="251"/>
      <c r="F268" s="251"/>
      <c r="G268" s="251"/>
      <c r="H268" s="251"/>
      <c r="I268" s="251"/>
      <c r="L268" s="251"/>
    </row>
    <row r="269" spans="4:12" ht="15.75" customHeight="1" x14ac:dyDescent="0.25">
      <c r="D269" s="251"/>
      <c r="E269" s="251"/>
      <c r="F269" s="251"/>
      <c r="G269" s="251"/>
      <c r="H269" s="251"/>
      <c r="I269" s="251"/>
      <c r="L269" s="251"/>
    </row>
    <row r="270" spans="4:12" ht="15.75" customHeight="1" x14ac:dyDescent="0.25">
      <c r="D270" s="251"/>
      <c r="E270" s="251"/>
      <c r="F270" s="251"/>
      <c r="G270" s="251"/>
      <c r="H270" s="251"/>
      <c r="I270" s="251"/>
      <c r="L270" s="251"/>
    </row>
    <row r="271" spans="4:12" ht="15.75" customHeight="1" x14ac:dyDescent="0.25">
      <c r="D271" s="251"/>
      <c r="E271" s="251"/>
      <c r="F271" s="251"/>
      <c r="G271" s="251"/>
      <c r="H271" s="251"/>
      <c r="I271" s="251"/>
      <c r="L271" s="251"/>
    </row>
    <row r="272" spans="4:12" ht="15.75" customHeight="1" x14ac:dyDescent="0.25">
      <c r="D272" s="251"/>
      <c r="E272" s="251"/>
      <c r="F272" s="251"/>
      <c r="G272" s="251"/>
      <c r="H272" s="251"/>
      <c r="I272" s="251"/>
      <c r="L272" s="251"/>
    </row>
    <row r="273" spans="4:12" ht="15.75" customHeight="1" x14ac:dyDescent="0.25">
      <c r="D273" s="251"/>
      <c r="E273" s="251"/>
      <c r="F273" s="251"/>
      <c r="G273" s="251"/>
      <c r="H273" s="251"/>
      <c r="I273" s="251"/>
      <c r="L273" s="251"/>
    </row>
    <row r="274" spans="4:12" ht="15.75" customHeight="1" x14ac:dyDescent="0.25">
      <c r="D274" s="251"/>
      <c r="E274" s="251"/>
      <c r="F274" s="251"/>
      <c r="G274" s="251"/>
      <c r="H274" s="251"/>
      <c r="I274" s="251"/>
      <c r="L274" s="251"/>
    </row>
    <row r="275" spans="4:12" ht="15.75" customHeight="1" x14ac:dyDescent="0.25">
      <c r="D275" s="251"/>
      <c r="E275" s="251"/>
      <c r="F275" s="251"/>
      <c r="G275" s="251"/>
      <c r="H275" s="251"/>
      <c r="I275" s="251"/>
      <c r="L275" s="251"/>
    </row>
    <row r="276" spans="4:12" ht="15.75" customHeight="1" x14ac:dyDescent="0.25">
      <c r="D276" s="251"/>
      <c r="E276" s="251"/>
      <c r="F276" s="251"/>
      <c r="G276" s="251"/>
      <c r="H276" s="251"/>
      <c r="I276" s="251"/>
      <c r="L276" s="251"/>
    </row>
    <row r="277" spans="4:12" ht="15.75" customHeight="1" x14ac:dyDescent="0.25">
      <c r="D277" s="251"/>
      <c r="E277" s="251"/>
      <c r="F277" s="251"/>
      <c r="G277" s="251"/>
      <c r="H277" s="251"/>
      <c r="I277" s="251"/>
      <c r="L277" s="251"/>
    </row>
    <row r="278" spans="4:12" ht="15.75" customHeight="1" x14ac:dyDescent="0.25">
      <c r="D278" s="251"/>
      <c r="E278" s="251"/>
      <c r="F278" s="251"/>
      <c r="G278" s="251"/>
      <c r="H278" s="251"/>
      <c r="I278" s="251"/>
      <c r="L278" s="251"/>
    </row>
    <row r="279" spans="4:12" ht="15.75" customHeight="1" x14ac:dyDescent="0.25">
      <c r="D279" s="251"/>
      <c r="E279" s="251"/>
      <c r="F279" s="251"/>
      <c r="G279" s="251"/>
      <c r="H279" s="251"/>
      <c r="I279" s="251"/>
      <c r="L279" s="251"/>
    </row>
    <row r="280" spans="4:12" ht="15.75" customHeight="1" x14ac:dyDescent="0.25">
      <c r="D280" s="251"/>
      <c r="E280" s="251"/>
      <c r="F280" s="251"/>
      <c r="G280" s="251"/>
      <c r="H280" s="251"/>
      <c r="I280" s="251"/>
      <c r="L280" s="251"/>
    </row>
    <row r="281" spans="4:12" ht="15.75" customHeight="1" x14ac:dyDescent="0.25">
      <c r="D281" s="251"/>
      <c r="E281" s="251"/>
      <c r="F281" s="251"/>
      <c r="G281" s="251"/>
      <c r="H281" s="251"/>
      <c r="I281" s="251"/>
      <c r="L281" s="251"/>
    </row>
    <row r="282" spans="4:12" ht="15.75" customHeight="1" x14ac:dyDescent="0.25">
      <c r="D282" s="251"/>
      <c r="E282" s="251"/>
      <c r="F282" s="251"/>
      <c r="G282" s="251"/>
      <c r="H282" s="251"/>
      <c r="I282" s="251"/>
      <c r="L282" s="251"/>
    </row>
    <row r="283" spans="4:12" ht="15.75" customHeight="1" x14ac:dyDescent="0.25">
      <c r="D283" s="251"/>
      <c r="E283" s="251"/>
      <c r="F283" s="251"/>
      <c r="G283" s="251"/>
      <c r="H283" s="251"/>
      <c r="I283" s="251"/>
      <c r="L283" s="251"/>
    </row>
    <row r="284" spans="4:12" ht="15.75" customHeight="1" x14ac:dyDescent="0.25">
      <c r="D284" s="251"/>
      <c r="E284" s="251"/>
      <c r="F284" s="251"/>
      <c r="G284" s="251"/>
      <c r="H284" s="251"/>
      <c r="I284" s="251"/>
      <c r="L284" s="251"/>
    </row>
    <row r="285" spans="4:12" ht="15.75" customHeight="1" x14ac:dyDescent="0.25">
      <c r="D285" s="251"/>
      <c r="E285" s="251"/>
      <c r="F285" s="251"/>
      <c r="G285" s="251"/>
      <c r="H285" s="251"/>
      <c r="I285" s="251"/>
      <c r="L285" s="251"/>
    </row>
    <row r="286" spans="4:12" ht="15.75" customHeight="1" x14ac:dyDescent="0.25">
      <c r="D286" s="251"/>
      <c r="E286" s="251"/>
      <c r="F286" s="251"/>
      <c r="G286" s="251"/>
      <c r="H286" s="251"/>
      <c r="I286" s="251"/>
      <c r="L286" s="251"/>
    </row>
    <row r="287" spans="4:12" ht="15.75" customHeight="1" x14ac:dyDescent="0.25">
      <c r="D287" s="251"/>
      <c r="E287" s="251"/>
      <c r="F287" s="251"/>
      <c r="G287" s="251"/>
      <c r="H287" s="251"/>
      <c r="I287" s="251"/>
      <c r="L287" s="251"/>
    </row>
    <row r="288" spans="4:12" ht="15.75" customHeight="1" x14ac:dyDescent="0.25">
      <c r="D288" s="251"/>
      <c r="E288" s="251"/>
      <c r="F288" s="251"/>
      <c r="G288" s="251"/>
      <c r="H288" s="251"/>
      <c r="I288" s="251"/>
      <c r="L288" s="251"/>
    </row>
    <row r="289" spans="4:12" ht="15.75" customHeight="1" x14ac:dyDescent="0.25">
      <c r="D289" s="251"/>
      <c r="E289" s="251"/>
      <c r="F289" s="251"/>
      <c r="G289" s="251"/>
      <c r="H289" s="251"/>
      <c r="I289" s="251"/>
      <c r="L289" s="251"/>
    </row>
    <row r="290" spans="4:12" ht="15.75" customHeight="1" x14ac:dyDescent="0.25">
      <c r="D290" s="251"/>
      <c r="E290" s="251"/>
      <c r="F290" s="251"/>
      <c r="G290" s="251"/>
      <c r="H290" s="251"/>
      <c r="I290" s="251"/>
      <c r="L290" s="251"/>
    </row>
    <row r="291" spans="4:12" ht="15.75" customHeight="1" x14ac:dyDescent="0.25">
      <c r="D291" s="251"/>
      <c r="E291" s="251"/>
      <c r="F291" s="251"/>
      <c r="G291" s="251"/>
      <c r="H291" s="251"/>
      <c r="I291" s="251"/>
      <c r="L291" s="251"/>
    </row>
    <row r="292" spans="4:12" ht="15.75" customHeight="1" x14ac:dyDescent="0.25">
      <c r="D292" s="251"/>
      <c r="E292" s="251"/>
      <c r="F292" s="251"/>
      <c r="G292" s="251"/>
      <c r="H292" s="251"/>
      <c r="I292" s="251"/>
      <c r="L292" s="251"/>
    </row>
    <row r="293" spans="4:12" ht="15.75" customHeight="1" x14ac:dyDescent="0.25">
      <c r="D293" s="251"/>
      <c r="E293" s="251"/>
      <c r="F293" s="251"/>
      <c r="G293" s="251"/>
      <c r="H293" s="251"/>
      <c r="I293" s="251"/>
      <c r="L293" s="251"/>
    </row>
    <row r="294" spans="4:12" ht="15.75" customHeight="1" x14ac:dyDescent="0.25">
      <c r="D294" s="251"/>
      <c r="E294" s="251"/>
      <c r="F294" s="251"/>
      <c r="G294" s="251"/>
      <c r="H294" s="251"/>
      <c r="I294" s="251"/>
      <c r="L294" s="251"/>
    </row>
    <row r="295" spans="4:12" ht="15.75" customHeight="1" x14ac:dyDescent="0.25">
      <c r="D295" s="251"/>
      <c r="E295" s="251"/>
      <c r="F295" s="251"/>
      <c r="G295" s="251"/>
      <c r="H295" s="251"/>
      <c r="I295" s="251"/>
      <c r="L295" s="251"/>
    </row>
    <row r="296" spans="4:12" ht="15.75" customHeight="1" x14ac:dyDescent="0.25">
      <c r="D296" s="251"/>
      <c r="E296" s="251"/>
      <c r="F296" s="251"/>
      <c r="G296" s="251"/>
      <c r="H296" s="251"/>
      <c r="I296" s="251"/>
      <c r="L296" s="251"/>
    </row>
    <row r="297" spans="4:12" ht="15.75" customHeight="1" x14ac:dyDescent="0.25">
      <c r="D297" s="251"/>
      <c r="E297" s="251"/>
      <c r="F297" s="251"/>
      <c r="G297" s="251"/>
      <c r="H297" s="251"/>
      <c r="I297" s="251"/>
      <c r="L297" s="251"/>
    </row>
    <row r="298" spans="4:12" ht="15.75" customHeight="1" x14ac:dyDescent="0.25">
      <c r="D298" s="251"/>
      <c r="E298" s="251"/>
      <c r="F298" s="251"/>
      <c r="G298" s="251"/>
      <c r="H298" s="251"/>
      <c r="I298" s="251"/>
      <c r="L298" s="251"/>
    </row>
    <row r="299" spans="4:12" ht="15.75" customHeight="1" x14ac:dyDescent="0.25">
      <c r="D299" s="251"/>
      <c r="E299" s="251"/>
      <c r="F299" s="251"/>
      <c r="G299" s="251"/>
      <c r="H299" s="251"/>
      <c r="I299" s="251"/>
      <c r="L299" s="251"/>
    </row>
    <row r="300" spans="4:12" ht="15.75" customHeight="1" x14ac:dyDescent="0.25">
      <c r="D300" s="251"/>
      <c r="E300" s="251"/>
      <c r="F300" s="251"/>
      <c r="G300" s="251"/>
      <c r="H300" s="251"/>
      <c r="I300" s="251"/>
      <c r="L300" s="251"/>
    </row>
    <row r="301" spans="4:12" ht="15.75" customHeight="1" x14ac:dyDescent="0.25">
      <c r="D301" s="251"/>
      <c r="E301" s="251"/>
      <c r="F301" s="251"/>
      <c r="G301" s="251"/>
      <c r="H301" s="251"/>
      <c r="I301" s="251"/>
      <c r="L301" s="251"/>
    </row>
    <row r="302" spans="4:12" ht="15.75" customHeight="1" x14ac:dyDescent="0.25">
      <c r="D302" s="251"/>
      <c r="E302" s="251"/>
      <c r="F302" s="251"/>
      <c r="G302" s="251"/>
      <c r="H302" s="251"/>
      <c r="I302" s="251"/>
      <c r="L302" s="251"/>
    </row>
    <row r="303" spans="4:12" ht="15.75" customHeight="1" x14ac:dyDescent="0.25">
      <c r="D303" s="251"/>
      <c r="E303" s="251"/>
      <c r="F303" s="251"/>
      <c r="G303" s="251"/>
      <c r="H303" s="251"/>
      <c r="I303" s="251"/>
      <c r="L303" s="251"/>
    </row>
    <row r="304" spans="4:12" ht="15.75" customHeight="1" x14ac:dyDescent="0.25">
      <c r="D304" s="251"/>
      <c r="E304" s="251"/>
      <c r="F304" s="251"/>
      <c r="G304" s="251"/>
      <c r="H304" s="251"/>
      <c r="I304" s="251"/>
      <c r="L304" s="251"/>
    </row>
    <row r="305" spans="4:12" ht="15.75" customHeight="1" x14ac:dyDescent="0.25">
      <c r="D305" s="251"/>
      <c r="E305" s="251"/>
      <c r="F305" s="251"/>
      <c r="G305" s="251"/>
      <c r="H305" s="251"/>
      <c r="I305" s="251"/>
      <c r="L305" s="251"/>
    </row>
    <row r="306" spans="4:12" ht="15.75" customHeight="1" x14ac:dyDescent="0.25">
      <c r="D306" s="251"/>
      <c r="E306" s="251"/>
      <c r="F306" s="251"/>
      <c r="G306" s="251"/>
      <c r="H306" s="251"/>
      <c r="I306" s="251"/>
      <c r="L306" s="251"/>
    </row>
    <row r="307" spans="4:12" ht="15.75" customHeight="1" x14ac:dyDescent="0.25">
      <c r="D307" s="251"/>
      <c r="E307" s="251"/>
      <c r="F307" s="251"/>
      <c r="G307" s="251"/>
      <c r="H307" s="251"/>
      <c r="I307" s="251"/>
      <c r="L307" s="251"/>
    </row>
    <row r="308" spans="4:12" ht="15.75" customHeight="1" x14ac:dyDescent="0.25">
      <c r="D308" s="251"/>
      <c r="E308" s="251"/>
      <c r="F308" s="251"/>
      <c r="G308" s="251"/>
      <c r="H308" s="251"/>
      <c r="I308" s="251"/>
      <c r="L308" s="251"/>
    </row>
    <row r="309" spans="4:12" ht="15.75" customHeight="1" x14ac:dyDescent="0.25">
      <c r="D309" s="251"/>
      <c r="E309" s="251"/>
      <c r="F309" s="251"/>
      <c r="G309" s="251"/>
      <c r="H309" s="251"/>
      <c r="I309" s="251"/>
      <c r="L309" s="251"/>
    </row>
    <row r="310" spans="4:12" ht="15.75" customHeight="1" x14ac:dyDescent="0.25">
      <c r="D310" s="251"/>
      <c r="E310" s="251"/>
      <c r="F310" s="251"/>
      <c r="G310" s="251"/>
      <c r="H310" s="251"/>
      <c r="I310" s="251"/>
      <c r="L310" s="251"/>
    </row>
    <row r="311" spans="4:12" ht="15.75" customHeight="1" x14ac:dyDescent="0.25">
      <c r="D311" s="251"/>
      <c r="E311" s="251"/>
      <c r="F311" s="251"/>
      <c r="G311" s="251"/>
      <c r="H311" s="251"/>
      <c r="I311" s="251"/>
      <c r="L311" s="251"/>
    </row>
    <row r="312" spans="4:12" ht="15.75" customHeight="1" x14ac:dyDescent="0.25">
      <c r="D312" s="251"/>
      <c r="E312" s="251"/>
      <c r="F312" s="251"/>
      <c r="G312" s="251"/>
      <c r="H312" s="251"/>
      <c r="I312" s="251"/>
      <c r="L312" s="251"/>
    </row>
    <row r="313" spans="4:12" ht="15.75" customHeight="1" x14ac:dyDescent="0.25">
      <c r="D313" s="251"/>
      <c r="E313" s="251"/>
      <c r="F313" s="251"/>
      <c r="G313" s="251"/>
      <c r="H313" s="251"/>
      <c r="I313" s="251"/>
      <c r="L313" s="251"/>
    </row>
    <row r="314" spans="4:12" ht="15.75" customHeight="1" x14ac:dyDescent="0.25">
      <c r="D314" s="251"/>
      <c r="E314" s="251"/>
      <c r="F314" s="251"/>
      <c r="G314" s="251"/>
      <c r="H314" s="251"/>
      <c r="I314" s="251"/>
      <c r="L314" s="251"/>
    </row>
    <row r="315" spans="4:12" ht="15.75" customHeight="1" x14ac:dyDescent="0.25">
      <c r="D315" s="251"/>
      <c r="E315" s="251"/>
      <c r="F315" s="251"/>
      <c r="G315" s="251"/>
      <c r="H315" s="251"/>
      <c r="I315" s="251"/>
      <c r="L315" s="251"/>
    </row>
    <row r="316" spans="4:12" ht="15.75" customHeight="1" x14ac:dyDescent="0.25">
      <c r="D316" s="251"/>
      <c r="E316" s="251"/>
      <c r="F316" s="251"/>
      <c r="G316" s="251"/>
      <c r="H316" s="251"/>
      <c r="I316" s="251"/>
      <c r="L316" s="251"/>
    </row>
    <row r="317" spans="4:12" ht="15.75" customHeight="1" x14ac:dyDescent="0.25">
      <c r="D317" s="251"/>
      <c r="E317" s="251"/>
      <c r="F317" s="251"/>
      <c r="G317" s="251"/>
      <c r="H317" s="251"/>
      <c r="I317" s="251"/>
      <c r="L317" s="251"/>
    </row>
    <row r="318" spans="4:12" ht="15.75" customHeight="1" x14ac:dyDescent="0.25">
      <c r="D318" s="251"/>
      <c r="E318" s="251"/>
      <c r="F318" s="251"/>
      <c r="G318" s="251"/>
      <c r="H318" s="251"/>
      <c r="I318" s="251"/>
      <c r="L318" s="251"/>
    </row>
    <row r="319" spans="4:12" ht="15.75" customHeight="1" x14ac:dyDescent="0.25">
      <c r="D319" s="251"/>
      <c r="E319" s="251"/>
      <c r="F319" s="251"/>
      <c r="G319" s="251"/>
      <c r="H319" s="251"/>
      <c r="I319" s="251"/>
      <c r="L319" s="251"/>
    </row>
    <row r="320" spans="4:12" ht="15.75" customHeight="1" x14ac:dyDescent="0.25">
      <c r="D320" s="251"/>
      <c r="E320" s="251"/>
      <c r="F320" s="251"/>
      <c r="G320" s="251"/>
      <c r="H320" s="251"/>
      <c r="I320" s="251"/>
      <c r="L320" s="251"/>
    </row>
    <row r="321" spans="4:12" ht="15.75" customHeight="1" x14ac:dyDescent="0.25">
      <c r="D321" s="251"/>
      <c r="E321" s="251"/>
      <c r="F321" s="251"/>
      <c r="G321" s="251"/>
      <c r="H321" s="251"/>
      <c r="I321" s="251"/>
      <c r="L321" s="251"/>
    </row>
    <row r="322" spans="4:12" ht="15.75" customHeight="1" x14ac:dyDescent="0.25">
      <c r="D322" s="251"/>
      <c r="E322" s="251"/>
      <c r="F322" s="251"/>
      <c r="G322" s="251"/>
      <c r="H322" s="251"/>
      <c r="I322" s="251"/>
      <c r="L322" s="251"/>
    </row>
    <row r="323" spans="4:12" ht="15.75" customHeight="1" x14ac:dyDescent="0.25">
      <c r="D323" s="251"/>
      <c r="E323" s="251"/>
      <c r="F323" s="251"/>
      <c r="G323" s="251"/>
      <c r="H323" s="251"/>
      <c r="I323" s="251"/>
      <c r="L323" s="251"/>
    </row>
    <row r="324" spans="4:12" ht="15.75" customHeight="1" x14ac:dyDescent="0.25">
      <c r="D324" s="251"/>
      <c r="E324" s="251"/>
      <c r="F324" s="251"/>
      <c r="G324" s="251"/>
      <c r="H324" s="251"/>
      <c r="I324" s="251"/>
      <c r="L324" s="251"/>
    </row>
    <row r="325" spans="4:12" ht="15.75" customHeight="1" x14ac:dyDescent="0.25">
      <c r="D325" s="251"/>
      <c r="E325" s="251"/>
      <c r="F325" s="251"/>
      <c r="G325" s="251"/>
      <c r="H325" s="251"/>
      <c r="I325" s="251"/>
      <c r="L325" s="251"/>
    </row>
    <row r="326" spans="4:12" ht="15.75" customHeight="1" x14ac:dyDescent="0.25">
      <c r="D326" s="251"/>
      <c r="E326" s="251"/>
      <c r="F326" s="251"/>
      <c r="G326" s="251"/>
      <c r="H326" s="251"/>
      <c r="I326" s="251"/>
      <c r="L326" s="251"/>
    </row>
    <row r="327" spans="4:12" ht="15.75" customHeight="1" x14ac:dyDescent="0.25">
      <c r="D327" s="251"/>
      <c r="E327" s="251"/>
      <c r="F327" s="251"/>
      <c r="G327" s="251"/>
      <c r="H327" s="251"/>
      <c r="I327" s="251"/>
      <c r="L327" s="251"/>
    </row>
    <row r="328" spans="4:12" ht="15.75" customHeight="1" x14ac:dyDescent="0.25">
      <c r="D328" s="251"/>
      <c r="E328" s="251"/>
      <c r="F328" s="251"/>
      <c r="G328" s="251"/>
      <c r="H328" s="251"/>
      <c r="I328" s="251"/>
      <c r="L328" s="251"/>
    </row>
    <row r="329" spans="4:12" ht="15.75" customHeight="1" x14ac:dyDescent="0.25">
      <c r="D329" s="251"/>
      <c r="E329" s="251"/>
      <c r="F329" s="251"/>
      <c r="G329" s="251"/>
      <c r="H329" s="251"/>
      <c r="I329" s="251"/>
      <c r="L329" s="251"/>
    </row>
    <row r="330" spans="4:12" ht="15.75" customHeight="1" x14ac:dyDescent="0.25">
      <c r="D330" s="251"/>
      <c r="E330" s="251"/>
      <c r="F330" s="251"/>
      <c r="G330" s="251"/>
      <c r="H330" s="251"/>
      <c r="I330" s="251"/>
      <c r="L330" s="251"/>
    </row>
    <row r="331" spans="4:12" ht="15.75" customHeight="1" x14ac:dyDescent="0.25">
      <c r="D331" s="251"/>
      <c r="E331" s="251"/>
      <c r="F331" s="251"/>
      <c r="G331" s="251"/>
      <c r="H331" s="251"/>
      <c r="I331" s="251"/>
      <c r="L331" s="251"/>
    </row>
    <row r="332" spans="4:12" ht="15.75" customHeight="1" x14ac:dyDescent="0.25">
      <c r="D332" s="251"/>
      <c r="E332" s="251"/>
      <c r="F332" s="251"/>
      <c r="G332" s="251"/>
      <c r="H332" s="251"/>
      <c r="I332" s="251"/>
      <c r="L332" s="251"/>
    </row>
    <row r="333" spans="4:12" ht="15.75" customHeight="1" x14ac:dyDescent="0.25">
      <c r="D333" s="251"/>
      <c r="E333" s="251"/>
      <c r="F333" s="251"/>
      <c r="G333" s="251"/>
      <c r="H333" s="251"/>
      <c r="I333" s="251"/>
      <c r="L333" s="251"/>
    </row>
    <row r="334" spans="4:12" ht="15.75" customHeight="1" x14ac:dyDescent="0.25">
      <c r="D334" s="251"/>
      <c r="E334" s="251"/>
      <c r="F334" s="251"/>
      <c r="G334" s="251"/>
      <c r="H334" s="251"/>
      <c r="I334" s="251"/>
      <c r="L334" s="251"/>
    </row>
    <row r="335" spans="4:12" ht="15.75" customHeight="1" x14ac:dyDescent="0.25">
      <c r="D335" s="251"/>
      <c r="E335" s="251"/>
      <c r="F335" s="251"/>
      <c r="G335" s="251"/>
      <c r="H335" s="251"/>
      <c r="I335" s="251"/>
      <c r="L335" s="251"/>
    </row>
    <row r="336" spans="4:12" ht="15.75" customHeight="1" x14ac:dyDescent="0.25">
      <c r="D336" s="251"/>
      <c r="E336" s="251"/>
      <c r="F336" s="251"/>
      <c r="G336" s="251"/>
      <c r="H336" s="251"/>
      <c r="I336" s="251"/>
      <c r="L336" s="251"/>
    </row>
    <row r="337" spans="4:12" ht="15.75" customHeight="1" x14ac:dyDescent="0.25">
      <c r="D337" s="251"/>
      <c r="E337" s="251"/>
      <c r="F337" s="251"/>
      <c r="G337" s="251"/>
      <c r="H337" s="251"/>
      <c r="I337" s="251"/>
      <c r="L337" s="251"/>
    </row>
    <row r="338" spans="4:12" ht="15.75" customHeight="1" x14ac:dyDescent="0.25">
      <c r="D338" s="251"/>
      <c r="E338" s="251"/>
      <c r="F338" s="251"/>
      <c r="G338" s="251"/>
      <c r="H338" s="251"/>
      <c r="I338" s="251"/>
      <c r="L338" s="251"/>
    </row>
    <row r="339" spans="4:12" ht="15.75" customHeight="1" x14ac:dyDescent="0.25">
      <c r="D339" s="251"/>
      <c r="E339" s="251"/>
      <c r="F339" s="251"/>
      <c r="G339" s="251"/>
      <c r="H339" s="251"/>
      <c r="I339" s="251"/>
      <c r="L339" s="251"/>
    </row>
    <row r="340" spans="4:12" ht="15.75" customHeight="1" x14ac:dyDescent="0.25">
      <c r="D340" s="251"/>
      <c r="E340" s="251"/>
      <c r="F340" s="251"/>
      <c r="G340" s="251"/>
      <c r="H340" s="251"/>
      <c r="I340" s="251"/>
      <c r="L340" s="251"/>
    </row>
    <row r="341" spans="4:12" ht="15.75" customHeight="1" x14ac:dyDescent="0.25">
      <c r="D341" s="251"/>
      <c r="E341" s="251"/>
      <c r="F341" s="251"/>
      <c r="G341" s="251"/>
      <c r="H341" s="251"/>
      <c r="I341" s="251"/>
      <c r="L341" s="251"/>
    </row>
    <row r="342" spans="4:12" ht="15.75" customHeight="1" x14ac:dyDescent="0.25">
      <c r="D342" s="251"/>
      <c r="E342" s="251"/>
      <c r="F342" s="251"/>
      <c r="G342" s="251"/>
      <c r="H342" s="251"/>
      <c r="I342" s="251"/>
      <c r="L342" s="251"/>
    </row>
    <row r="343" spans="4:12" ht="15.75" customHeight="1" x14ac:dyDescent="0.25">
      <c r="D343" s="251"/>
      <c r="E343" s="251"/>
      <c r="F343" s="251"/>
      <c r="G343" s="251"/>
      <c r="H343" s="251"/>
      <c r="I343" s="251"/>
      <c r="L343" s="251"/>
    </row>
    <row r="344" spans="4:12" ht="15.75" customHeight="1" x14ac:dyDescent="0.25">
      <c r="D344" s="251"/>
      <c r="E344" s="251"/>
      <c r="F344" s="251"/>
      <c r="G344" s="251"/>
      <c r="H344" s="251"/>
      <c r="I344" s="251"/>
      <c r="L344" s="251"/>
    </row>
    <row r="345" spans="4:12" ht="15.75" customHeight="1" x14ac:dyDescent="0.25">
      <c r="D345" s="251"/>
      <c r="E345" s="251"/>
      <c r="F345" s="251"/>
      <c r="G345" s="251"/>
      <c r="H345" s="251"/>
      <c r="I345" s="251"/>
      <c r="L345" s="251"/>
    </row>
    <row r="346" spans="4:12" ht="15.75" customHeight="1" x14ac:dyDescent="0.25">
      <c r="D346" s="251"/>
      <c r="E346" s="251"/>
      <c r="F346" s="251"/>
      <c r="G346" s="251"/>
      <c r="H346" s="251"/>
      <c r="I346" s="251"/>
      <c r="L346" s="251"/>
    </row>
    <row r="347" spans="4:12" ht="15.75" customHeight="1" x14ac:dyDescent="0.25">
      <c r="D347" s="251"/>
      <c r="E347" s="251"/>
      <c r="F347" s="251"/>
      <c r="G347" s="251"/>
      <c r="H347" s="251"/>
      <c r="I347" s="251"/>
      <c r="L347" s="251"/>
    </row>
    <row r="348" spans="4:12" ht="15.75" customHeight="1" x14ac:dyDescent="0.25">
      <c r="D348" s="251"/>
      <c r="E348" s="251"/>
      <c r="F348" s="251"/>
      <c r="G348" s="251"/>
      <c r="H348" s="251"/>
      <c r="I348" s="251"/>
      <c r="L348" s="251"/>
    </row>
    <row r="349" spans="4:12" ht="15.75" customHeight="1" x14ac:dyDescent="0.25">
      <c r="D349" s="251"/>
      <c r="E349" s="251"/>
      <c r="F349" s="251"/>
      <c r="G349" s="251"/>
      <c r="H349" s="251"/>
      <c r="I349" s="251"/>
      <c r="L349" s="251"/>
    </row>
    <row r="350" spans="4:12" ht="15.75" customHeight="1" x14ac:dyDescent="0.25">
      <c r="D350" s="251"/>
      <c r="E350" s="251"/>
      <c r="F350" s="251"/>
      <c r="G350" s="251"/>
      <c r="H350" s="251"/>
      <c r="I350" s="251"/>
      <c r="L350" s="251"/>
    </row>
    <row r="351" spans="4:12" ht="15.75" customHeight="1" x14ac:dyDescent="0.25">
      <c r="D351" s="251"/>
      <c r="E351" s="251"/>
      <c r="F351" s="251"/>
      <c r="G351" s="251"/>
      <c r="H351" s="251"/>
      <c r="I351" s="251"/>
      <c r="L351" s="251"/>
    </row>
    <row r="352" spans="4:12" ht="15.75" customHeight="1" x14ac:dyDescent="0.25">
      <c r="D352" s="251"/>
      <c r="E352" s="251"/>
      <c r="F352" s="251"/>
      <c r="G352" s="251"/>
      <c r="H352" s="251"/>
      <c r="I352" s="251"/>
      <c r="L352" s="251"/>
    </row>
    <row r="353" spans="4:12" ht="15.75" customHeight="1" x14ac:dyDescent="0.25">
      <c r="D353" s="251"/>
      <c r="E353" s="251"/>
      <c r="F353" s="251"/>
      <c r="G353" s="251"/>
      <c r="H353" s="251"/>
      <c r="I353" s="251"/>
      <c r="L353" s="251"/>
    </row>
    <row r="354" spans="4:12" ht="15.75" customHeight="1" x14ac:dyDescent="0.25">
      <c r="D354" s="251"/>
      <c r="E354" s="251"/>
      <c r="F354" s="251"/>
      <c r="G354" s="251"/>
      <c r="H354" s="251"/>
      <c r="I354" s="251"/>
      <c r="L354" s="251"/>
    </row>
    <row r="355" spans="4:12" ht="15.75" customHeight="1" x14ac:dyDescent="0.25">
      <c r="D355" s="251"/>
      <c r="E355" s="251"/>
      <c r="F355" s="251"/>
      <c r="G355" s="251"/>
      <c r="H355" s="251"/>
      <c r="I355" s="251"/>
      <c r="L355" s="251"/>
    </row>
    <row r="356" spans="4:12" ht="15.75" customHeight="1" x14ac:dyDescent="0.25">
      <c r="D356" s="251"/>
      <c r="E356" s="251"/>
      <c r="F356" s="251"/>
      <c r="G356" s="251"/>
      <c r="H356" s="251"/>
      <c r="I356" s="251"/>
      <c r="L356" s="251"/>
    </row>
    <row r="357" spans="4:12" ht="15.75" customHeight="1" x14ac:dyDescent="0.25">
      <c r="D357" s="251"/>
      <c r="E357" s="251"/>
      <c r="F357" s="251"/>
      <c r="G357" s="251"/>
      <c r="H357" s="251"/>
      <c r="I357" s="251"/>
      <c r="L357" s="251"/>
    </row>
    <row r="358" spans="4:12" ht="15.75" customHeight="1" x14ac:dyDescent="0.25">
      <c r="D358" s="251"/>
      <c r="E358" s="251"/>
      <c r="F358" s="251"/>
      <c r="G358" s="251"/>
      <c r="H358" s="251"/>
      <c r="I358" s="251"/>
      <c r="L358" s="251"/>
    </row>
    <row r="359" spans="4:12" ht="15.75" customHeight="1" x14ac:dyDescent="0.25">
      <c r="D359" s="251"/>
      <c r="E359" s="251"/>
      <c r="F359" s="251"/>
      <c r="G359" s="251"/>
      <c r="H359" s="251"/>
      <c r="I359" s="251"/>
      <c r="L359" s="251"/>
    </row>
    <row r="360" spans="4:12" ht="15.75" customHeight="1" x14ac:dyDescent="0.25">
      <c r="D360" s="251"/>
      <c r="E360" s="251"/>
      <c r="F360" s="251"/>
      <c r="G360" s="251"/>
      <c r="H360" s="251"/>
      <c r="I360" s="251"/>
      <c r="L360" s="251"/>
    </row>
    <row r="361" spans="4:12" ht="15.75" customHeight="1" x14ac:dyDescent="0.25">
      <c r="D361" s="251"/>
      <c r="E361" s="251"/>
      <c r="F361" s="251"/>
      <c r="G361" s="251"/>
      <c r="H361" s="251"/>
      <c r="I361" s="251"/>
      <c r="L361" s="251"/>
    </row>
    <row r="362" spans="4:12" ht="15.75" customHeight="1" x14ac:dyDescent="0.25">
      <c r="D362" s="251"/>
      <c r="E362" s="251"/>
      <c r="F362" s="251"/>
      <c r="G362" s="251"/>
      <c r="H362" s="251"/>
      <c r="I362" s="251"/>
      <c r="L362" s="251"/>
    </row>
    <row r="363" spans="4:12" ht="15.75" customHeight="1" x14ac:dyDescent="0.25">
      <c r="D363" s="251"/>
      <c r="E363" s="251"/>
      <c r="F363" s="251"/>
      <c r="G363" s="251"/>
      <c r="H363" s="251"/>
      <c r="I363" s="251"/>
      <c r="L363" s="251"/>
    </row>
    <row r="364" spans="4:12" ht="15.75" customHeight="1" x14ac:dyDescent="0.25">
      <c r="D364" s="251"/>
      <c r="E364" s="251"/>
      <c r="F364" s="251"/>
      <c r="G364" s="251"/>
      <c r="H364" s="251"/>
      <c r="I364" s="251"/>
      <c r="L364" s="251"/>
    </row>
    <row r="365" spans="4:12" ht="15.75" customHeight="1" x14ac:dyDescent="0.25">
      <c r="D365" s="251"/>
      <c r="E365" s="251"/>
      <c r="F365" s="251"/>
      <c r="G365" s="251"/>
      <c r="H365" s="251"/>
      <c r="I365" s="251"/>
      <c r="L365" s="251"/>
    </row>
    <row r="366" spans="4:12" ht="15.75" customHeight="1" x14ac:dyDescent="0.25">
      <c r="D366" s="251"/>
      <c r="E366" s="251"/>
      <c r="F366" s="251"/>
      <c r="G366" s="251"/>
      <c r="H366" s="251"/>
      <c r="I366" s="251"/>
      <c r="L366" s="251"/>
    </row>
    <row r="367" spans="4:12" ht="15.75" customHeight="1" x14ac:dyDescent="0.25">
      <c r="D367" s="251"/>
      <c r="E367" s="251"/>
      <c r="F367" s="251"/>
      <c r="G367" s="251"/>
      <c r="H367" s="251"/>
      <c r="I367" s="251"/>
      <c r="L367" s="251"/>
    </row>
    <row r="368" spans="4:12" ht="15.75" customHeight="1" x14ac:dyDescent="0.25">
      <c r="D368" s="251"/>
      <c r="E368" s="251"/>
      <c r="F368" s="251"/>
      <c r="G368" s="251"/>
      <c r="H368" s="251"/>
      <c r="I368" s="251"/>
      <c r="L368" s="251"/>
    </row>
    <row r="369" spans="4:12" ht="15.75" customHeight="1" x14ac:dyDescent="0.25">
      <c r="D369" s="251"/>
      <c r="E369" s="251"/>
      <c r="F369" s="251"/>
      <c r="G369" s="251"/>
      <c r="H369" s="251"/>
      <c r="I369" s="251"/>
      <c r="L369" s="251"/>
    </row>
    <row r="370" spans="4:12" ht="15.75" customHeight="1" x14ac:dyDescent="0.25">
      <c r="D370" s="251"/>
      <c r="E370" s="251"/>
      <c r="F370" s="251"/>
      <c r="G370" s="251"/>
      <c r="H370" s="251"/>
      <c r="I370" s="251"/>
      <c r="L370" s="251"/>
    </row>
    <row r="371" spans="4:12" ht="15.75" customHeight="1" x14ac:dyDescent="0.25">
      <c r="D371" s="251"/>
      <c r="E371" s="251"/>
      <c r="F371" s="251"/>
      <c r="G371" s="251"/>
      <c r="H371" s="251"/>
      <c r="I371" s="251"/>
      <c r="L371" s="251"/>
    </row>
    <row r="372" spans="4:12" ht="15.75" customHeight="1" x14ac:dyDescent="0.25">
      <c r="D372" s="251"/>
      <c r="E372" s="251"/>
      <c r="F372" s="251"/>
      <c r="G372" s="251"/>
      <c r="H372" s="251"/>
      <c r="I372" s="251"/>
      <c r="L372" s="251"/>
    </row>
    <row r="373" spans="4:12" ht="15.75" customHeight="1" x14ac:dyDescent="0.25">
      <c r="D373" s="251"/>
      <c r="E373" s="251"/>
      <c r="F373" s="251"/>
      <c r="G373" s="251"/>
      <c r="H373" s="251"/>
      <c r="I373" s="251"/>
      <c r="L373" s="251"/>
    </row>
    <row r="374" spans="4:12" ht="15.75" customHeight="1" x14ac:dyDescent="0.25">
      <c r="D374" s="251"/>
      <c r="E374" s="251"/>
      <c r="F374" s="251"/>
      <c r="G374" s="251"/>
      <c r="H374" s="251"/>
      <c r="I374" s="251"/>
      <c r="L374" s="251"/>
    </row>
    <row r="375" spans="4:12" ht="15.75" customHeight="1" x14ac:dyDescent="0.25">
      <c r="D375" s="251"/>
      <c r="E375" s="251"/>
      <c r="F375" s="251"/>
      <c r="G375" s="251"/>
      <c r="H375" s="251"/>
      <c r="I375" s="251"/>
      <c r="L375" s="251"/>
    </row>
    <row r="376" spans="4:12" ht="15.75" customHeight="1" x14ac:dyDescent="0.25">
      <c r="D376" s="251"/>
      <c r="E376" s="251"/>
      <c r="F376" s="251"/>
      <c r="G376" s="251"/>
      <c r="H376" s="251"/>
      <c r="I376" s="251"/>
      <c r="L376" s="251"/>
    </row>
    <row r="377" spans="4:12" ht="15.75" customHeight="1" x14ac:dyDescent="0.25">
      <c r="D377" s="251"/>
      <c r="E377" s="251"/>
      <c r="F377" s="251"/>
      <c r="G377" s="251"/>
      <c r="H377" s="251"/>
      <c r="I377" s="251"/>
      <c r="L377" s="251"/>
    </row>
    <row r="378" spans="4:12" ht="15.75" customHeight="1" x14ac:dyDescent="0.25">
      <c r="D378" s="251"/>
      <c r="E378" s="251"/>
      <c r="F378" s="251"/>
      <c r="G378" s="251"/>
      <c r="H378" s="251"/>
      <c r="I378" s="251"/>
      <c r="L378" s="251"/>
    </row>
    <row r="379" spans="4:12" ht="15.75" customHeight="1" x14ac:dyDescent="0.25">
      <c r="D379" s="251"/>
      <c r="E379" s="251"/>
      <c r="F379" s="251"/>
      <c r="G379" s="251"/>
      <c r="H379" s="251"/>
      <c r="I379" s="251"/>
      <c r="L379" s="251"/>
    </row>
    <row r="380" spans="4:12" ht="15.75" customHeight="1" x14ac:dyDescent="0.25">
      <c r="D380" s="251"/>
      <c r="E380" s="251"/>
      <c r="F380" s="251"/>
      <c r="G380" s="251"/>
      <c r="H380" s="251"/>
      <c r="I380" s="251"/>
      <c r="L380" s="251"/>
    </row>
    <row r="381" spans="4:12" ht="15.75" customHeight="1" x14ac:dyDescent="0.25">
      <c r="D381" s="251"/>
      <c r="E381" s="251"/>
      <c r="F381" s="251"/>
      <c r="G381" s="251"/>
      <c r="H381" s="251"/>
      <c r="I381" s="251"/>
      <c r="L381" s="251"/>
    </row>
    <row r="382" spans="4:12" ht="15.75" customHeight="1" x14ac:dyDescent="0.25">
      <c r="D382" s="251"/>
      <c r="E382" s="251"/>
      <c r="F382" s="251"/>
      <c r="G382" s="251"/>
      <c r="H382" s="251"/>
      <c r="I382" s="251"/>
      <c r="L382" s="251"/>
    </row>
    <row r="383" spans="4:12" ht="15.75" customHeight="1" x14ac:dyDescent="0.25">
      <c r="D383" s="251"/>
      <c r="E383" s="251"/>
      <c r="F383" s="251"/>
      <c r="G383" s="251"/>
      <c r="H383" s="251"/>
      <c r="I383" s="251"/>
      <c r="L383" s="251"/>
    </row>
    <row r="384" spans="4:12" ht="15.75" customHeight="1" x14ac:dyDescent="0.25">
      <c r="D384" s="251"/>
      <c r="E384" s="251"/>
      <c r="F384" s="251"/>
      <c r="G384" s="251"/>
      <c r="H384" s="251"/>
      <c r="I384" s="251"/>
      <c r="L384" s="251"/>
    </row>
    <row r="385" spans="4:12" ht="15.75" customHeight="1" x14ac:dyDescent="0.25">
      <c r="D385" s="251"/>
      <c r="E385" s="251"/>
      <c r="F385" s="251"/>
      <c r="G385" s="251"/>
      <c r="H385" s="251"/>
      <c r="I385" s="251"/>
      <c r="L385" s="251"/>
    </row>
    <row r="386" spans="4:12" ht="15.75" customHeight="1" x14ac:dyDescent="0.25">
      <c r="D386" s="251"/>
      <c r="E386" s="251"/>
      <c r="F386" s="251"/>
      <c r="G386" s="251"/>
      <c r="H386" s="251"/>
      <c r="I386" s="251"/>
      <c r="L386" s="251"/>
    </row>
    <row r="387" spans="4:12" ht="15.75" customHeight="1" x14ac:dyDescent="0.25">
      <c r="D387" s="251"/>
      <c r="E387" s="251"/>
      <c r="F387" s="251"/>
      <c r="G387" s="251"/>
      <c r="H387" s="251"/>
      <c r="I387" s="251"/>
      <c r="L387" s="251"/>
    </row>
    <row r="388" spans="4:12" ht="15.75" customHeight="1" x14ac:dyDescent="0.25">
      <c r="D388" s="251"/>
      <c r="E388" s="251"/>
      <c r="F388" s="251"/>
      <c r="G388" s="251"/>
      <c r="H388" s="251"/>
      <c r="I388" s="251"/>
      <c r="L388" s="251"/>
    </row>
    <row r="389" spans="4:12" ht="15.75" customHeight="1" x14ac:dyDescent="0.25">
      <c r="D389" s="251"/>
      <c r="E389" s="251"/>
      <c r="F389" s="251"/>
      <c r="G389" s="251"/>
      <c r="H389" s="251"/>
      <c r="I389" s="251"/>
      <c r="L389" s="251"/>
    </row>
    <row r="390" spans="4:12" ht="15.75" customHeight="1" x14ac:dyDescent="0.25">
      <c r="D390" s="251"/>
      <c r="E390" s="251"/>
      <c r="F390" s="251"/>
      <c r="G390" s="251"/>
      <c r="H390" s="251"/>
      <c r="I390" s="251"/>
      <c r="L390" s="251"/>
    </row>
    <row r="391" spans="4:12" ht="15.75" customHeight="1" x14ac:dyDescent="0.25">
      <c r="D391" s="251"/>
      <c r="E391" s="251"/>
      <c r="F391" s="251"/>
      <c r="G391" s="251"/>
      <c r="H391" s="251"/>
      <c r="I391" s="251"/>
      <c r="L391" s="251"/>
    </row>
    <row r="392" spans="4:12" ht="15.75" customHeight="1" x14ac:dyDescent="0.25">
      <c r="D392" s="251"/>
      <c r="E392" s="251"/>
      <c r="F392" s="251"/>
      <c r="G392" s="251"/>
      <c r="H392" s="251"/>
      <c r="I392" s="251"/>
      <c r="L392" s="251"/>
    </row>
    <row r="393" spans="4:12" ht="15.75" customHeight="1" x14ac:dyDescent="0.25">
      <c r="D393" s="251"/>
      <c r="E393" s="251"/>
      <c r="F393" s="251"/>
      <c r="G393" s="251"/>
      <c r="H393" s="251"/>
      <c r="I393" s="251"/>
      <c r="L393" s="251"/>
    </row>
    <row r="394" spans="4:12" ht="15.75" customHeight="1" x14ac:dyDescent="0.25">
      <c r="D394" s="251"/>
      <c r="E394" s="251"/>
      <c r="F394" s="251"/>
      <c r="G394" s="251"/>
      <c r="H394" s="251"/>
      <c r="I394" s="251"/>
      <c r="L394" s="251"/>
    </row>
    <row r="395" spans="4:12" ht="15.75" customHeight="1" x14ac:dyDescent="0.25">
      <c r="D395" s="251"/>
      <c r="E395" s="251"/>
      <c r="F395" s="251"/>
      <c r="G395" s="251"/>
      <c r="H395" s="251"/>
      <c r="I395" s="251"/>
      <c r="L395" s="251"/>
    </row>
    <row r="396" spans="4:12" ht="15.75" customHeight="1" x14ac:dyDescent="0.25">
      <c r="D396" s="251"/>
      <c r="E396" s="251"/>
      <c r="F396" s="251"/>
      <c r="G396" s="251"/>
      <c r="H396" s="251"/>
      <c r="I396" s="251"/>
      <c r="L396" s="251"/>
    </row>
    <row r="397" spans="4:12" ht="15.75" customHeight="1" x14ac:dyDescent="0.25">
      <c r="D397" s="251"/>
      <c r="E397" s="251"/>
      <c r="F397" s="251"/>
      <c r="G397" s="251"/>
      <c r="H397" s="251"/>
      <c r="I397" s="251"/>
      <c r="L397" s="251"/>
    </row>
    <row r="398" spans="4:12" ht="15.75" customHeight="1" x14ac:dyDescent="0.25">
      <c r="D398" s="251"/>
      <c r="E398" s="251"/>
      <c r="F398" s="251"/>
      <c r="G398" s="251"/>
      <c r="H398" s="251"/>
      <c r="I398" s="251"/>
      <c r="L398" s="251"/>
    </row>
    <row r="399" spans="4:12" ht="15.75" customHeight="1" x14ac:dyDescent="0.25">
      <c r="D399" s="251"/>
      <c r="E399" s="251"/>
      <c r="F399" s="251"/>
      <c r="G399" s="251"/>
      <c r="H399" s="251"/>
      <c r="I399" s="251"/>
      <c r="L399" s="251"/>
    </row>
    <row r="400" spans="4:12" ht="15.75" customHeight="1" x14ac:dyDescent="0.25">
      <c r="D400" s="251"/>
      <c r="E400" s="251"/>
      <c r="F400" s="251"/>
      <c r="G400" s="251"/>
      <c r="H400" s="251"/>
      <c r="I400" s="251"/>
      <c r="L400" s="251"/>
    </row>
    <row r="401" spans="4:12" ht="15.75" customHeight="1" x14ac:dyDescent="0.25">
      <c r="D401" s="251"/>
      <c r="E401" s="251"/>
      <c r="F401" s="251"/>
      <c r="G401" s="251"/>
      <c r="H401" s="251"/>
      <c r="I401" s="251"/>
      <c r="L401" s="251"/>
    </row>
    <row r="402" spans="4:12" ht="15.75" customHeight="1" x14ac:dyDescent="0.25">
      <c r="D402" s="251"/>
      <c r="E402" s="251"/>
      <c r="F402" s="251"/>
      <c r="G402" s="251"/>
      <c r="H402" s="251"/>
      <c r="I402" s="251"/>
      <c r="L402" s="251"/>
    </row>
    <row r="403" spans="4:12" ht="15.75" customHeight="1" x14ac:dyDescent="0.25">
      <c r="D403" s="251"/>
      <c r="E403" s="251"/>
      <c r="F403" s="251"/>
      <c r="G403" s="251"/>
      <c r="H403" s="251"/>
      <c r="I403" s="251"/>
      <c r="L403" s="251"/>
    </row>
    <row r="404" spans="4:12" ht="15.75" customHeight="1" x14ac:dyDescent="0.25">
      <c r="D404" s="251"/>
      <c r="E404" s="251"/>
      <c r="F404" s="251"/>
      <c r="G404" s="251"/>
      <c r="H404" s="251"/>
      <c r="I404" s="251"/>
      <c r="L404" s="251"/>
    </row>
    <row r="405" spans="4:12" ht="15.75" customHeight="1" x14ac:dyDescent="0.25">
      <c r="D405" s="251"/>
      <c r="E405" s="251"/>
      <c r="F405" s="251"/>
      <c r="G405" s="251"/>
      <c r="H405" s="251"/>
      <c r="I405" s="251"/>
      <c r="L405" s="251"/>
    </row>
    <row r="406" spans="4:12" ht="15.75" customHeight="1" x14ac:dyDescent="0.25">
      <c r="D406" s="251"/>
      <c r="E406" s="251"/>
      <c r="F406" s="251"/>
      <c r="G406" s="251"/>
      <c r="H406" s="251"/>
      <c r="I406" s="251"/>
      <c r="L406" s="251"/>
    </row>
    <row r="407" spans="4:12" ht="15.75" customHeight="1" x14ac:dyDescent="0.25">
      <c r="D407" s="251"/>
      <c r="E407" s="251"/>
      <c r="F407" s="251"/>
      <c r="G407" s="251"/>
      <c r="H407" s="251"/>
      <c r="I407" s="251"/>
      <c r="L407" s="251"/>
    </row>
    <row r="408" spans="4:12" ht="15.75" customHeight="1" x14ac:dyDescent="0.25">
      <c r="D408" s="251"/>
      <c r="E408" s="251"/>
      <c r="F408" s="251"/>
      <c r="G408" s="251"/>
      <c r="H408" s="251"/>
      <c r="I408" s="251"/>
      <c r="L408" s="251"/>
    </row>
    <row r="409" spans="4:12" ht="15.75" customHeight="1" x14ac:dyDescent="0.25">
      <c r="D409" s="251"/>
      <c r="E409" s="251"/>
      <c r="F409" s="251"/>
      <c r="G409" s="251"/>
      <c r="H409" s="251"/>
      <c r="I409" s="251"/>
      <c r="L409" s="251"/>
    </row>
    <row r="410" spans="4:12" ht="15.75" customHeight="1" x14ac:dyDescent="0.25">
      <c r="D410" s="251"/>
      <c r="E410" s="251"/>
      <c r="F410" s="251"/>
      <c r="G410" s="251"/>
      <c r="H410" s="251"/>
      <c r="I410" s="251"/>
      <c r="L410" s="251"/>
    </row>
    <row r="411" spans="4:12" ht="15.75" customHeight="1" x14ac:dyDescent="0.25">
      <c r="D411" s="251"/>
      <c r="E411" s="251"/>
      <c r="F411" s="251"/>
      <c r="G411" s="251"/>
      <c r="H411" s="251"/>
      <c r="I411" s="251"/>
      <c r="L411" s="251"/>
    </row>
    <row r="412" spans="4:12" ht="15.75" customHeight="1" x14ac:dyDescent="0.25">
      <c r="D412" s="251"/>
      <c r="E412" s="251"/>
      <c r="F412" s="251"/>
      <c r="G412" s="251"/>
      <c r="H412" s="251"/>
      <c r="I412" s="251"/>
      <c r="L412" s="251"/>
    </row>
    <row r="413" spans="4:12" ht="15.75" customHeight="1" x14ac:dyDescent="0.25">
      <c r="D413" s="251"/>
      <c r="E413" s="251"/>
      <c r="F413" s="251"/>
      <c r="G413" s="251"/>
      <c r="H413" s="251"/>
      <c r="I413" s="251"/>
      <c r="L413" s="251"/>
    </row>
    <row r="414" spans="4:12" ht="15.75" customHeight="1" x14ac:dyDescent="0.25">
      <c r="D414" s="251"/>
      <c r="E414" s="251"/>
      <c r="F414" s="251"/>
      <c r="G414" s="251"/>
      <c r="H414" s="251"/>
      <c r="I414" s="251"/>
      <c r="L414" s="251"/>
    </row>
    <row r="415" spans="4:12" ht="15.75" customHeight="1" x14ac:dyDescent="0.25">
      <c r="D415" s="251"/>
      <c r="E415" s="251"/>
      <c r="F415" s="251"/>
      <c r="G415" s="251"/>
      <c r="H415" s="251"/>
      <c r="I415" s="251"/>
      <c r="L415" s="251"/>
    </row>
    <row r="416" spans="4:12" ht="15.75" customHeight="1" x14ac:dyDescent="0.25">
      <c r="D416" s="251"/>
      <c r="E416" s="251"/>
      <c r="F416" s="251"/>
      <c r="G416" s="251"/>
      <c r="H416" s="251"/>
      <c r="I416" s="251"/>
      <c r="L416" s="251"/>
    </row>
    <row r="417" spans="4:12" ht="15.75" customHeight="1" x14ac:dyDescent="0.25">
      <c r="D417" s="251"/>
      <c r="E417" s="251"/>
      <c r="F417" s="251"/>
      <c r="G417" s="251"/>
      <c r="H417" s="251"/>
      <c r="I417" s="251"/>
      <c r="L417" s="251"/>
    </row>
    <row r="418" spans="4:12" ht="15.75" customHeight="1" x14ac:dyDescent="0.25">
      <c r="D418" s="251"/>
      <c r="E418" s="251"/>
      <c r="F418" s="251"/>
      <c r="G418" s="251"/>
      <c r="H418" s="251"/>
      <c r="I418" s="251"/>
      <c r="L418" s="251"/>
    </row>
    <row r="419" spans="4:12" ht="15.75" customHeight="1" x14ac:dyDescent="0.25">
      <c r="D419" s="251"/>
      <c r="E419" s="251"/>
      <c r="F419" s="251"/>
      <c r="G419" s="251"/>
      <c r="H419" s="251"/>
      <c r="I419" s="251"/>
      <c r="L419" s="251"/>
    </row>
    <row r="420" spans="4:12" ht="15.75" customHeight="1" x14ac:dyDescent="0.25">
      <c r="D420" s="251"/>
      <c r="E420" s="251"/>
      <c r="F420" s="251"/>
      <c r="G420" s="251"/>
      <c r="H420" s="251"/>
      <c r="I420" s="251"/>
      <c r="L420" s="251"/>
    </row>
    <row r="421" spans="4:12" ht="15.75" customHeight="1" x14ac:dyDescent="0.25">
      <c r="D421" s="251"/>
      <c r="E421" s="251"/>
      <c r="F421" s="251"/>
      <c r="G421" s="251"/>
      <c r="H421" s="251"/>
      <c r="I421" s="251"/>
      <c r="L421" s="251"/>
    </row>
    <row r="422" spans="4:12" ht="15.75" customHeight="1" x14ac:dyDescent="0.25">
      <c r="D422" s="251"/>
      <c r="E422" s="251"/>
      <c r="F422" s="251"/>
      <c r="G422" s="251"/>
      <c r="H422" s="251"/>
      <c r="I422" s="251"/>
      <c r="L422" s="251"/>
    </row>
    <row r="423" spans="4:12" ht="15.75" customHeight="1" x14ac:dyDescent="0.25">
      <c r="D423" s="251"/>
      <c r="E423" s="251"/>
      <c r="F423" s="251"/>
      <c r="G423" s="251"/>
      <c r="H423" s="251"/>
      <c r="I423" s="251"/>
      <c r="L423" s="251"/>
    </row>
    <row r="424" spans="4:12" ht="15.75" customHeight="1" x14ac:dyDescent="0.25">
      <c r="D424" s="251"/>
      <c r="E424" s="251"/>
      <c r="F424" s="251"/>
      <c r="G424" s="251"/>
      <c r="H424" s="251"/>
      <c r="I424" s="251"/>
      <c r="L424" s="251"/>
    </row>
    <row r="425" spans="4:12" ht="15.75" customHeight="1" x14ac:dyDescent="0.25">
      <c r="D425" s="251"/>
      <c r="E425" s="251"/>
      <c r="F425" s="251"/>
      <c r="G425" s="251"/>
      <c r="H425" s="251"/>
      <c r="I425" s="251"/>
      <c r="L425" s="251"/>
    </row>
    <row r="426" spans="4:12" ht="15.75" customHeight="1" x14ac:dyDescent="0.25">
      <c r="D426" s="251"/>
      <c r="E426" s="251"/>
      <c r="F426" s="251"/>
      <c r="G426" s="251"/>
      <c r="H426" s="251"/>
      <c r="I426" s="251"/>
      <c r="L426" s="251"/>
    </row>
    <row r="427" spans="4:12" ht="15.75" customHeight="1" x14ac:dyDescent="0.25">
      <c r="D427" s="251"/>
      <c r="E427" s="251"/>
      <c r="F427" s="251"/>
      <c r="G427" s="251"/>
      <c r="H427" s="251"/>
      <c r="I427" s="251"/>
      <c r="L427" s="251"/>
    </row>
    <row r="428" spans="4:12" ht="15.75" customHeight="1" x14ac:dyDescent="0.25">
      <c r="D428" s="251"/>
      <c r="E428" s="251"/>
      <c r="F428" s="251"/>
      <c r="G428" s="251"/>
      <c r="H428" s="251"/>
      <c r="I428" s="251"/>
      <c r="L428" s="251"/>
    </row>
    <row r="429" spans="4:12" ht="15.75" customHeight="1" x14ac:dyDescent="0.25">
      <c r="D429" s="251"/>
      <c r="E429" s="251"/>
      <c r="F429" s="251"/>
      <c r="G429" s="251"/>
      <c r="H429" s="251"/>
      <c r="I429" s="251"/>
      <c r="L429" s="251"/>
    </row>
    <row r="430" spans="4:12" ht="15.75" customHeight="1" x14ac:dyDescent="0.25">
      <c r="D430" s="251"/>
      <c r="E430" s="251"/>
      <c r="F430" s="251"/>
      <c r="G430" s="251"/>
      <c r="H430" s="251"/>
      <c r="I430" s="251"/>
      <c r="L430" s="251"/>
    </row>
    <row r="431" spans="4:12" ht="15.75" customHeight="1" x14ac:dyDescent="0.25">
      <c r="D431" s="251"/>
      <c r="E431" s="251"/>
      <c r="F431" s="251"/>
      <c r="G431" s="251"/>
      <c r="H431" s="251"/>
      <c r="I431" s="251"/>
      <c r="L431" s="251"/>
    </row>
    <row r="432" spans="4:12" ht="15.75" customHeight="1" x14ac:dyDescent="0.25">
      <c r="D432" s="251"/>
      <c r="E432" s="251"/>
      <c r="F432" s="251"/>
      <c r="G432" s="251"/>
      <c r="H432" s="251"/>
      <c r="I432" s="251"/>
      <c r="L432" s="251"/>
    </row>
    <row r="433" spans="4:12" ht="15.75" customHeight="1" x14ac:dyDescent="0.25">
      <c r="D433" s="251"/>
      <c r="E433" s="251"/>
      <c r="F433" s="251"/>
      <c r="G433" s="251"/>
      <c r="H433" s="251"/>
      <c r="I433" s="251"/>
      <c r="L433" s="251"/>
    </row>
    <row r="434" spans="4:12" ht="15.75" customHeight="1" x14ac:dyDescent="0.25">
      <c r="D434" s="251"/>
      <c r="E434" s="251"/>
      <c r="F434" s="251"/>
      <c r="G434" s="251"/>
      <c r="H434" s="251"/>
      <c r="I434" s="251"/>
      <c r="L434" s="251"/>
    </row>
    <row r="435" spans="4:12" ht="15.75" customHeight="1" x14ac:dyDescent="0.25">
      <c r="D435" s="251"/>
      <c r="E435" s="251"/>
      <c r="F435" s="251"/>
      <c r="G435" s="251"/>
      <c r="H435" s="251"/>
      <c r="I435" s="251"/>
      <c r="L435" s="251"/>
    </row>
    <row r="436" spans="4:12" ht="15.75" customHeight="1" x14ac:dyDescent="0.25">
      <c r="D436" s="251"/>
      <c r="E436" s="251"/>
      <c r="F436" s="251"/>
      <c r="G436" s="251"/>
      <c r="H436" s="251"/>
      <c r="I436" s="251"/>
      <c r="L436" s="251"/>
    </row>
    <row r="437" spans="4:12" ht="15.75" customHeight="1" x14ac:dyDescent="0.25">
      <c r="D437" s="251"/>
      <c r="E437" s="251"/>
      <c r="F437" s="251"/>
      <c r="G437" s="251"/>
      <c r="H437" s="251"/>
      <c r="I437" s="251"/>
      <c r="L437" s="251"/>
    </row>
    <row r="438" spans="4:12" ht="15.75" customHeight="1" x14ac:dyDescent="0.25">
      <c r="D438" s="251"/>
      <c r="E438" s="251"/>
      <c r="F438" s="251"/>
      <c r="G438" s="251"/>
      <c r="H438" s="251"/>
      <c r="I438" s="251"/>
      <c r="L438" s="251"/>
    </row>
    <row r="439" spans="4:12" ht="15.75" customHeight="1" x14ac:dyDescent="0.25">
      <c r="D439" s="251"/>
      <c r="E439" s="251"/>
      <c r="F439" s="251"/>
      <c r="G439" s="251"/>
      <c r="H439" s="251"/>
      <c r="I439" s="251"/>
      <c r="L439" s="251"/>
    </row>
    <row r="440" spans="4:12" ht="15.75" customHeight="1" x14ac:dyDescent="0.25">
      <c r="D440" s="251"/>
      <c r="E440" s="251"/>
      <c r="F440" s="251"/>
      <c r="G440" s="251"/>
      <c r="H440" s="251"/>
      <c r="I440" s="251"/>
      <c r="L440" s="251"/>
    </row>
    <row r="441" spans="4:12" ht="15.75" customHeight="1" x14ac:dyDescent="0.25">
      <c r="D441" s="251"/>
      <c r="E441" s="251"/>
      <c r="F441" s="251"/>
      <c r="G441" s="251"/>
      <c r="H441" s="251"/>
      <c r="I441" s="251"/>
      <c r="L441" s="251"/>
    </row>
    <row r="442" spans="4:12" ht="15.75" customHeight="1" x14ac:dyDescent="0.25">
      <c r="D442" s="251"/>
      <c r="E442" s="251"/>
      <c r="F442" s="251"/>
      <c r="G442" s="251"/>
      <c r="H442" s="251"/>
      <c r="I442" s="251"/>
      <c r="L442" s="251"/>
    </row>
    <row r="443" spans="4:12" ht="15.75" customHeight="1" x14ac:dyDescent="0.25">
      <c r="D443" s="251"/>
      <c r="E443" s="251"/>
      <c r="F443" s="251"/>
      <c r="G443" s="251"/>
      <c r="H443" s="251"/>
      <c r="I443" s="251"/>
      <c r="L443" s="251"/>
    </row>
    <row r="444" spans="4:12" ht="15.75" customHeight="1" x14ac:dyDescent="0.25">
      <c r="D444" s="251"/>
      <c r="E444" s="251"/>
      <c r="F444" s="251"/>
      <c r="G444" s="251"/>
      <c r="H444" s="251"/>
      <c r="I444" s="251"/>
      <c r="L444" s="251"/>
    </row>
    <row r="445" spans="4:12" ht="15.75" customHeight="1" x14ac:dyDescent="0.25">
      <c r="D445" s="251"/>
      <c r="E445" s="251"/>
      <c r="F445" s="251"/>
      <c r="G445" s="251"/>
      <c r="H445" s="251"/>
      <c r="I445" s="251"/>
      <c r="L445" s="251"/>
    </row>
    <row r="446" spans="4:12" ht="15.75" customHeight="1" x14ac:dyDescent="0.25">
      <c r="D446" s="251"/>
      <c r="E446" s="251"/>
      <c r="F446" s="251"/>
      <c r="G446" s="251"/>
      <c r="H446" s="251"/>
      <c r="I446" s="251"/>
      <c r="L446" s="251"/>
    </row>
    <row r="447" spans="4:12" ht="15.75" customHeight="1" x14ac:dyDescent="0.25">
      <c r="D447" s="251"/>
      <c r="E447" s="251"/>
      <c r="F447" s="251"/>
      <c r="G447" s="251"/>
      <c r="H447" s="251"/>
      <c r="I447" s="251"/>
      <c r="L447" s="251"/>
    </row>
    <row r="448" spans="4:12" ht="15.75" customHeight="1" x14ac:dyDescent="0.25">
      <c r="D448" s="251"/>
      <c r="E448" s="251"/>
      <c r="F448" s="251"/>
      <c r="G448" s="251"/>
      <c r="H448" s="251"/>
      <c r="I448" s="251"/>
      <c r="L448" s="251"/>
    </row>
    <row r="449" spans="4:12" ht="15.75" customHeight="1" x14ac:dyDescent="0.25">
      <c r="D449" s="251"/>
      <c r="E449" s="251"/>
      <c r="F449" s="251"/>
      <c r="G449" s="251"/>
      <c r="H449" s="251"/>
      <c r="I449" s="251"/>
      <c r="L449" s="251"/>
    </row>
    <row r="450" spans="4:12" ht="15.75" customHeight="1" x14ac:dyDescent="0.25">
      <c r="D450" s="251"/>
      <c r="E450" s="251"/>
      <c r="F450" s="251"/>
      <c r="G450" s="251"/>
      <c r="H450" s="251"/>
      <c r="I450" s="251"/>
      <c r="L450" s="251"/>
    </row>
    <row r="451" spans="4:12" ht="15.75" customHeight="1" x14ac:dyDescent="0.25">
      <c r="D451" s="251"/>
      <c r="E451" s="251"/>
      <c r="F451" s="251"/>
      <c r="G451" s="251"/>
      <c r="H451" s="251"/>
      <c r="I451" s="251"/>
      <c r="L451" s="251"/>
    </row>
    <row r="452" spans="4:12" ht="15.75" customHeight="1" x14ac:dyDescent="0.25">
      <c r="D452" s="251"/>
      <c r="E452" s="251"/>
      <c r="F452" s="251"/>
      <c r="G452" s="251"/>
      <c r="H452" s="251"/>
      <c r="I452" s="251"/>
      <c r="L452" s="251"/>
    </row>
    <row r="453" spans="4:12" ht="15.75" customHeight="1" x14ac:dyDescent="0.25">
      <c r="D453" s="251"/>
      <c r="E453" s="251"/>
      <c r="F453" s="251"/>
      <c r="G453" s="251"/>
      <c r="H453" s="251"/>
      <c r="I453" s="251"/>
      <c r="L453" s="251"/>
    </row>
    <row r="454" spans="4:12" ht="15.75" customHeight="1" x14ac:dyDescent="0.25">
      <c r="D454" s="251"/>
      <c r="E454" s="251"/>
      <c r="F454" s="251"/>
      <c r="G454" s="251"/>
      <c r="H454" s="251"/>
      <c r="I454" s="251"/>
      <c r="L454" s="251"/>
    </row>
    <row r="455" spans="4:12" ht="15.75" customHeight="1" x14ac:dyDescent="0.25">
      <c r="D455" s="251"/>
      <c r="E455" s="251"/>
      <c r="F455" s="251"/>
      <c r="G455" s="251"/>
      <c r="H455" s="251"/>
      <c r="I455" s="251"/>
      <c r="L455" s="251"/>
    </row>
    <row r="456" spans="4:12" ht="15.75" customHeight="1" x14ac:dyDescent="0.25">
      <c r="D456" s="251"/>
      <c r="E456" s="251"/>
      <c r="F456" s="251"/>
      <c r="G456" s="251"/>
      <c r="H456" s="251"/>
      <c r="I456" s="251"/>
      <c r="L456" s="251"/>
    </row>
    <row r="457" spans="4:12" ht="15.75" customHeight="1" x14ac:dyDescent="0.25">
      <c r="D457" s="251"/>
      <c r="E457" s="251"/>
      <c r="F457" s="251"/>
      <c r="G457" s="251"/>
      <c r="H457" s="251"/>
      <c r="I457" s="251"/>
      <c r="L457" s="251"/>
    </row>
    <row r="458" spans="4:12" ht="15.75" customHeight="1" x14ac:dyDescent="0.25">
      <c r="D458" s="251"/>
      <c r="E458" s="251"/>
      <c r="F458" s="251"/>
      <c r="G458" s="251"/>
      <c r="H458" s="251"/>
      <c r="I458" s="251"/>
      <c r="L458" s="251"/>
    </row>
    <row r="459" spans="4:12" ht="15.75" customHeight="1" x14ac:dyDescent="0.25">
      <c r="D459" s="251"/>
      <c r="E459" s="251"/>
      <c r="F459" s="251"/>
      <c r="G459" s="251"/>
      <c r="H459" s="251"/>
      <c r="I459" s="251"/>
      <c r="L459" s="251"/>
    </row>
    <row r="460" spans="4:12" ht="15.75" customHeight="1" x14ac:dyDescent="0.25">
      <c r="D460" s="251"/>
      <c r="E460" s="251"/>
      <c r="F460" s="251"/>
      <c r="G460" s="251"/>
      <c r="H460" s="251"/>
      <c r="I460" s="251"/>
      <c r="L460" s="251"/>
    </row>
    <row r="461" spans="4:12" ht="15.75" customHeight="1" x14ac:dyDescent="0.25">
      <c r="D461" s="251"/>
      <c r="E461" s="251"/>
      <c r="F461" s="251"/>
      <c r="G461" s="251"/>
      <c r="H461" s="251"/>
      <c r="I461" s="251"/>
      <c r="L461" s="251"/>
    </row>
    <row r="462" spans="4:12" ht="15.75" customHeight="1" x14ac:dyDescent="0.25">
      <c r="D462" s="251"/>
      <c r="E462" s="251"/>
      <c r="F462" s="251"/>
      <c r="G462" s="251"/>
      <c r="H462" s="251"/>
      <c r="I462" s="251"/>
      <c r="L462" s="251"/>
    </row>
    <row r="463" spans="4:12" ht="15.75" customHeight="1" x14ac:dyDescent="0.25">
      <c r="D463" s="251"/>
      <c r="E463" s="251"/>
      <c r="F463" s="251"/>
      <c r="G463" s="251"/>
      <c r="H463" s="251"/>
      <c r="I463" s="251"/>
      <c r="L463" s="251"/>
    </row>
    <row r="464" spans="4:12" ht="15.75" customHeight="1" x14ac:dyDescent="0.25">
      <c r="D464" s="251"/>
      <c r="E464" s="251"/>
      <c r="F464" s="251"/>
      <c r="G464" s="251"/>
      <c r="H464" s="251"/>
      <c r="I464" s="251"/>
      <c r="L464" s="251"/>
    </row>
    <row r="465" spans="4:12" ht="15.75" customHeight="1" x14ac:dyDescent="0.25">
      <c r="D465" s="251"/>
      <c r="E465" s="251"/>
      <c r="F465" s="251"/>
      <c r="G465" s="251"/>
      <c r="H465" s="251"/>
      <c r="I465" s="251"/>
      <c r="L465" s="251"/>
    </row>
    <row r="466" spans="4:12" ht="15.75" customHeight="1" x14ac:dyDescent="0.25">
      <c r="D466" s="251"/>
      <c r="E466" s="251"/>
      <c r="F466" s="251"/>
      <c r="G466" s="251"/>
      <c r="H466" s="251"/>
      <c r="I466" s="251"/>
      <c r="L466" s="251"/>
    </row>
    <row r="467" spans="4:12" ht="15.75" customHeight="1" x14ac:dyDescent="0.25">
      <c r="D467" s="251"/>
      <c r="E467" s="251"/>
      <c r="F467" s="251"/>
      <c r="G467" s="251"/>
      <c r="H467" s="251"/>
      <c r="I467" s="251"/>
      <c r="L467" s="251"/>
    </row>
    <row r="468" spans="4:12" ht="15.75" customHeight="1" x14ac:dyDescent="0.25">
      <c r="D468" s="251"/>
      <c r="E468" s="251"/>
      <c r="F468" s="251"/>
      <c r="G468" s="251"/>
      <c r="H468" s="251"/>
      <c r="I468" s="251"/>
      <c r="L468" s="251"/>
    </row>
    <row r="469" spans="4:12" ht="15.75" customHeight="1" x14ac:dyDescent="0.25">
      <c r="D469" s="251"/>
      <c r="E469" s="251"/>
      <c r="F469" s="251"/>
      <c r="G469" s="251"/>
      <c r="H469" s="251"/>
      <c r="I469" s="251"/>
      <c r="L469" s="251"/>
    </row>
    <row r="470" spans="4:12" ht="15.75" customHeight="1" x14ac:dyDescent="0.25">
      <c r="D470" s="251"/>
      <c r="E470" s="251"/>
      <c r="F470" s="251"/>
      <c r="G470" s="251"/>
      <c r="H470" s="251"/>
      <c r="I470" s="251"/>
      <c r="L470" s="251"/>
    </row>
    <row r="471" spans="4:12" ht="15.75" customHeight="1" x14ac:dyDescent="0.25">
      <c r="D471" s="251"/>
      <c r="E471" s="251"/>
      <c r="F471" s="251"/>
      <c r="G471" s="251"/>
      <c r="H471" s="251"/>
      <c r="I471" s="251"/>
      <c r="L471" s="251"/>
    </row>
    <row r="472" spans="4:12" ht="15.75" customHeight="1" x14ac:dyDescent="0.25">
      <c r="D472" s="251"/>
      <c r="E472" s="251"/>
      <c r="F472" s="251"/>
      <c r="G472" s="251"/>
      <c r="H472" s="251"/>
      <c r="I472" s="251"/>
      <c r="L472" s="251"/>
    </row>
    <row r="473" spans="4:12" ht="15.75" customHeight="1" x14ac:dyDescent="0.25">
      <c r="D473" s="251"/>
      <c r="E473" s="251"/>
      <c r="F473" s="251"/>
      <c r="G473" s="251"/>
      <c r="H473" s="251"/>
      <c r="I473" s="251"/>
      <c r="L473" s="251"/>
    </row>
    <row r="474" spans="4:12" ht="15.75" customHeight="1" x14ac:dyDescent="0.25">
      <c r="D474" s="251"/>
      <c r="E474" s="251"/>
      <c r="F474" s="251"/>
      <c r="G474" s="251"/>
      <c r="H474" s="251"/>
      <c r="I474" s="251"/>
      <c r="L474" s="251"/>
    </row>
    <row r="475" spans="4:12" ht="15.75" customHeight="1" x14ac:dyDescent="0.25">
      <c r="D475" s="251"/>
      <c r="E475" s="251"/>
      <c r="F475" s="251"/>
      <c r="G475" s="251"/>
      <c r="H475" s="251"/>
      <c r="I475" s="251"/>
      <c r="L475" s="251"/>
    </row>
    <row r="476" spans="4:12" ht="15.75" customHeight="1" x14ac:dyDescent="0.25">
      <c r="D476" s="251"/>
      <c r="E476" s="251"/>
      <c r="F476" s="251"/>
      <c r="G476" s="251"/>
      <c r="H476" s="251"/>
      <c r="I476" s="251"/>
      <c r="L476" s="251"/>
    </row>
    <row r="477" spans="4:12" ht="15.75" customHeight="1" x14ac:dyDescent="0.25">
      <c r="D477" s="251"/>
      <c r="E477" s="251"/>
      <c r="F477" s="251"/>
      <c r="G477" s="251"/>
      <c r="H477" s="251"/>
      <c r="I477" s="251"/>
      <c r="L477" s="251"/>
    </row>
    <row r="478" spans="4:12" ht="15.75" customHeight="1" x14ac:dyDescent="0.25">
      <c r="D478" s="251"/>
      <c r="E478" s="251"/>
      <c r="F478" s="251"/>
      <c r="G478" s="251"/>
      <c r="H478" s="251"/>
      <c r="I478" s="251"/>
      <c r="L478" s="251"/>
    </row>
    <row r="479" spans="4:12" ht="15.75" customHeight="1" x14ac:dyDescent="0.25">
      <c r="D479" s="251"/>
      <c r="E479" s="251"/>
      <c r="F479" s="251"/>
      <c r="G479" s="251"/>
      <c r="H479" s="251"/>
      <c r="I479" s="251"/>
      <c r="L479" s="251"/>
    </row>
    <row r="480" spans="4:12" ht="15.75" customHeight="1" x14ac:dyDescent="0.25">
      <c r="D480" s="251"/>
      <c r="E480" s="251"/>
      <c r="F480" s="251"/>
      <c r="G480" s="251"/>
      <c r="H480" s="251"/>
      <c r="I480" s="251"/>
      <c r="L480" s="251"/>
    </row>
    <row r="481" spans="4:12" ht="15.75" customHeight="1" x14ac:dyDescent="0.25">
      <c r="D481" s="251"/>
      <c r="E481" s="251"/>
      <c r="F481" s="251"/>
      <c r="G481" s="251"/>
      <c r="H481" s="251"/>
      <c r="I481" s="251"/>
      <c r="L481" s="251"/>
    </row>
    <row r="482" spans="4:12" ht="15.75" customHeight="1" x14ac:dyDescent="0.25">
      <c r="D482" s="251"/>
      <c r="E482" s="251"/>
      <c r="F482" s="251"/>
      <c r="G482" s="251"/>
      <c r="H482" s="251"/>
      <c r="I482" s="251"/>
      <c r="L482" s="251"/>
    </row>
    <row r="483" spans="4:12" ht="15.75" customHeight="1" x14ac:dyDescent="0.25">
      <c r="D483" s="251"/>
      <c r="E483" s="251"/>
      <c r="F483" s="251"/>
      <c r="G483" s="251"/>
      <c r="H483" s="251"/>
      <c r="I483" s="251"/>
      <c r="L483" s="251"/>
    </row>
    <row r="484" spans="4:12" ht="15.75" customHeight="1" x14ac:dyDescent="0.25">
      <c r="D484" s="251"/>
      <c r="E484" s="251"/>
      <c r="F484" s="251"/>
      <c r="G484" s="251"/>
      <c r="H484" s="251"/>
      <c r="I484" s="251"/>
      <c r="L484" s="251"/>
    </row>
    <row r="485" spans="4:12" ht="15.75" customHeight="1" x14ac:dyDescent="0.25">
      <c r="D485" s="251"/>
      <c r="E485" s="251"/>
      <c r="F485" s="251"/>
      <c r="G485" s="251"/>
      <c r="H485" s="251"/>
      <c r="I485" s="251"/>
      <c r="L485" s="251"/>
    </row>
    <row r="486" spans="4:12" ht="15.75" customHeight="1" x14ac:dyDescent="0.25">
      <c r="D486" s="251"/>
      <c r="E486" s="251"/>
      <c r="F486" s="251"/>
      <c r="G486" s="251"/>
      <c r="H486" s="251"/>
      <c r="I486" s="251"/>
      <c r="L486" s="251"/>
    </row>
    <row r="487" spans="4:12" ht="15.75" customHeight="1" x14ac:dyDescent="0.25">
      <c r="D487" s="251"/>
      <c r="E487" s="251"/>
      <c r="F487" s="251"/>
      <c r="G487" s="251"/>
      <c r="H487" s="251"/>
      <c r="I487" s="251"/>
      <c r="L487" s="251"/>
    </row>
    <row r="488" spans="4:12" ht="15.75" customHeight="1" x14ac:dyDescent="0.25">
      <c r="D488" s="251"/>
      <c r="E488" s="251"/>
      <c r="F488" s="251"/>
      <c r="G488" s="251"/>
      <c r="H488" s="251"/>
      <c r="I488" s="251"/>
      <c r="L488" s="251"/>
    </row>
    <row r="489" spans="4:12" ht="15.75" customHeight="1" x14ac:dyDescent="0.25">
      <c r="D489" s="251"/>
      <c r="E489" s="251"/>
      <c r="F489" s="251"/>
      <c r="G489" s="251"/>
      <c r="H489" s="251"/>
      <c r="I489" s="251"/>
      <c r="L489" s="251"/>
    </row>
    <row r="490" spans="4:12" ht="15.75" customHeight="1" x14ac:dyDescent="0.25">
      <c r="D490" s="251"/>
      <c r="E490" s="251"/>
      <c r="F490" s="251"/>
      <c r="G490" s="251"/>
      <c r="H490" s="251"/>
      <c r="I490" s="251"/>
      <c r="L490" s="251"/>
    </row>
    <row r="491" spans="4:12" ht="15.75" customHeight="1" x14ac:dyDescent="0.25">
      <c r="D491" s="251"/>
      <c r="E491" s="251"/>
      <c r="F491" s="251"/>
      <c r="G491" s="251"/>
      <c r="H491" s="251"/>
      <c r="I491" s="251"/>
      <c r="L491" s="251"/>
    </row>
    <row r="492" spans="4:12" ht="15.75" customHeight="1" x14ac:dyDescent="0.25">
      <c r="D492" s="251"/>
      <c r="E492" s="251"/>
      <c r="F492" s="251"/>
      <c r="G492" s="251"/>
      <c r="H492" s="251"/>
      <c r="I492" s="251"/>
      <c r="L492" s="251"/>
    </row>
    <row r="493" spans="4:12" ht="15.75" customHeight="1" x14ac:dyDescent="0.25">
      <c r="D493" s="251"/>
      <c r="E493" s="251"/>
      <c r="F493" s="251"/>
      <c r="G493" s="251"/>
      <c r="H493" s="251"/>
      <c r="I493" s="251"/>
      <c r="L493" s="251"/>
    </row>
    <row r="494" spans="4:12" ht="15.75" customHeight="1" x14ac:dyDescent="0.25">
      <c r="D494" s="251"/>
      <c r="E494" s="251"/>
      <c r="F494" s="251"/>
      <c r="G494" s="251"/>
      <c r="H494" s="251"/>
      <c r="I494" s="251"/>
      <c r="L494" s="251"/>
    </row>
    <row r="495" spans="4:12" ht="15.75" customHeight="1" x14ac:dyDescent="0.25">
      <c r="D495" s="251"/>
      <c r="E495" s="251"/>
      <c r="F495" s="251"/>
      <c r="G495" s="251"/>
      <c r="H495" s="251"/>
      <c r="I495" s="251"/>
      <c r="L495" s="251"/>
    </row>
    <row r="496" spans="4:12" ht="15.75" customHeight="1" x14ac:dyDescent="0.25">
      <c r="D496" s="251"/>
      <c r="E496" s="251"/>
      <c r="F496" s="251"/>
      <c r="G496" s="251"/>
      <c r="H496" s="251"/>
      <c r="I496" s="251"/>
      <c r="L496" s="251"/>
    </row>
    <row r="497" spans="4:12" ht="15.75" customHeight="1" x14ac:dyDescent="0.25">
      <c r="D497" s="251"/>
      <c r="E497" s="251"/>
      <c r="F497" s="251"/>
      <c r="G497" s="251"/>
      <c r="H497" s="251"/>
      <c r="I497" s="251"/>
      <c r="L497" s="251"/>
    </row>
    <row r="498" spans="4:12" ht="15.75" customHeight="1" x14ac:dyDescent="0.25">
      <c r="D498" s="251"/>
      <c r="E498" s="251"/>
      <c r="F498" s="251"/>
      <c r="G498" s="251"/>
      <c r="H498" s="251"/>
      <c r="I498" s="251"/>
      <c r="L498" s="251"/>
    </row>
    <row r="499" spans="4:12" ht="15.75" customHeight="1" x14ac:dyDescent="0.25">
      <c r="D499" s="251"/>
      <c r="E499" s="251"/>
      <c r="F499" s="251"/>
      <c r="G499" s="251"/>
      <c r="H499" s="251"/>
      <c r="I499" s="251"/>
      <c r="L499" s="251"/>
    </row>
    <row r="500" spans="4:12" ht="15.75" customHeight="1" x14ac:dyDescent="0.25">
      <c r="D500" s="251"/>
      <c r="E500" s="251"/>
      <c r="F500" s="251"/>
      <c r="G500" s="251"/>
      <c r="H500" s="251"/>
      <c r="I500" s="251"/>
      <c r="L500" s="251"/>
    </row>
    <row r="501" spans="4:12" ht="15.75" customHeight="1" x14ac:dyDescent="0.25">
      <c r="D501" s="251"/>
      <c r="E501" s="251"/>
      <c r="F501" s="251"/>
      <c r="G501" s="251"/>
      <c r="H501" s="251"/>
      <c r="I501" s="251"/>
      <c r="L501" s="251"/>
    </row>
    <row r="502" spans="4:12" ht="15.75" customHeight="1" x14ac:dyDescent="0.25">
      <c r="D502" s="251"/>
      <c r="E502" s="251"/>
      <c r="F502" s="251"/>
      <c r="G502" s="251"/>
      <c r="H502" s="251"/>
      <c r="I502" s="251"/>
      <c r="L502" s="251"/>
    </row>
    <row r="503" spans="4:12" ht="15.75" customHeight="1" x14ac:dyDescent="0.25">
      <c r="D503" s="251"/>
      <c r="E503" s="251"/>
      <c r="F503" s="251"/>
      <c r="G503" s="251"/>
      <c r="H503" s="251"/>
      <c r="I503" s="251"/>
      <c r="L503" s="251"/>
    </row>
    <row r="504" spans="4:12" ht="15.75" customHeight="1" x14ac:dyDescent="0.25">
      <c r="D504" s="251"/>
      <c r="E504" s="251"/>
      <c r="F504" s="251"/>
      <c r="G504" s="251"/>
      <c r="H504" s="251"/>
      <c r="I504" s="251"/>
      <c r="L504" s="251"/>
    </row>
    <row r="505" spans="4:12" ht="15.75" customHeight="1" x14ac:dyDescent="0.25">
      <c r="D505" s="251"/>
      <c r="E505" s="251"/>
      <c r="F505" s="251"/>
      <c r="G505" s="251"/>
      <c r="H505" s="251"/>
      <c r="I505" s="251"/>
      <c r="L505" s="251"/>
    </row>
    <row r="506" spans="4:12" ht="15.75" customHeight="1" x14ac:dyDescent="0.25">
      <c r="D506" s="251"/>
      <c r="E506" s="251"/>
      <c r="F506" s="251"/>
      <c r="G506" s="251"/>
      <c r="H506" s="251"/>
      <c r="I506" s="251"/>
      <c r="L506" s="251"/>
    </row>
    <row r="507" spans="4:12" ht="15.75" customHeight="1" x14ac:dyDescent="0.25">
      <c r="D507" s="251"/>
      <c r="E507" s="251"/>
      <c r="F507" s="251"/>
      <c r="G507" s="251"/>
      <c r="H507" s="251"/>
      <c r="I507" s="251"/>
      <c r="L507" s="251"/>
    </row>
    <row r="508" spans="4:12" ht="15.75" customHeight="1" x14ac:dyDescent="0.25">
      <c r="D508" s="251"/>
      <c r="E508" s="251"/>
      <c r="F508" s="251"/>
      <c r="G508" s="251"/>
      <c r="H508" s="251"/>
      <c r="I508" s="251"/>
      <c r="L508" s="251"/>
    </row>
    <row r="509" spans="4:12" ht="15.75" customHeight="1" x14ac:dyDescent="0.25">
      <c r="D509" s="251"/>
      <c r="E509" s="251"/>
      <c r="F509" s="251"/>
      <c r="G509" s="251"/>
      <c r="H509" s="251"/>
      <c r="I509" s="251"/>
      <c r="L509" s="251"/>
    </row>
    <row r="510" spans="4:12" ht="15.75" customHeight="1" x14ac:dyDescent="0.25">
      <c r="D510" s="251"/>
      <c r="E510" s="251"/>
      <c r="F510" s="251"/>
      <c r="G510" s="251"/>
      <c r="H510" s="251"/>
      <c r="I510" s="251"/>
      <c r="L510" s="251"/>
    </row>
    <row r="511" spans="4:12" ht="15.75" customHeight="1" x14ac:dyDescent="0.25">
      <c r="D511" s="251"/>
      <c r="E511" s="251"/>
      <c r="F511" s="251"/>
      <c r="G511" s="251"/>
      <c r="H511" s="251"/>
      <c r="I511" s="251"/>
      <c r="L511" s="251"/>
    </row>
    <row r="512" spans="4:12" ht="15.75" customHeight="1" x14ac:dyDescent="0.25">
      <c r="D512" s="251"/>
      <c r="E512" s="251"/>
      <c r="F512" s="251"/>
      <c r="G512" s="251"/>
      <c r="H512" s="251"/>
      <c r="I512" s="251"/>
      <c r="L512" s="251"/>
    </row>
    <row r="513" spans="4:12" ht="15.75" customHeight="1" x14ac:dyDescent="0.25">
      <c r="D513" s="251"/>
      <c r="E513" s="251"/>
      <c r="F513" s="251"/>
      <c r="G513" s="251"/>
      <c r="H513" s="251"/>
      <c r="I513" s="251"/>
      <c r="L513" s="251"/>
    </row>
    <row r="514" spans="4:12" ht="15.75" customHeight="1" x14ac:dyDescent="0.25">
      <c r="D514" s="251"/>
      <c r="E514" s="251"/>
      <c r="F514" s="251"/>
      <c r="G514" s="251"/>
      <c r="H514" s="251"/>
      <c r="I514" s="251"/>
      <c r="L514" s="251"/>
    </row>
    <row r="515" spans="4:12" ht="15.75" customHeight="1" x14ac:dyDescent="0.25">
      <c r="D515" s="251"/>
      <c r="E515" s="251"/>
      <c r="F515" s="251"/>
      <c r="G515" s="251"/>
      <c r="H515" s="251"/>
      <c r="I515" s="251"/>
      <c r="L515" s="251"/>
    </row>
    <row r="516" spans="4:12" ht="15.75" customHeight="1" x14ac:dyDescent="0.25">
      <c r="D516" s="251"/>
      <c r="E516" s="251"/>
      <c r="F516" s="251"/>
      <c r="G516" s="251"/>
      <c r="H516" s="251"/>
      <c r="I516" s="251"/>
      <c r="L516" s="251"/>
    </row>
    <row r="517" spans="4:12" ht="15.75" customHeight="1" x14ac:dyDescent="0.25">
      <c r="D517" s="251"/>
      <c r="E517" s="251"/>
      <c r="F517" s="251"/>
      <c r="G517" s="251"/>
      <c r="H517" s="251"/>
      <c r="I517" s="251"/>
      <c r="L517" s="251"/>
    </row>
    <row r="518" spans="4:12" ht="15.75" customHeight="1" x14ac:dyDescent="0.25">
      <c r="D518" s="251"/>
      <c r="E518" s="251"/>
      <c r="F518" s="251"/>
      <c r="G518" s="251"/>
      <c r="H518" s="251"/>
      <c r="I518" s="251"/>
      <c r="L518" s="251"/>
    </row>
    <row r="519" spans="4:12" ht="15.75" customHeight="1" x14ac:dyDescent="0.25">
      <c r="D519" s="251"/>
      <c r="E519" s="251"/>
      <c r="F519" s="251"/>
      <c r="G519" s="251"/>
      <c r="H519" s="251"/>
      <c r="I519" s="251"/>
      <c r="L519" s="251"/>
    </row>
    <row r="520" spans="4:12" ht="15.75" customHeight="1" x14ac:dyDescent="0.25">
      <c r="D520" s="251"/>
      <c r="E520" s="251"/>
      <c r="F520" s="251"/>
      <c r="G520" s="251"/>
      <c r="H520" s="251"/>
      <c r="I520" s="251"/>
      <c r="L520" s="251"/>
    </row>
    <row r="521" spans="4:12" ht="15.75" customHeight="1" x14ac:dyDescent="0.25">
      <c r="D521" s="251"/>
      <c r="E521" s="251"/>
      <c r="F521" s="251"/>
      <c r="G521" s="251"/>
      <c r="H521" s="251"/>
      <c r="I521" s="251"/>
      <c r="L521" s="251"/>
    </row>
    <row r="522" spans="4:12" ht="15.75" customHeight="1" x14ac:dyDescent="0.25">
      <c r="D522" s="251"/>
      <c r="E522" s="251"/>
      <c r="F522" s="251"/>
      <c r="G522" s="251"/>
      <c r="H522" s="251"/>
      <c r="I522" s="251"/>
      <c r="L522" s="251"/>
    </row>
    <row r="523" spans="4:12" ht="15.75" customHeight="1" x14ac:dyDescent="0.25">
      <c r="D523" s="251"/>
      <c r="E523" s="251"/>
      <c r="F523" s="251"/>
      <c r="G523" s="251"/>
      <c r="H523" s="251"/>
      <c r="I523" s="251"/>
      <c r="L523" s="251"/>
    </row>
    <row r="524" spans="4:12" ht="15.75" customHeight="1" x14ac:dyDescent="0.25">
      <c r="D524" s="251"/>
      <c r="E524" s="251"/>
      <c r="F524" s="251"/>
      <c r="G524" s="251"/>
      <c r="H524" s="251"/>
      <c r="I524" s="251"/>
      <c r="L524" s="251"/>
    </row>
    <row r="525" spans="4:12" ht="15.75" customHeight="1" x14ac:dyDescent="0.25">
      <c r="D525" s="251"/>
      <c r="E525" s="251"/>
      <c r="F525" s="251"/>
      <c r="G525" s="251"/>
      <c r="H525" s="251"/>
      <c r="I525" s="251"/>
      <c r="L525" s="251"/>
    </row>
    <row r="526" spans="4:12" ht="15.75" customHeight="1" x14ac:dyDescent="0.25">
      <c r="D526" s="251"/>
      <c r="E526" s="251"/>
      <c r="F526" s="251"/>
      <c r="G526" s="251"/>
      <c r="H526" s="251"/>
      <c r="I526" s="251"/>
      <c r="L526" s="251"/>
    </row>
    <row r="527" spans="4:12" ht="15.75" customHeight="1" x14ac:dyDescent="0.25">
      <c r="D527" s="251"/>
      <c r="E527" s="251"/>
      <c r="F527" s="251"/>
      <c r="G527" s="251"/>
      <c r="H527" s="251"/>
      <c r="I527" s="251"/>
      <c r="L527" s="251"/>
    </row>
    <row r="528" spans="4:12" ht="15.75" customHeight="1" x14ac:dyDescent="0.25">
      <c r="D528" s="251"/>
      <c r="E528" s="251"/>
      <c r="F528" s="251"/>
      <c r="G528" s="251"/>
      <c r="H528" s="251"/>
      <c r="I528" s="251"/>
      <c r="L528" s="251"/>
    </row>
    <row r="529" spans="4:12" ht="15.75" customHeight="1" x14ac:dyDescent="0.25">
      <c r="D529" s="251"/>
      <c r="E529" s="251"/>
      <c r="F529" s="251"/>
      <c r="G529" s="251"/>
      <c r="H529" s="251"/>
      <c r="I529" s="251"/>
      <c r="L529" s="251"/>
    </row>
    <row r="530" spans="4:12" ht="15.75" customHeight="1" x14ac:dyDescent="0.25">
      <c r="D530" s="251"/>
      <c r="E530" s="251"/>
      <c r="F530" s="251"/>
      <c r="G530" s="251"/>
      <c r="H530" s="251"/>
      <c r="I530" s="251"/>
      <c r="L530" s="251"/>
    </row>
    <row r="531" spans="4:12" ht="15.75" customHeight="1" x14ac:dyDescent="0.25">
      <c r="D531" s="251"/>
      <c r="E531" s="251"/>
      <c r="F531" s="251"/>
      <c r="G531" s="251"/>
      <c r="H531" s="251"/>
      <c r="I531" s="251"/>
      <c r="L531" s="251"/>
    </row>
    <row r="532" spans="4:12" ht="15.75" customHeight="1" x14ac:dyDescent="0.25">
      <c r="D532" s="251"/>
      <c r="E532" s="251"/>
      <c r="F532" s="251"/>
      <c r="G532" s="251"/>
      <c r="H532" s="251"/>
      <c r="I532" s="251"/>
      <c r="L532" s="251"/>
    </row>
    <row r="533" spans="4:12" ht="15.75" customHeight="1" x14ac:dyDescent="0.25">
      <c r="D533" s="251"/>
      <c r="E533" s="251"/>
      <c r="F533" s="251"/>
      <c r="G533" s="251"/>
      <c r="H533" s="251"/>
      <c r="I533" s="251"/>
      <c r="L533" s="251"/>
    </row>
    <row r="534" spans="4:12" ht="15.75" customHeight="1" x14ac:dyDescent="0.25">
      <c r="D534" s="251"/>
      <c r="E534" s="251"/>
      <c r="F534" s="251"/>
      <c r="G534" s="251"/>
      <c r="H534" s="251"/>
      <c r="I534" s="251"/>
      <c r="L534" s="251"/>
    </row>
    <row r="535" spans="4:12" ht="15.75" customHeight="1" x14ac:dyDescent="0.25">
      <c r="D535" s="251"/>
      <c r="E535" s="251"/>
      <c r="F535" s="251"/>
      <c r="G535" s="251"/>
      <c r="H535" s="251"/>
      <c r="I535" s="251"/>
      <c r="L535" s="251"/>
    </row>
    <row r="536" spans="4:12" ht="15.75" customHeight="1" x14ac:dyDescent="0.25">
      <c r="D536" s="251"/>
      <c r="E536" s="251"/>
      <c r="F536" s="251"/>
      <c r="G536" s="251"/>
      <c r="H536" s="251"/>
      <c r="I536" s="251"/>
      <c r="L536" s="251"/>
    </row>
    <row r="537" spans="4:12" ht="15.75" customHeight="1" x14ac:dyDescent="0.25">
      <c r="D537" s="251"/>
      <c r="E537" s="251"/>
      <c r="F537" s="251"/>
      <c r="G537" s="251"/>
      <c r="H537" s="251"/>
      <c r="I537" s="251"/>
      <c r="L537" s="251"/>
    </row>
    <row r="538" spans="4:12" ht="15.75" customHeight="1" x14ac:dyDescent="0.25">
      <c r="D538" s="251"/>
      <c r="E538" s="251"/>
      <c r="F538" s="251"/>
      <c r="G538" s="251"/>
      <c r="H538" s="251"/>
      <c r="I538" s="251"/>
      <c r="L538" s="251"/>
    </row>
    <row r="539" spans="4:12" ht="15.75" customHeight="1" x14ac:dyDescent="0.25">
      <c r="D539" s="251"/>
      <c r="E539" s="251"/>
      <c r="F539" s="251"/>
      <c r="G539" s="251"/>
      <c r="H539" s="251"/>
      <c r="I539" s="251"/>
      <c r="L539" s="251"/>
    </row>
    <row r="540" spans="4:12" ht="15.75" customHeight="1" x14ac:dyDescent="0.25">
      <c r="D540" s="251"/>
      <c r="E540" s="251"/>
      <c r="F540" s="251"/>
      <c r="G540" s="251"/>
      <c r="H540" s="251"/>
      <c r="I540" s="251"/>
      <c r="L540" s="251"/>
    </row>
    <row r="541" spans="4:12" ht="15.75" customHeight="1" x14ac:dyDescent="0.25">
      <c r="D541" s="251"/>
      <c r="E541" s="251"/>
      <c r="F541" s="251"/>
      <c r="G541" s="251"/>
      <c r="H541" s="251"/>
      <c r="I541" s="251"/>
      <c r="L541" s="251"/>
    </row>
    <row r="542" spans="4:12" ht="15.75" customHeight="1" x14ac:dyDescent="0.25">
      <c r="D542" s="251"/>
      <c r="E542" s="251"/>
      <c r="F542" s="251"/>
      <c r="G542" s="251"/>
      <c r="H542" s="251"/>
      <c r="I542" s="251"/>
      <c r="L542" s="251"/>
    </row>
    <row r="543" spans="4:12" ht="15.75" customHeight="1" x14ac:dyDescent="0.25">
      <c r="D543" s="251"/>
      <c r="E543" s="251"/>
      <c r="F543" s="251"/>
      <c r="G543" s="251"/>
      <c r="H543" s="251"/>
      <c r="I543" s="251"/>
      <c r="L543" s="251"/>
    </row>
    <row r="544" spans="4:12" ht="15.75" customHeight="1" x14ac:dyDescent="0.25">
      <c r="D544" s="251"/>
      <c r="E544" s="251"/>
      <c r="F544" s="251"/>
      <c r="G544" s="251"/>
      <c r="H544" s="251"/>
      <c r="I544" s="251"/>
      <c r="L544" s="251"/>
    </row>
    <row r="545" spans="4:12" ht="15.75" customHeight="1" x14ac:dyDescent="0.25">
      <c r="D545" s="251"/>
      <c r="E545" s="251"/>
      <c r="F545" s="251"/>
      <c r="G545" s="251"/>
      <c r="H545" s="251"/>
      <c r="I545" s="251"/>
      <c r="L545" s="251"/>
    </row>
    <row r="546" spans="4:12" ht="15.75" customHeight="1" x14ac:dyDescent="0.25">
      <c r="D546" s="251"/>
      <c r="E546" s="251"/>
      <c r="F546" s="251"/>
      <c r="G546" s="251"/>
      <c r="H546" s="251"/>
      <c r="I546" s="251"/>
      <c r="L546" s="251"/>
    </row>
    <row r="547" spans="4:12" ht="15.75" customHeight="1" x14ac:dyDescent="0.25">
      <c r="D547" s="251"/>
      <c r="E547" s="251"/>
      <c r="F547" s="251"/>
      <c r="G547" s="251"/>
      <c r="H547" s="251"/>
      <c r="I547" s="251"/>
      <c r="L547" s="251"/>
    </row>
    <row r="548" spans="4:12" ht="15.75" customHeight="1" x14ac:dyDescent="0.25">
      <c r="D548" s="251"/>
      <c r="E548" s="251"/>
      <c r="F548" s="251"/>
      <c r="G548" s="251"/>
      <c r="H548" s="251"/>
      <c r="I548" s="251"/>
      <c r="L548" s="251"/>
    </row>
    <row r="549" spans="4:12" ht="15.75" customHeight="1" x14ac:dyDescent="0.25">
      <c r="D549" s="251"/>
      <c r="E549" s="251"/>
      <c r="F549" s="251"/>
      <c r="G549" s="251"/>
      <c r="H549" s="251"/>
      <c r="I549" s="251"/>
      <c r="L549" s="251"/>
    </row>
    <row r="550" spans="4:12" ht="15.75" customHeight="1" x14ac:dyDescent="0.25">
      <c r="D550" s="251"/>
      <c r="E550" s="251"/>
      <c r="F550" s="251"/>
      <c r="G550" s="251"/>
      <c r="H550" s="251"/>
      <c r="I550" s="251"/>
      <c r="L550" s="251"/>
    </row>
    <row r="551" spans="4:12" ht="15.75" customHeight="1" x14ac:dyDescent="0.25">
      <c r="D551" s="251"/>
      <c r="E551" s="251"/>
      <c r="F551" s="251"/>
      <c r="G551" s="251"/>
      <c r="H551" s="251"/>
      <c r="I551" s="251"/>
      <c r="L551" s="251"/>
    </row>
    <row r="552" spans="4:12" ht="15.75" customHeight="1" x14ac:dyDescent="0.25">
      <c r="D552" s="251"/>
      <c r="E552" s="251"/>
      <c r="F552" s="251"/>
      <c r="G552" s="251"/>
      <c r="H552" s="251"/>
      <c r="I552" s="251"/>
      <c r="L552" s="251"/>
    </row>
    <row r="553" spans="4:12" ht="15.75" customHeight="1" x14ac:dyDescent="0.25">
      <c r="D553" s="251"/>
      <c r="E553" s="251"/>
      <c r="F553" s="251"/>
      <c r="G553" s="251"/>
      <c r="H553" s="251"/>
      <c r="I553" s="251"/>
      <c r="L553" s="251"/>
    </row>
    <row r="554" spans="4:12" ht="15.75" customHeight="1" x14ac:dyDescent="0.25">
      <c r="D554" s="251"/>
      <c r="E554" s="251"/>
      <c r="F554" s="251"/>
      <c r="G554" s="251"/>
      <c r="H554" s="251"/>
      <c r="I554" s="251"/>
      <c r="L554" s="251"/>
    </row>
    <row r="555" spans="4:12" ht="15.75" customHeight="1" x14ac:dyDescent="0.25">
      <c r="D555" s="251"/>
      <c r="E555" s="251"/>
      <c r="F555" s="251"/>
      <c r="G555" s="251"/>
      <c r="H555" s="251"/>
      <c r="I555" s="251"/>
      <c r="L555" s="251"/>
    </row>
    <row r="556" spans="4:12" ht="15.75" customHeight="1" x14ac:dyDescent="0.25">
      <c r="D556" s="251"/>
      <c r="E556" s="251"/>
      <c r="F556" s="251"/>
      <c r="G556" s="251"/>
      <c r="H556" s="251"/>
      <c r="I556" s="251"/>
      <c r="L556" s="251"/>
    </row>
    <row r="557" spans="4:12" ht="15.75" customHeight="1" x14ac:dyDescent="0.25">
      <c r="D557" s="251"/>
      <c r="E557" s="251"/>
      <c r="F557" s="251"/>
      <c r="G557" s="251"/>
      <c r="H557" s="251"/>
      <c r="I557" s="251"/>
      <c r="L557" s="251"/>
    </row>
    <row r="558" spans="4:12" ht="15.75" customHeight="1" x14ac:dyDescent="0.25">
      <c r="D558" s="251"/>
      <c r="E558" s="251"/>
      <c r="F558" s="251"/>
      <c r="G558" s="251"/>
      <c r="H558" s="251"/>
      <c r="I558" s="251"/>
      <c r="L558" s="251"/>
    </row>
    <row r="559" spans="4:12" ht="15.75" customHeight="1" x14ac:dyDescent="0.25">
      <c r="D559" s="251"/>
      <c r="E559" s="251"/>
      <c r="F559" s="251"/>
      <c r="G559" s="251"/>
      <c r="H559" s="251"/>
      <c r="I559" s="251"/>
      <c r="L559" s="251"/>
    </row>
    <row r="560" spans="4:12" ht="15.75" customHeight="1" x14ac:dyDescent="0.25">
      <c r="D560" s="251"/>
      <c r="E560" s="251"/>
      <c r="F560" s="251"/>
      <c r="G560" s="251"/>
      <c r="H560" s="251"/>
      <c r="I560" s="251"/>
      <c r="L560" s="251"/>
    </row>
    <row r="561" spans="4:12" ht="15.75" customHeight="1" x14ac:dyDescent="0.25">
      <c r="D561" s="251"/>
      <c r="E561" s="251"/>
      <c r="F561" s="251"/>
      <c r="G561" s="251"/>
      <c r="H561" s="251"/>
      <c r="I561" s="251"/>
      <c r="L561" s="251"/>
    </row>
    <row r="562" spans="4:12" ht="15.75" customHeight="1" x14ac:dyDescent="0.25">
      <c r="D562" s="251"/>
      <c r="E562" s="251"/>
      <c r="F562" s="251"/>
      <c r="G562" s="251"/>
      <c r="H562" s="251"/>
      <c r="I562" s="251"/>
      <c r="L562" s="251"/>
    </row>
    <row r="563" spans="4:12" ht="15.75" customHeight="1" x14ac:dyDescent="0.25">
      <c r="D563" s="251"/>
      <c r="E563" s="251"/>
      <c r="F563" s="251"/>
      <c r="G563" s="251"/>
      <c r="H563" s="251"/>
      <c r="I563" s="251"/>
      <c r="L563" s="251"/>
    </row>
    <row r="564" spans="4:12" ht="15.75" customHeight="1" x14ac:dyDescent="0.25">
      <c r="D564" s="251"/>
      <c r="E564" s="251"/>
      <c r="F564" s="251"/>
      <c r="G564" s="251"/>
      <c r="H564" s="251"/>
      <c r="I564" s="251"/>
      <c r="L564" s="251"/>
    </row>
    <row r="565" spans="4:12" ht="15.75" customHeight="1" x14ac:dyDescent="0.25">
      <c r="D565" s="251"/>
      <c r="E565" s="251"/>
      <c r="F565" s="251"/>
      <c r="G565" s="251"/>
      <c r="H565" s="251"/>
      <c r="I565" s="251"/>
      <c r="L565" s="251"/>
    </row>
    <row r="566" spans="4:12" ht="15.75" customHeight="1" x14ac:dyDescent="0.25">
      <c r="D566" s="251"/>
      <c r="E566" s="251"/>
      <c r="F566" s="251"/>
      <c r="G566" s="251"/>
      <c r="H566" s="251"/>
      <c r="I566" s="251"/>
      <c r="L566" s="251"/>
    </row>
    <row r="567" spans="4:12" ht="15.75" customHeight="1" x14ac:dyDescent="0.25">
      <c r="D567" s="251"/>
      <c r="E567" s="251"/>
      <c r="F567" s="251"/>
      <c r="G567" s="251"/>
      <c r="H567" s="251"/>
      <c r="I567" s="251"/>
      <c r="L567" s="251"/>
    </row>
    <row r="568" spans="4:12" ht="15.75" customHeight="1" x14ac:dyDescent="0.25">
      <c r="D568" s="251"/>
      <c r="E568" s="251"/>
      <c r="F568" s="251"/>
      <c r="G568" s="251"/>
      <c r="H568" s="251"/>
      <c r="I568" s="251"/>
      <c r="L568" s="251"/>
    </row>
    <row r="569" spans="4:12" ht="15.75" customHeight="1" x14ac:dyDescent="0.25">
      <c r="D569" s="251"/>
      <c r="E569" s="251"/>
      <c r="F569" s="251"/>
      <c r="G569" s="251"/>
      <c r="H569" s="251"/>
      <c r="I569" s="251"/>
      <c r="L569" s="251"/>
    </row>
    <row r="570" spans="4:12" ht="15.75" customHeight="1" x14ac:dyDescent="0.25">
      <c r="D570" s="251"/>
      <c r="E570" s="251"/>
      <c r="F570" s="251"/>
      <c r="G570" s="251"/>
      <c r="H570" s="251"/>
      <c r="I570" s="251"/>
      <c r="L570" s="251"/>
    </row>
    <row r="571" spans="4:12" ht="15.75" customHeight="1" x14ac:dyDescent="0.25">
      <c r="D571" s="251"/>
      <c r="E571" s="251"/>
      <c r="F571" s="251"/>
      <c r="G571" s="251"/>
      <c r="H571" s="251"/>
      <c r="I571" s="251"/>
      <c r="L571" s="251"/>
    </row>
    <row r="572" spans="4:12" ht="15.75" customHeight="1" x14ac:dyDescent="0.25">
      <c r="D572" s="251"/>
      <c r="E572" s="251"/>
      <c r="F572" s="251"/>
      <c r="G572" s="251"/>
      <c r="H572" s="251"/>
      <c r="I572" s="251"/>
      <c r="L572" s="251"/>
    </row>
    <row r="573" spans="4:12" ht="15.75" customHeight="1" x14ac:dyDescent="0.25">
      <c r="D573" s="251"/>
      <c r="E573" s="251"/>
      <c r="F573" s="251"/>
      <c r="G573" s="251"/>
      <c r="H573" s="251"/>
      <c r="I573" s="251"/>
      <c r="L573" s="251"/>
    </row>
    <row r="574" spans="4:12" ht="15.75" customHeight="1" x14ac:dyDescent="0.25">
      <c r="D574" s="251"/>
      <c r="E574" s="251"/>
      <c r="F574" s="251"/>
      <c r="G574" s="251"/>
      <c r="H574" s="251"/>
      <c r="I574" s="251"/>
      <c r="L574" s="251"/>
    </row>
    <row r="575" spans="4:12" ht="15.75" customHeight="1" x14ac:dyDescent="0.25">
      <c r="D575" s="251"/>
      <c r="E575" s="251"/>
      <c r="F575" s="251"/>
      <c r="G575" s="251"/>
      <c r="H575" s="251"/>
      <c r="I575" s="251"/>
      <c r="L575" s="251"/>
    </row>
    <row r="576" spans="4:12" ht="15.75" customHeight="1" x14ac:dyDescent="0.25">
      <c r="D576" s="251"/>
      <c r="E576" s="251"/>
      <c r="F576" s="251"/>
      <c r="G576" s="251"/>
      <c r="H576" s="251"/>
      <c r="I576" s="251"/>
      <c r="L576" s="251"/>
    </row>
    <row r="577" spans="4:12" ht="15.75" customHeight="1" x14ac:dyDescent="0.25">
      <c r="D577" s="251"/>
      <c r="E577" s="251"/>
      <c r="F577" s="251"/>
      <c r="G577" s="251"/>
      <c r="H577" s="251"/>
      <c r="I577" s="251"/>
      <c r="L577" s="251"/>
    </row>
    <row r="578" spans="4:12" ht="15.75" customHeight="1" x14ac:dyDescent="0.25">
      <c r="D578" s="251"/>
      <c r="E578" s="251"/>
      <c r="F578" s="251"/>
      <c r="G578" s="251"/>
      <c r="H578" s="251"/>
      <c r="I578" s="251"/>
      <c r="L578" s="251"/>
    </row>
    <row r="579" spans="4:12" ht="15.75" customHeight="1" x14ac:dyDescent="0.25">
      <c r="D579" s="251"/>
      <c r="E579" s="251"/>
      <c r="F579" s="251"/>
      <c r="G579" s="251"/>
      <c r="H579" s="251"/>
      <c r="I579" s="251"/>
      <c r="L579" s="251"/>
    </row>
    <row r="580" spans="4:12" ht="15.75" customHeight="1" x14ac:dyDescent="0.25">
      <c r="D580" s="251"/>
      <c r="E580" s="251"/>
      <c r="F580" s="251"/>
      <c r="G580" s="251"/>
      <c r="H580" s="251"/>
      <c r="I580" s="251"/>
      <c r="L580" s="251"/>
    </row>
    <row r="581" spans="4:12" ht="15.75" customHeight="1" x14ac:dyDescent="0.25">
      <c r="D581" s="251"/>
      <c r="E581" s="251"/>
      <c r="F581" s="251"/>
      <c r="G581" s="251"/>
      <c r="H581" s="251"/>
      <c r="I581" s="251"/>
      <c r="L581" s="251"/>
    </row>
    <row r="582" spans="4:12" ht="15.75" customHeight="1" x14ac:dyDescent="0.25">
      <c r="D582" s="251"/>
      <c r="E582" s="251"/>
      <c r="F582" s="251"/>
      <c r="G582" s="251"/>
      <c r="H582" s="251"/>
      <c r="I582" s="251"/>
      <c r="L582" s="251"/>
    </row>
    <row r="583" spans="4:12" ht="15.75" customHeight="1" x14ac:dyDescent="0.25">
      <c r="D583" s="251"/>
      <c r="E583" s="251"/>
      <c r="F583" s="251"/>
      <c r="G583" s="251"/>
      <c r="H583" s="251"/>
      <c r="I583" s="251"/>
      <c r="L583" s="251"/>
    </row>
    <row r="584" spans="4:12" ht="15.75" customHeight="1" x14ac:dyDescent="0.25">
      <c r="D584" s="251"/>
      <c r="E584" s="251"/>
      <c r="F584" s="251"/>
      <c r="G584" s="251"/>
      <c r="H584" s="251"/>
      <c r="I584" s="251"/>
      <c r="L584" s="251"/>
    </row>
    <row r="585" spans="4:12" ht="15.75" customHeight="1" x14ac:dyDescent="0.25">
      <c r="D585" s="251"/>
      <c r="E585" s="251"/>
      <c r="F585" s="251"/>
      <c r="G585" s="251"/>
      <c r="H585" s="251"/>
      <c r="I585" s="251"/>
      <c r="L585" s="251"/>
    </row>
    <row r="586" spans="4:12" ht="15.75" customHeight="1" x14ac:dyDescent="0.25">
      <c r="D586" s="251"/>
      <c r="E586" s="251"/>
      <c r="F586" s="251"/>
      <c r="G586" s="251"/>
      <c r="H586" s="251"/>
      <c r="I586" s="251"/>
      <c r="L586" s="251"/>
    </row>
    <row r="587" spans="4:12" ht="15.75" customHeight="1" x14ac:dyDescent="0.25">
      <c r="D587" s="251"/>
      <c r="E587" s="251"/>
      <c r="F587" s="251"/>
      <c r="G587" s="251"/>
      <c r="H587" s="251"/>
      <c r="I587" s="251"/>
      <c r="L587" s="251"/>
    </row>
    <row r="588" spans="4:12" ht="15.75" customHeight="1" x14ac:dyDescent="0.25">
      <c r="D588" s="251"/>
      <c r="E588" s="251"/>
      <c r="F588" s="251"/>
      <c r="G588" s="251"/>
      <c r="H588" s="251"/>
      <c r="I588" s="251"/>
      <c r="L588" s="251"/>
    </row>
    <row r="589" spans="4:12" ht="15.75" customHeight="1" x14ac:dyDescent="0.25">
      <c r="D589" s="251"/>
      <c r="E589" s="251"/>
      <c r="F589" s="251"/>
      <c r="G589" s="251"/>
      <c r="H589" s="251"/>
      <c r="I589" s="251"/>
      <c r="L589" s="251"/>
    </row>
    <row r="590" spans="4:12" ht="15.75" customHeight="1" x14ac:dyDescent="0.25">
      <c r="D590" s="251"/>
      <c r="E590" s="251"/>
      <c r="F590" s="251"/>
      <c r="G590" s="251"/>
      <c r="H590" s="251"/>
      <c r="I590" s="251"/>
      <c r="L590" s="251"/>
    </row>
    <row r="591" spans="4:12" ht="15.75" customHeight="1" x14ac:dyDescent="0.25">
      <c r="D591" s="251"/>
      <c r="E591" s="251"/>
      <c r="F591" s="251"/>
      <c r="G591" s="251"/>
      <c r="H591" s="251"/>
      <c r="I591" s="251"/>
      <c r="L591" s="251"/>
    </row>
    <row r="592" spans="4:12" ht="15.75" customHeight="1" x14ac:dyDescent="0.25">
      <c r="D592" s="251"/>
      <c r="E592" s="251"/>
      <c r="F592" s="251"/>
      <c r="G592" s="251"/>
      <c r="H592" s="251"/>
      <c r="I592" s="251"/>
      <c r="L592" s="251"/>
    </row>
    <row r="593" spans="4:12" ht="15.75" customHeight="1" x14ac:dyDescent="0.25">
      <c r="D593" s="251"/>
      <c r="E593" s="251"/>
      <c r="F593" s="251"/>
      <c r="G593" s="251"/>
      <c r="H593" s="251"/>
      <c r="I593" s="251"/>
      <c r="L593" s="251"/>
    </row>
    <row r="594" spans="4:12" ht="15.75" customHeight="1" x14ac:dyDescent="0.25">
      <c r="D594" s="251"/>
      <c r="E594" s="251"/>
      <c r="F594" s="251"/>
      <c r="G594" s="251"/>
      <c r="H594" s="251"/>
      <c r="I594" s="251"/>
      <c r="L594" s="251"/>
    </row>
    <row r="595" spans="4:12" ht="15.75" customHeight="1" x14ac:dyDescent="0.25">
      <c r="D595" s="251"/>
      <c r="E595" s="251"/>
      <c r="F595" s="251"/>
      <c r="G595" s="251"/>
      <c r="H595" s="251"/>
      <c r="I595" s="251"/>
      <c r="L595" s="251"/>
    </row>
    <row r="596" spans="4:12" ht="15.75" customHeight="1" x14ac:dyDescent="0.25">
      <c r="D596" s="251"/>
      <c r="E596" s="251"/>
      <c r="F596" s="251"/>
      <c r="G596" s="251"/>
      <c r="H596" s="251"/>
      <c r="I596" s="251"/>
      <c r="L596" s="251"/>
    </row>
    <row r="597" spans="4:12" ht="15.75" customHeight="1" x14ac:dyDescent="0.25">
      <c r="D597" s="251"/>
      <c r="E597" s="251"/>
      <c r="F597" s="251"/>
      <c r="G597" s="251"/>
      <c r="H597" s="251"/>
      <c r="I597" s="251"/>
      <c r="L597" s="251"/>
    </row>
    <row r="598" spans="4:12" ht="15.75" customHeight="1" x14ac:dyDescent="0.25">
      <c r="D598" s="251"/>
      <c r="E598" s="251"/>
      <c r="F598" s="251"/>
      <c r="G598" s="251"/>
      <c r="H598" s="251"/>
      <c r="I598" s="251"/>
      <c r="L598" s="251"/>
    </row>
    <row r="599" spans="4:12" ht="15.75" customHeight="1" x14ac:dyDescent="0.25">
      <c r="D599" s="251"/>
      <c r="E599" s="251"/>
      <c r="F599" s="251"/>
      <c r="G599" s="251"/>
      <c r="H599" s="251"/>
      <c r="I599" s="251"/>
      <c r="L599" s="251"/>
    </row>
    <row r="600" spans="4:12" ht="15.75" customHeight="1" x14ac:dyDescent="0.25">
      <c r="D600" s="251"/>
      <c r="E600" s="251"/>
      <c r="F600" s="251"/>
      <c r="G600" s="251"/>
      <c r="H600" s="251"/>
      <c r="I600" s="251"/>
      <c r="L600" s="251"/>
    </row>
    <row r="601" spans="4:12" ht="15.75" customHeight="1" x14ac:dyDescent="0.25">
      <c r="D601" s="251"/>
      <c r="E601" s="251"/>
      <c r="F601" s="251"/>
      <c r="G601" s="251"/>
      <c r="H601" s="251"/>
      <c r="I601" s="251"/>
      <c r="L601" s="251"/>
    </row>
    <row r="602" spans="4:12" ht="15.75" customHeight="1" x14ac:dyDescent="0.25">
      <c r="D602" s="251"/>
      <c r="E602" s="251"/>
      <c r="F602" s="251"/>
      <c r="G602" s="251"/>
      <c r="H602" s="251"/>
      <c r="I602" s="251"/>
      <c r="L602" s="251"/>
    </row>
    <row r="603" spans="4:12" ht="15.75" customHeight="1" x14ac:dyDescent="0.25">
      <c r="D603" s="251"/>
      <c r="E603" s="251"/>
      <c r="F603" s="251"/>
      <c r="G603" s="251"/>
      <c r="H603" s="251"/>
      <c r="I603" s="251"/>
      <c r="L603" s="251"/>
    </row>
    <row r="604" spans="4:12" ht="15.75" customHeight="1" x14ac:dyDescent="0.25">
      <c r="D604" s="251"/>
      <c r="E604" s="251"/>
      <c r="F604" s="251"/>
      <c r="G604" s="251"/>
      <c r="H604" s="251"/>
      <c r="I604" s="251"/>
      <c r="L604" s="251"/>
    </row>
    <row r="605" spans="4:12" ht="15.75" customHeight="1" x14ac:dyDescent="0.25">
      <c r="D605" s="251"/>
      <c r="E605" s="251"/>
      <c r="F605" s="251"/>
      <c r="G605" s="251"/>
      <c r="H605" s="251"/>
      <c r="I605" s="251"/>
      <c r="L605" s="251"/>
    </row>
    <row r="606" spans="4:12" ht="15.75" customHeight="1" x14ac:dyDescent="0.25">
      <c r="D606" s="251"/>
      <c r="E606" s="251"/>
      <c r="F606" s="251"/>
      <c r="G606" s="251"/>
      <c r="H606" s="251"/>
      <c r="I606" s="251"/>
      <c r="L606" s="251"/>
    </row>
    <row r="607" spans="4:12" ht="15.75" customHeight="1" x14ac:dyDescent="0.25">
      <c r="D607" s="251"/>
      <c r="E607" s="251"/>
      <c r="F607" s="251"/>
      <c r="G607" s="251"/>
      <c r="H607" s="251"/>
      <c r="I607" s="251"/>
      <c r="L607" s="251"/>
    </row>
    <row r="608" spans="4:12" ht="15.75" customHeight="1" x14ac:dyDescent="0.25">
      <c r="D608" s="251"/>
      <c r="E608" s="251"/>
      <c r="F608" s="251"/>
      <c r="G608" s="251"/>
      <c r="H608" s="251"/>
      <c r="I608" s="251"/>
      <c r="L608" s="251"/>
    </row>
    <row r="609" spans="4:12" ht="15.75" customHeight="1" x14ac:dyDescent="0.25">
      <c r="D609" s="251"/>
      <c r="E609" s="251"/>
      <c r="F609" s="251"/>
      <c r="G609" s="251"/>
      <c r="H609" s="251"/>
      <c r="I609" s="251"/>
      <c r="L609" s="251"/>
    </row>
    <row r="610" spans="4:12" ht="15.75" customHeight="1" x14ac:dyDescent="0.25">
      <c r="D610" s="251"/>
      <c r="E610" s="251"/>
      <c r="F610" s="251"/>
      <c r="G610" s="251"/>
      <c r="H610" s="251"/>
      <c r="I610" s="251"/>
      <c r="L610" s="251"/>
    </row>
    <row r="611" spans="4:12" ht="15.75" customHeight="1" x14ac:dyDescent="0.25">
      <c r="D611" s="251"/>
      <c r="E611" s="251"/>
      <c r="F611" s="251"/>
      <c r="G611" s="251"/>
      <c r="H611" s="251"/>
      <c r="I611" s="251"/>
      <c r="L611" s="251"/>
    </row>
    <row r="612" spans="4:12" ht="15.75" customHeight="1" x14ac:dyDescent="0.25">
      <c r="D612" s="251"/>
      <c r="E612" s="251"/>
      <c r="F612" s="251"/>
      <c r="G612" s="251"/>
      <c r="H612" s="251"/>
      <c r="I612" s="251"/>
      <c r="L612" s="251"/>
    </row>
    <row r="613" spans="4:12" ht="15.75" customHeight="1" x14ac:dyDescent="0.25">
      <c r="D613" s="251"/>
      <c r="E613" s="251"/>
      <c r="F613" s="251"/>
      <c r="G613" s="251"/>
      <c r="H613" s="251"/>
      <c r="I613" s="251"/>
      <c r="L613" s="251"/>
    </row>
    <row r="614" spans="4:12" ht="15.75" customHeight="1" x14ac:dyDescent="0.25">
      <c r="D614" s="251"/>
      <c r="E614" s="251"/>
      <c r="F614" s="251"/>
      <c r="G614" s="251"/>
      <c r="H614" s="251"/>
      <c r="I614" s="251"/>
      <c r="L614" s="251"/>
    </row>
    <row r="615" spans="4:12" ht="15.75" customHeight="1" x14ac:dyDescent="0.25">
      <c r="D615" s="251"/>
      <c r="E615" s="251"/>
      <c r="F615" s="251"/>
      <c r="G615" s="251"/>
      <c r="H615" s="251"/>
      <c r="I615" s="251"/>
      <c r="L615" s="251"/>
    </row>
    <row r="616" spans="4:12" ht="15.75" customHeight="1" x14ac:dyDescent="0.25">
      <c r="D616" s="251"/>
      <c r="E616" s="251"/>
      <c r="F616" s="251"/>
      <c r="G616" s="251"/>
      <c r="H616" s="251"/>
      <c r="I616" s="251"/>
      <c r="L616" s="251"/>
    </row>
    <row r="617" spans="4:12" ht="15.75" customHeight="1" x14ac:dyDescent="0.25">
      <c r="D617" s="251"/>
      <c r="E617" s="251"/>
      <c r="F617" s="251"/>
      <c r="G617" s="251"/>
      <c r="H617" s="251"/>
      <c r="I617" s="251"/>
      <c r="L617" s="251"/>
    </row>
    <row r="618" spans="4:12" ht="15.75" customHeight="1" x14ac:dyDescent="0.25">
      <c r="D618" s="251"/>
      <c r="E618" s="251"/>
      <c r="F618" s="251"/>
      <c r="G618" s="251"/>
      <c r="H618" s="251"/>
      <c r="I618" s="251"/>
      <c r="L618" s="251"/>
    </row>
    <row r="619" spans="4:12" ht="15.75" customHeight="1" x14ac:dyDescent="0.25">
      <c r="D619" s="251"/>
      <c r="E619" s="251"/>
      <c r="F619" s="251"/>
      <c r="G619" s="251"/>
      <c r="H619" s="251"/>
      <c r="I619" s="251"/>
      <c r="L619" s="251"/>
    </row>
    <row r="620" spans="4:12" ht="15.75" customHeight="1" x14ac:dyDescent="0.25">
      <c r="D620" s="251"/>
      <c r="E620" s="251"/>
      <c r="F620" s="251"/>
      <c r="G620" s="251"/>
      <c r="H620" s="251"/>
      <c r="I620" s="251"/>
      <c r="L620" s="251"/>
    </row>
    <row r="621" spans="4:12" ht="15.75" customHeight="1" x14ac:dyDescent="0.25">
      <c r="D621" s="251"/>
      <c r="E621" s="251"/>
      <c r="F621" s="251"/>
      <c r="G621" s="251"/>
      <c r="H621" s="251"/>
      <c r="I621" s="251"/>
      <c r="L621" s="251"/>
    </row>
    <row r="622" spans="4:12" ht="15.75" customHeight="1" x14ac:dyDescent="0.25">
      <c r="D622" s="251"/>
      <c r="E622" s="251"/>
      <c r="F622" s="251"/>
      <c r="G622" s="251"/>
      <c r="H622" s="251"/>
      <c r="I622" s="251"/>
      <c r="L622" s="251"/>
    </row>
    <row r="623" spans="4:12" ht="15.75" customHeight="1" x14ac:dyDescent="0.25">
      <c r="D623" s="251"/>
      <c r="E623" s="251"/>
      <c r="F623" s="251"/>
      <c r="G623" s="251"/>
      <c r="H623" s="251"/>
      <c r="I623" s="251"/>
      <c r="L623" s="251"/>
    </row>
    <row r="624" spans="4:12" ht="15.75" customHeight="1" x14ac:dyDescent="0.25">
      <c r="D624" s="251"/>
      <c r="E624" s="251"/>
      <c r="F624" s="251"/>
      <c r="G624" s="251"/>
      <c r="H624" s="251"/>
      <c r="I624" s="251"/>
      <c r="L624" s="251"/>
    </row>
    <row r="625" spans="4:12" ht="15.75" customHeight="1" x14ac:dyDescent="0.25">
      <c r="D625" s="251"/>
      <c r="E625" s="251"/>
      <c r="F625" s="251"/>
      <c r="G625" s="251"/>
      <c r="H625" s="251"/>
      <c r="I625" s="251"/>
      <c r="L625" s="251"/>
    </row>
    <row r="626" spans="4:12" ht="15.75" customHeight="1" x14ac:dyDescent="0.25">
      <c r="D626" s="251"/>
      <c r="E626" s="251"/>
      <c r="F626" s="251"/>
      <c r="G626" s="251"/>
      <c r="H626" s="251"/>
      <c r="I626" s="251"/>
      <c r="L626" s="251"/>
    </row>
    <row r="627" spans="4:12" ht="15.75" customHeight="1" x14ac:dyDescent="0.25">
      <c r="D627" s="251"/>
      <c r="E627" s="251"/>
      <c r="F627" s="251"/>
      <c r="G627" s="251"/>
      <c r="H627" s="251"/>
      <c r="I627" s="251"/>
      <c r="L627" s="251"/>
    </row>
    <row r="628" spans="4:12" ht="15.75" customHeight="1" x14ac:dyDescent="0.25">
      <c r="D628" s="251"/>
      <c r="E628" s="251"/>
      <c r="F628" s="251"/>
      <c r="G628" s="251"/>
      <c r="H628" s="251"/>
      <c r="I628" s="251"/>
      <c r="L628" s="251"/>
    </row>
    <row r="629" spans="4:12" ht="15.75" customHeight="1" x14ac:dyDescent="0.25">
      <c r="D629" s="251"/>
      <c r="E629" s="251"/>
      <c r="F629" s="251"/>
      <c r="G629" s="251"/>
      <c r="H629" s="251"/>
      <c r="I629" s="251"/>
      <c r="L629" s="251"/>
    </row>
    <row r="630" spans="4:12" ht="15.75" customHeight="1" x14ac:dyDescent="0.25">
      <c r="D630" s="251"/>
      <c r="E630" s="251"/>
      <c r="F630" s="251"/>
      <c r="G630" s="251"/>
      <c r="H630" s="251"/>
      <c r="I630" s="251"/>
      <c r="L630" s="251"/>
    </row>
    <row r="631" spans="4:12" ht="15.75" customHeight="1" x14ac:dyDescent="0.25">
      <c r="D631" s="251"/>
      <c r="E631" s="251"/>
      <c r="F631" s="251"/>
      <c r="G631" s="251"/>
      <c r="H631" s="251"/>
      <c r="I631" s="251"/>
      <c r="L631" s="251"/>
    </row>
    <row r="632" spans="4:12" ht="15.75" customHeight="1" x14ac:dyDescent="0.25">
      <c r="D632" s="251"/>
      <c r="E632" s="251"/>
      <c r="F632" s="251"/>
      <c r="G632" s="251"/>
      <c r="H632" s="251"/>
      <c r="I632" s="251"/>
      <c r="L632" s="251"/>
    </row>
    <row r="633" spans="4:12" ht="15.75" customHeight="1" x14ac:dyDescent="0.25">
      <c r="D633" s="251"/>
      <c r="E633" s="251"/>
      <c r="F633" s="251"/>
      <c r="G633" s="251"/>
      <c r="H633" s="251"/>
      <c r="I633" s="251"/>
      <c r="L633" s="251"/>
    </row>
    <row r="634" spans="4:12" ht="15.75" customHeight="1" x14ac:dyDescent="0.25">
      <c r="D634" s="251"/>
      <c r="E634" s="251"/>
      <c r="F634" s="251"/>
      <c r="G634" s="251"/>
      <c r="H634" s="251"/>
      <c r="I634" s="251"/>
      <c r="L634" s="251"/>
    </row>
    <row r="635" spans="4:12" ht="15.75" customHeight="1" x14ac:dyDescent="0.25">
      <c r="D635" s="251"/>
      <c r="E635" s="251"/>
      <c r="F635" s="251"/>
      <c r="G635" s="251"/>
      <c r="H635" s="251"/>
      <c r="I635" s="251"/>
      <c r="L635" s="251"/>
    </row>
    <row r="636" spans="4:12" ht="15.75" customHeight="1" x14ac:dyDescent="0.25">
      <c r="D636" s="251"/>
      <c r="E636" s="251"/>
      <c r="F636" s="251"/>
      <c r="G636" s="251"/>
      <c r="H636" s="251"/>
      <c r="I636" s="251"/>
      <c r="L636" s="251"/>
    </row>
    <row r="637" spans="4:12" ht="15.75" customHeight="1" x14ac:dyDescent="0.25">
      <c r="D637" s="251"/>
      <c r="E637" s="251"/>
      <c r="F637" s="251"/>
      <c r="G637" s="251"/>
      <c r="H637" s="251"/>
      <c r="I637" s="251"/>
      <c r="L637" s="251"/>
    </row>
    <row r="638" spans="4:12" ht="15.75" customHeight="1" x14ac:dyDescent="0.25">
      <c r="D638" s="251"/>
      <c r="E638" s="251"/>
      <c r="F638" s="251"/>
      <c r="G638" s="251"/>
      <c r="H638" s="251"/>
      <c r="I638" s="251"/>
      <c r="L638" s="251"/>
    </row>
    <row r="639" spans="4:12" ht="15.75" customHeight="1" x14ac:dyDescent="0.25">
      <c r="D639" s="251"/>
      <c r="E639" s="251"/>
      <c r="F639" s="251"/>
      <c r="G639" s="251"/>
      <c r="H639" s="251"/>
      <c r="I639" s="251"/>
      <c r="L639" s="251"/>
    </row>
    <row r="640" spans="4:12" ht="15.75" customHeight="1" x14ac:dyDescent="0.25">
      <c r="D640" s="251"/>
      <c r="E640" s="251"/>
      <c r="F640" s="251"/>
      <c r="G640" s="251"/>
      <c r="H640" s="251"/>
      <c r="I640" s="251"/>
      <c r="L640" s="251"/>
    </row>
    <row r="641" spans="4:12" ht="15.75" customHeight="1" x14ac:dyDescent="0.25">
      <c r="D641" s="251"/>
      <c r="E641" s="251"/>
      <c r="F641" s="251"/>
      <c r="G641" s="251"/>
      <c r="H641" s="251"/>
      <c r="I641" s="251"/>
      <c r="L641" s="251"/>
    </row>
    <row r="642" spans="4:12" ht="15.75" customHeight="1" x14ac:dyDescent="0.25">
      <c r="D642" s="251"/>
      <c r="E642" s="251"/>
      <c r="F642" s="251"/>
      <c r="G642" s="251"/>
      <c r="H642" s="251"/>
      <c r="I642" s="251"/>
      <c r="L642" s="251"/>
    </row>
    <row r="643" spans="4:12" ht="15.75" customHeight="1" x14ac:dyDescent="0.25">
      <c r="D643" s="251"/>
      <c r="E643" s="251"/>
      <c r="F643" s="251"/>
      <c r="G643" s="251"/>
      <c r="H643" s="251"/>
      <c r="I643" s="251"/>
      <c r="L643" s="251"/>
    </row>
    <row r="644" spans="4:12" ht="15.75" customHeight="1" x14ac:dyDescent="0.25">
      <c r="D644" s="251"/>
      <c r="E644" s="251"/>
      <c r="F644" s="251"/>
      <c r="G644" s="251"/>
      <c r="H644" s="251"/>
      <c r="I644" s="251"/>
      <c r="L644" s="251"/>
    </row>
    <row r="645" spans="4:12" ht="15.75" customHeight="1" x14ac:dyDescent="0.25">
      <c r="D645" s="251"/>
      <c r="E645" s="251"/>
      <c r="F645" s="251"/>
      <c r="G645" s="251"/>
      <c r="H645" s="251"/>
      <c r="I645" s="251"/>
      <c r="L645" s="251"/>
    </row>
    <row r="646" spans="4:12" ht="15.75" customHeight="1" x14ac:dyDescent="0.25">
      <c r="D646" s="251"/>
      <c r="E646" s="251"/>
      <c r="F646" s="251"/>
      <c r="G646" s="251"/>
      <c r="H646" s="251"/>
      <c r="I646" s="251"/>
      <c r="L646" s="251"/>
    </row>
    <row r="647" spans="4:12" ht="15.75" customHeight="1" x14ac:dyDescent="0.25">
      <c r="D647" s="251"/>
      <c r="E647" s="251"/>
      <c r="F647" s="251"/>
      <c r="G647" s="251"/>
      <c r="H647" s="251"/>
      <c r="I647" s="251"/>
      <c r="L647" s="251"/>
    </row>
    <row r="648" spans="4:12" ht="15.75" customHeight="1" x14ac:dyDescent="0.25">
      <c r="D648" s="251"/>
      <c r="E648" s="251"/>
      <c r="F648" s="251"/>
      <c r="G648" s="251"/>
      <c r="H648" s="251"/>
      <c r="I648" s="251"/>
      <c r="L648" s="251"/>
    </row>
    <row r="649" spans="4:12" ht="15.75" customHeight="1" x14ac:dyDescent="0.25">
      <c r="D649" s="251"/>
      <c r="E649" s="251"/>
      <c r="F649" s="251"/>
      <c r="G649" s="251"/>
      <c r="H649" s="251"/>
      <c r="I649" s="251"/>
      <c r="L649" s="251"/>
    </row>
    <row r="650" spans="4:12" ht="15.75" customHeight="1" x14ac:dyDescent="0.25">
      <c r="D650" s="251"/>
      <c r="E650" s="251"/>
      <c r="F650" s="251"/>
      <c r="G650" s="251"/>
      <c r="H650" s="251"/>
      <c r="I650" s="251"/>
      <c r="L650" s="251"/>
    </row>
    <row r="651" spans="4:12" ht="15.75" customHeight="1" x14ac:dyDescent="0.25">
      <c r="D651" s="251"/>
      <c r="E651" s="251"/>
      <c r="F651" s="251"/>
      <c r="G651" s="251"/>
      <c r="H651" s="251"/>
      <c r="I651" s="251"/>
      <c r="L651" s="251"/>
    </row>
    <row r="652" spans="4:12" ht="15.75" customHeight="1" x14ac:dyDescent="0.25">
      <c r="D652" s="251"/>
      <c r="E652" s="251"/>
      <c r="F652" s="251"/>
      <c r="G652" s="251"/>
      <c r="H652" s="251"/>
      <c r="I652" s="251"/>
      <c r="L652" s="251"/>
    </row>
    <row r="653" spans="4:12" ht="15.75" customHeight="1" x14ac:dyDescent="0.25">
      <c r="D653" s="251"/>
      <c r="E653" s="251"/>
      <c r="F653" s="251"/>
      <c r="G653" s="251"/>
      <c r="H653" s="251"/>
      <c r="I653" s="251"/>
      <c r="L653" s="251"/>
    </row>
    <row r="654" spans="4:12" ht="15.75" customHeight="1" x14ac:dyDescent="0.25">
      <c r="D654" s="251"/>
      <c r="E654" s="251"/>
      <c r="F654" s="251"/>
      <c r="G654" s="251"/>
      <c r="H654" s="251"/>
      <c r="I654" s="251"/>
      <c r="L654" s="251"/>
    </row>
    <row r="655" spans="4:12" ht="15.75" customHeight="1" x14ac:dyDescent="0.25">
      <c r="D655" s="251"/>
      <c r="E655" s="251"/>
      <c r="F655" s="251"/>
      <c r="G655" s="251"/>
      <c r="H655" s="251"/>
      <c r="I655" s="251"/>
      <c r="L655" s="251"/>
    </row>
    <row r="656" spans="4:12" ht="15.75" customHeight="1" x14ac:dyDescent="0.25">
      <c r="D656" s="251"/>
      <c r="E656" s="251"/>
      <c r="F656" s="251"/>
      <c r="G656" s="251"/>
      <c r="H656" s="251"/>
      <c r="I656" s="251"/>
      <c r="L656" s="251"/>
    </row>
    <row r="657" spans="4:12" ht="15.75" customHeight="1" x14ac:dyDescent="0.25">
      <c r="D657" s="251"/>
      <c r="E657" s="251"/>
      <c r="F657" s="251"/>
      <c r="G657" s="251"/>
      <c r="H657" s="251"/>
      <c r="I657" s="251"/>
      <c r="L657" s="251"/>
    </row>
    <row r="658" spans="4:12" ht="15.75" customHeight="1" x14ac:dyDescent="0.25">
      <c r="D658" s="251"/>
      <c r="E658" s="251"/>
      <c r="F658" s="251"/>
      <c r="G658" s="251"/>
      <c r="H658" s="251"/>
      <c r="I658" s="251"/>
      <c r="L658" s="251"/>
    </row>
    <row r="659" spans="4:12" ht="15.75" customHeight="1" x14ac:dyDescent="0.25">
      <c r="D659" s="251"/>
      <c r="E659" s="251"/>
      <c r="F659" s="251"/>
      <c r="G659" s="251"/>
      <c r="H659" s="251"/>
      <c r="I659" s="251"/>
      <c r="L659" s="251"/>
    </row>
    <row r="660" spans="4:12" ht="15.75" customHeight="1" x14ac:dyDescent="0.25">
      <c r="D660" s="251"/>
      <c r="E660" s="251"/>
      <c r="F660" s="251"/>
      <c r="G660" s="251"/>
      <c r="H660" s="251"/>
      <c r="I660" s="251"/>
      <c r="L660" s="251"/>
    </row>
    <row r="661" spans="4:12" ht="15.75" customHeight="1" x14ac:dyDescent="0.25">
      <c r="D661" s="251"/>
      <c r="E661" s="251"/>
      <c r="F661" s="251"/>
      <c r="G661" s="251"/>
      <c r="H661" s="251"/>
      <c r="I661" s="251"/>
      <c r="L661" s="251"/>
    </row>
    <row r="662" spans="4:12" ht="15.75" customHeight="1" x14ac:dyDescent="0.25">
      <c r="D662" s="251"/>
      <c r="E662" s="251"/>
      <c r="F662" s="251"/>
      <c r="G662" s="251"/>
      <c r="H662" s="251"/>
      <c r="I662" s="251"/>
      <c r="L662" s="251"/>
    </row>
    <row r="663" spans="4:12" ht="15.75" customHeight="1" x14ac:dyDescent="0.25">
      <c r="D663" s="251"/>
      <c r="E663" s="251"/>
      <c r="F663" s="251"/>
      <c r="G663" s="251"/>
      <c r="H663" s="251"/>
      <c r="I663" s="251"/>
      <c r="L663" s="251"/>
    </row>
    <row r="664" spans="4:12" ht="15.75" customHeight="1" x14ac:dyDescent="0.25">
      <c r="D664" s="251"/>
      <c r="E664" s="251"/>
      <c r="F664" s="251"/>
      <c r="G664" s="251"/>
      <c r="H664" s="251"/>
      <c r="I664" s="251"/>
      <c r="L664" s="251"/>
    </row>
    <row r="665" spans="4:12" ht="15.75" customHeight="1" x14ac:dyDescent="0.25">
      <c r="D665" s="251"/>
      <c r="E665" s="251"/>
      <c r="F665" s="251"/>
      <c r="G665" s="251"/>
      <c r="H665" s="251"/>
      <c r="I665" s="251"/>
      <c r="L665" s="251"/>
    </row>
    <row r="666" spans="4:12" ht="15.75" customHeight="1" x14ac:dyDescent="0.25">
      <c r="D666" s="251"/>
      <c r="E666" s="251"/>
      <c r="F666" s="251"/>
      <c r="G666" s="251"/>
      <c r="H666" s="251"/>
      <c r="I666" s="251"/>
      <c r="L666" s="251"/>
    </row>
    <row r="667" spans="4:12" ht="15.75" customHeight="1" x14ac:dyDescent="0.25">
      <c r="D667" s="251"/>
      <c r="E667" s="251"/>
      <c r="F667" s="251"/>
      <c r="G667" s="251"/>
      <c r="H667" s="251"/>
      <c r="I667" s="251"/>
      <c r="L667" s="251"/>
    </row>
    <row r="668" spans="4:12" ht="15.75" customHeight="1" x14ac:dyDescent="0.25">
      <c r="D668" s="251"/>
      <c r="E668" s="251"/>
      <c r="F668" s="251"/>
      <c r="G668" s="251"/>
      <c r="H668" s="251"/>
      <c r="I668" s="251"/>
      <c r="L668" s="251"/>
    </row>
    <row r="669" spans="4:12" ht="15.75" customHeight="1" x14ac:dyDescent="0.25">
      <c r="D669" s="251"/>
      <c r="E669" s="251"/>
      <c r="F669" s="251"/>
      <c r="G669" s="251"/>
      <c r="H669" s="251"/>
      <c r="I669" s="251"/>
      <c r="L669" s="251"/>
    </row>
    <row r="670" spans="4:12" ht="15.75" customHeight="1" x14ac:dyDescent="0.25">
      <c r="D670" s="251"/>
      <c r="E670" s="251"/>
      <c r="F670" s="251"/>
      <c r="G670" s="251"/>
      <c r="H670" s="251"/>
      <c r="I670" s="251"/>
      <c r="L670" s="251"/>
    </row>
    <row r="671" spans="4:12" ht="15.75" customHeight="1" x14ac:dyDescent="0.25">
      <c r="D671" s="251"/>
      <c r="E671" s="251"/>
      <c r="F671" s="251"/>
      <c r="G671" s="251"/>
      <c r="H671" s="251"/>
      <c r="I671" s="251"/>
      <c r="L671" s="251"/>
    </row>
    <row r="672" spans="4:12" ht="15.75" customHeight="1" x14ac:dyDescent="0.25">
      <c r="D672" s="251"/>
      <c r="E672" s="251"/>
      <c r="F672" s="251"/>
      <c r="G672" s="251"/>
      <c r="H672" s="251"/>
      <c r="I672" s="251"/>
      <c r="L672" s="251"/>
    </row>
    <row r="673" spans="4:12" ht="15.75" customHeight="1" x14ac:dyDescent="0.25">
      <c r="D673" s="251"/>
      <c r="E673" s="251"/>
      <c r="F673" s="251"/>
      <c r="G673" s="251"/>
      <c r="H673" s="251"/>
      <c r="I673" s="251"/>
      <c r="L673" s="251"/>
    </row>
    <row r="674" spans="4:12" ht="15.75" customHeight="1" x14ac:dyDescent="0.25">
      <c r="D674" s="251"/>
      <c r="E674" s="251"/>
      <c r="F674" s="251"/>
      <c r="G674" s="251"/>
      <c r="H674" s="251"/>
      <c r="I674" s="251"/>
      <c r="L674" s="251"/>
    </row>
    <row r="675" spans="4:12" ht="15.75" customHeight="1" x14ac:dyDescent="0.25">
      <c r="D675" s="251"/>
      <c r="E675" s="251"/>
      <c r="F675" s="251"/>
      <c r="G675" s="251"/>
      <c r="H675" s="251"/>
      <c r="I675" s="251"/>
      <c r="L675" s="251"/>
    </row>
    <row r="676" spans="4:12" ht="15.75" customHeight="1" x14ac:dyDescent="0.25">
      <c r="D676" s="251"/>
      <c r="E676" s="251"/>
      <c r="F676" s="251"/>
      <c r="G676" s="251"/>
      <c r="H676" s="251"/>
      <c r="I676" s="251"/>
      <c r="L676" s="251"/>
    </row>
    <row r="677" spans="4:12" ht="15.75" customHeight="1" x14ac:dyDescent="0.25">
      <c r="D677" s="251"/>
      <c r="E677" s="251"/>
      <c r="F677" s="251"/>
      <c r="G677" s="251"/>
      <c r="H677" s="251"/>
      <c r="I677" s="251"/>
      <c r="L677" s="251"/>
    </row>
    <row r="678" spans="4:12" ht="15.75" customHeight="1" x14ac:dyDescent="0.25">
      <c r="D678" s="251"/>
      <c r="E678" s="251"/>
      <c r="F678" s="251"/>
      <c r="G678" s="251"/>
      <c r="H678" s="251"/>
      <c r="I678" s="251"/>
      <c r="L678" s="251"/>
    </row>
    <row r="679" spans="4:12" ht="15.75" customHeight="1" x14ac:dyDescent="0.25">
      <c r="D679" s="251"/>
      <c r="E679" s="251"/>
      <c r="F679" s="251"/>
      <c r="G679" s="251"/>
      <c r="H679" s="251"/>
      <c r="I679" s="251"/>
      <c r="L679" s="251"/>
    </row>
    <row r="680" spans="4:12" ht="15.75" customHeight="1" x14ac:dyDescent="0.25">
      <c r="D680" s="251"/>
      <c r="E680" s="251"/>
      <c r="F680" s="251"/>
      <c r="G680" s="251"/>
      <c r="H680" s="251"/>
      <c r="I680" s="251"/>
      <c r="L680" s="251"/>
    </row>
    <row r="681" spans="4:12" ht="15.75" customHeight="1" x14ac:dyDescent="0.25">
      <c r="D681" s="251"/>
      <c r="E681" s="251"/>
      <c r="F681" s="251"/>
      <c r="G681" s="251"/>
      <c r="H681" s="251"/>
      <c r="I681" s="251"/>
      <c r="L681" s="251"/>
    </row>
    <row r="682" spans="4:12" ht="15.75" customHeight="1" x14ac:dyDescent="0.25">
      <c r="D682" s="251"/>
      <c r="E682" s="251"/>
      <c r="F682" s="251"/>
      <c r="G682" s="251"/>
      <c r="H682" s="251"/>
      <c r="I682" s="251"/>
      <c r="L682" s="251"/>
    </row>
    <row r="683" spans="4:12" ht="15.75" customHeight="1" x14ac:dyDescent="0.25">
      <c r="D683" s="251"/>
      <c r="E683" s="251"/>
      <c r="F683" s="251"/>
      <c r="G683" s="251"/>
      <c r="H683" s="251"/>
      <c r="I683" s="251"/>
      <c r="L683" s="251"/>
    </row>
    <row r="684" spans="4:12" ht="15.75" customHeight="1" x14ac:dyDescent="0.25">
      <c r="D684" s="251"/>
      <c r="E684" s="251"/>
      <c r="F684" s="251"/>
      <c r="G684" s="251"/>
      <c r="H684" s="251"/>
      <c r="I684" s="251"/>
      <c r="L684" s="251"/>
    </row>
    <row r="685" spans="4:12" ht="15.75" customHeight="1" x14ac:dyDescent="0.25">
      <c r="D685" s="251"/>
      <c r="E685" s="251"/>
      <c r="F685" s="251"/>
      <c r="G685" s="251"/>
      <c r="H685" s="251"/>
      <c r="I685" s="251"/>
      <c r="L685" s="251"/>
    </row>
    <row r="686" spans="4:12" ht="15.75" customHeight="1" x14ac:dyDescent="0.25">
      <c r="D686" s="251"/>
      <c r="E686" s="251"/>
      <c r="F686" s="251"/>
      <c r="G686" s="251"/>
      <c r="H686" s="251"/>
      <c r="I686" s="251"/>
      <c r="L686" s="251"/>
    </row>
    <row r="687" spans="4:12" ht="15.75" customHeight="1" x14ac:dyDescent="0.25">
      <c r="D687" s="251"/>
      <c r="E687" s="251"/>
      <c r="F687" s="251"/>
      <c r="G687" s="251"/>
      <c r="H687" s="251"/>
      <c r="I687" s="251"/>
      <c r="L687" s="251"/>
    </row>
    <row r="688" spans="4:12" ht="15.75" customHeight="1" x14ac:dyDescent="0.25">
      <c r="D688" s="251"/>
      <c r="E688" s="251"/>
      <c r="F688" s="251"/>
      <c r="G688" s="251"/>
      <c r="H688" s="251"/>
      <c r="I688" s="251"/>
      <c r="L688" s="251"/>
    </row>
    <row r="689" spans="4:12" ht="15.75" customHeight="1" x14ac:dyDescent="0.25">
      <c r="D689" s="251"/>
      <c r="E689" s="251"/>
      <c r="F689" s="251"/>
      <c r="G689" s="251"/>
      <c r="H689" s="251"/>
      <c r="I689" s="251"/>
      <c r="L689" s="251"/>
    </row>
    <row r="690" spans="4:12" ht="15.75" customHeight="1" x14ac:dyDescent="0.25">
      <c r="D690" s="251"/>
      <c r="E690" s="251"/>
      <c r="F690" s="251"/>
      <c r="G690" s="251"/>
      <c r="H690" s="251"/>
      <c r="I690" s="251"/>
      <c r="L690" s="251"/>
    </row>
    <row r="691" spans="4:12" ht="15.75" customHeight="1" x14ac:dyDescent="0.25">
      <c r="D691" s="251"/>
      <c r="E691" s="251"/>
      <c r="F691" s="251"/>
      <c r="G691" s="251"/>
      <c r="H691" s="251"/>
      <c r="I691" s="251"/>
      <c r="L691" s="251"/>
    </row>
    <row r="692" spans="4:12" ht="15.75" customHeight="1" x14ac:dyDescent="0.25">
      <c r="D692" s="251"/>
      <c r="E692" s="251"/>
      <c r="F692" s="251"/>
      <c r="G692" s="251"/>
      <c r="H692" s="251"/>
      <c r="I692" s="251"/>
      <c r="L692" s="251"/>
    </row>
    <row r="693" spans="4:12" ht="15.75" customHeight="1" x14ac:dyDescent="0.25">
      <c r="D693" s="251"/>
      <c r="E693" s="251"/>
      <c r="F693" s="251"/>
      <c r="G693" s="251"/>
      <c r="H693" s="251"/>
      <c r="I693" s="251"/>
      <c r="L693" s="251"/>
    </row>
    <row r="694" spans="4:12" ht="15.75" customHeight="1" x14ac:dyDescent="0.25">
      <c r="D694" s="251"/>
      <c r="E694" s="251"/>
      <c r="F694" s="251"/>
      <c r="G694" s="251"/>
      <c r="H694" s="251"/>
      <c r="I694" s="251"/>
      <c r="L694" s="251"/>
    </row>
    <row r="695" spans="4:12" ht="15.75" customHeight="1" x14ac:dyDescent="0.25">
      <c r="D695" s="251"/>
      <c r="E695" s="251"/>
      <c r="F695" s="251"/>
      <c r="G695" s="251"/>
      <c r="H695" s="251"/>
      <c r="I695" s="251"/>
      <c r="L695" s="251"/>
    </row>
    <row r="696" spans="4:12" ht="15.75" customHeight="1" x14ac:dyDescent="0.25">
      <c r="D696" s="251"/>
      <c r="E696" s="251"/>
      <c r="F696" s="251"/>
      <c r="G696" s="251"/>
      <c r="H696" s="251"/>
      <c r="I696" s="251"/>
      <c r="L696" s="251"/>
    </row>
    <row r="697" spans="4:12" ht="15.75" customHeight="1" x14ac:dyDescent="0.25">
      <c r="D697" s="251"/>
      <c r="E697" s="251"/>
      <c r="F697" s="251"/>
      <c r="G697" s="251"/>
      <c r="H697" s="251"/>
      <c r="I697" s="251"/>
      <c r="L697" s="251"/>
    </row>
    <row r="698" spans="4:12" ht="15.75" customHeight="1" x14ac:dyDescent="0.25">
      <c r="D698" s="251"/>
      <c r="E698" s="251"/>
      <c r="F698" s="251"/>
      <c r="G698" s="251"/>
      <c r="H698" s="251"/>
      <c r="I698" s="251"/>
      <c r="L698" s="251"/>
    </row>
    <row r="699" spans="4:12" ht="15.75" customHeight="1" x14ac:dyDescent="0.25">
      <c r="D699" s="251"/>
      <c r="E699" s="251"/>
      <c r="F699" s="251"/>
      <c r="G699" s="251"/>
      <c r="H699" s="251"/>
      <c r="I699" s="251"/>
      <c r="L699" s="251"/>
    </row>
    <row r="700" spans="4:12" ht="15.75" customHeight="1" x14ac:dyDescent="0.25">
      <c r="D700" s="251"/>
      <c r="E700" s="251"/>
      <c r="F700" s="251"/>
      <c r="G700" s="251"/>
      <c r="H700" s="251"/>
      <c r="I700" s="251"/>
      <c r="L700" s="251"/>
    </row>
    <row r="701" spans="4:12" ht="15.75" customHeight="1" x14ac:dyDescent="0.25">
      <c r="D701" s="251"/>
      <c r="E701" s="251"/>
      <c r="F701" s="251"/>
      <c r="G701" s="251"/>
      <c r="H701" s="251"/>
      <c r="I701" s="251"/>
      <c r="L701" s="251"/>
    </row>
    <row r="702" spans="4:12" ht="15.75" customHeight="1" x14ac:dyDescent="0.25">
      <c r="D702" s="251"/>
      <c r="E702" s="251"/>
      <c r="F702" s="251"/>
      <c r="G702" s="251"/>
      <c r="H702" s="251"/>
      <c r="I702" s="251"/>
      <c r="L702" s="251"/>
    </row>
    <row r="703" spans="4:12" ht="15.75" customHeight="1" x14ac:dyDescent="0.25">
      <c r="D703" s="251"/>
      <c r="E703" s="251"/>
      <c r="F703" s="251"/>
      <c r="G703" s="251"/>
      <c r="H703" s="251"/>
      <c r="I703" s="251"/>
      <c r="L703" s="251"/>
    </row>
    <row r="704" spans="4:12" ht="15.75" customHeight="1" x14ac:dyDescent="0.25">
      <c r="D704" s="251"/>
      <c r="E704" s="251"/>
      <c r="F704" s="251"/>
      <c r="G704" s="251"/>
      <c r="H704" s="251"/>
      <c r="I704" s="251"/>
      <c r="L704" s="251"/>
    </row>
    <row r="705" spans="4:12" ht="15.75" customHeight="1" x14ac:dyDescent="0.25">
      <c r="D705" s="251"/>
      <c r="E705" s="251"/>
      <c r="F705" s="251"/>
      <c r="G705" s="251"/>
      <c r="H705" s="251"/>
      <c r="I705" s="251"/>
      <c r="L705" s="251"/>
    </row>
    <row r="706" spans="4:12" ht="15.75" customHeight="1" x14ac:dyDescent="0.25">
      <c r="D706" s="251"/>
      <c r="E706" s="251"/>
      <c r="F706" s="251"/>
      <c r="G706" s="251"/>
      <c r="H706" s="251"/>
      <c r="I706" s="251"/>
      <c r="L706" s="251"/>
    </row>
    <row r="707" spans="4:12" ht="15.75" customHeight="1" x14ac:dyDescent="0.25">
      <c r="D707" s="251"/>
      <c r="E707" s="251"/>
      <c r="F707" s="251"/>
      <c r="G707" s="251"/>
      <c r="H707" s="251"/>
      <c r="I707" s="251"/>
      <c r="L707" s="251"/>
    </row>
    <row r="708" spans="4:12" ht="15.75" customHeight="1" x14ac:dyDescent="0.25">
      <c r="D708" s="251"/>
      <c r="E708" s="251"/>
      <c r="F708" s="251"/>
      <c r="G708" s="251"/>
      <c r="H708" s="251"/>
      <c r="I708" s="251"/>
      <c r="L708" s="251"/>
    </row>
    <row r="709" spans="4:12" ht="15.75" customHeight="1" x14ac:dyDescent="0.25">
      <c r="D709" s="251"/>
      <c r="E709" s="251"/>
      <c r="F709" s="251"/>
      <c r="G709" s="251"/>
      <c r="H709" s="251"/>
      <c r="I709" s="251"/>
      <c r="L709" s="251"/>
    </row>
    <row r="710" spans="4:12" ht="15.75" customHeight="1" x14ac:dyDescent="0.25">
      <c r="D710" s="251"/>
      <c r="E710" s="251"/>
      <c r="F710" s="251"/>
      <c r="G710" s="251"/>
      <c r="H710" s="251"/>
      <c r="I710" s="251"/>
      <c r="L710" s="251"/>
    </row>
    <row r="711" spans="4:12" ht="15.75" customHeight="1" x14ac:dyDescent="0.25">
      <c r="D711" s="251"/>
      <c r="E711" s="251"/>
      <c r="F711" s="251"/>
      <c r="G711" s="251"/>
      <c r="H711" s="251"/>
      <c r="I711" s="251"/>
      <c r="L711" s="251"/>
    </row>
    <row r="712" spans="4:12" ht="15.75" customHeight="1" x14ac:dyDescent="0.25">
      <c r="D712" s="251"/>
      <c r="E712" s="251"/>
      <c r="F712" s="251"/>
      <c r="G712" s="251"/>
      <c r="H712" s="251"/>
      <c r="I712" s="251"/>
      <c r="L712" s="251"/>
    </row>
    <row r="713" spans="4:12" ht="15.75" customHeight="1" x14ac:dyDescent="0.25">
      <c r="D713" s="251"/>
      <c r="E713" s="251"/>
      <c r="F713" s="251"/>
      <c r="G713" s="251"/>
      <c r="H713" s="251"/>
      <c r="I713" s="251"/>
      <c r="L713" s="251"/>
    </row>
    <row r="714" spans="4:12" ht="15.75" customHeight="1" x14ac:dyDescent="0.25">
      <c r="D714" s="251"/>
      <c r="E714" s="251"/>
      <c r="F714" s="251"/>
      <c r="G714" s="251"/>
      <c r="H714" s="251"/>
      <c r="I714" s="251"/>
      <c r="L714" s="251"/>
    </row>
    <row r="715" spans="4:12" ht="15.75" customHeight="1" x14ac:dyDescent="0.25">
      <c r="D715" s="251"/>
      <c r="E715" s="251"/>
      <c r="F715" s="251"/>
      <c r="G715" s="251"/>
      <c r="H715" s="251"/>
      <c r="I715" s="251"/>
      <c r="L715" s="251"/>
    </row>
    <row r="716" spans="4:12" ht="15.75" customHeight="1" x14ac:dyDescent="0.25">
      <c r="D716" s="251"/>
      <c r="E716" s="251"/>
      <c r="F716" s="251"/>
      <c r="G716" s="251"/>
      <c r="H716" s="251"/>
      <c r="I716" s="251"/>
      <c r="L716" s="251"/>
    </row>
    <row r="717" spans="4:12" ht="15.75" customHeight="1" x14ac:dyDescent="0.25">
      <c r="D717" s="251"/>
      <c r="E717" s="251"/>
      <c r="F717" s="251"/>
      <c r="G717" s="251"/>
      <c r="H717" s="251"/>
      <c r="I717" s="251"/>
      <c r="L717" s="251"/>
    </row>
    <row r="718" spans="4:12" ht="15.75" customHeight="1" x14ac:dyDescent="0.25">
      <c r="D718" s="251"/>
      <c r="E718" s="251"/>
      <c r="F718" s="251"/>
      <c r="G718" s="251"/>
      <c r="H718" s="251"/>
      <c r="I718" s="251"/>
      <c r="L718" s="251"/>
    </row>
    <row r="719" spans="4:12" ht="15.75" customHeight="1" x14ac:dyDescent="0.25">
      <c r="D719" s="251"/>
      <c r="E719" s="251"/>
      <c r="F719" s="251"/>
      <c r="G719" s="251"/>
      <c r="H719" s="251"/>
      <c r="I719" s="251"/>
      <c r="L719" s="251"/>
    </row>
    <row r="720" spans="4:12" ht="15.75" customHeight="1" x14ac:dyDescent="0.25">
      <c r="D720" s="251"/>
      <c r="E720" s="251"/>
      <c r="F720" s="251"/>
      <c r="G720" s="251"/>
      <c r="H720" s="251"/>
      <c r="I720" s="251"/>
      <c r="L720" s="251"/>
    </row>
    <row r="721" spans="4:12" ht="15.75" customHeight="1" x14ac:dyDescent="0.25">
      <c r="D721" s="251"/>
      <c r="E721" s="251"/>
      <c r="F721" s="251"/>
      <c r="G721" s="251"/>
      <c r="H721" s="251"/>
      <c r="I721" s="251"/>
      <c r="L721" s="251"/>
    </row>
    <row r="722" spans="4:12" ht="15.75" customHeight="1" x14ac:dyDescent="0.25">
      <c r="D722" s="251"/>
      <c r="E722" s="251"/>
      <c r="F722" s="251"/>
      <c r="G722" s="251"/>
      <c r="H722" s="251"/>
      <c r="I722" s="251"/>
      <c r="L722" s="251"/>
    </row>
    <row r="723" spans="4:12" ht="15.75" customHeight="1" x14ac:dyDescent="0.25">
      <c r="D723" s="251"/>
      <c r="E723" s="251"/>
      <c r="F723" s="251"/>
      <c r="G723" s="251"/>
      <c r="H723" s="251"/>
      <c r="I723" s="251"/>
      <c r="L723" s="251"/>
    </row>
    <row r="724" spans="4:12" ht="15.75" customHeight="1" x14ac:dyDescent="0.25">
      <c r="D724" s="251"/>
      <c r="E724" s="251"/>
      <c r="F724" s="251"/>
      <c r="G724" s="251"/>
      <c r="H724" s="251"/>
      <c r="I724" s="251"/>
      <c r="L724" s="251"/>
    </row>
    <row r="725" spans="4:12" ht="15.75" customHeight="1" x14ac:dyDescent="0.25">
      <c r="D725" s="251"/>
      <c r="E725" s="251"/>
      <c r="F725" s="251"/>
      <c r="G725" s="251"/>
      <c r="H725" s="251"/>
      <c r="I725" s="251"/>
      <c r="L725" s="251"/>
    </row>
    <row r="726" spans="4:12" ht="15.75" customHeight="1" x14ac:dyDescent="0.25">
      <c r="D726" s="251"/>
      <c r="E726" s="251"/>
      <c r="F726" s="251"/>
      <c r="G726" s="251"/>
      <c r="H726" s="251"/>
      <c r="I726" s="251"/>
      <c r="L726" s="251"/>
    </row>
    <row r="727" spans="4:12" ht="15.75" customHeight="1" x14ac:dyDescent="0.25">
      <c r="D727" s="251"/>
      <c r="E727" s="251"/>
      <c r="F727" s="251"/>
      <c r="G727" s="251"/>
      <c r="H727" s="251"/>
      <c r="I727" s="251"/>
      <c r="L727" s="251"/>
    </row>
    <row r="728" spans="4:12" ht="15.75" customHeight="1" x14ac:dyDescent="0.25">
      <c r="D728" s="251"/>
      <c r="E728" s="251"/>
      <c r="F728" s="251"/>
      <c r="G728" s="251"/>
      <c r="H728" s="251"/>
      <c r="I728" s="251"/>
      <c r="L728" s="251"/>
    </row>
    <row r="729" spans="4:12" ht="15.75" customHeight="1" x14ac:dyDescent="0.25">
      <c r="D729" s="251"/>
      <c r="E729" s="251"/>
      <c r="F729" s="251"/>
      <c r="G729" s="251"/>
      <c r="H729" s="251"/>
      <c r="I729" s="251"/>
      <c r="L729" s="251"/>
    </row>
    <row r="730" spans="4:12" ht="15.75" customHeight="1" x14ac:dyDescent="0.25">
      <c r="D730" s="251"/>
      <c r="E730" s="251"/>
      <c r="F730" s="251"/>
      <c r="G730" s="251"/>
      <c r="H730" s="251"/>
      <c r="I730" s="251"/>
      <c r="L730" s="251"/>
    </row>
    <row r="731" spans="4:12" ht="15.75" customHeight="1" x14ac:dyDescent="0.25">
      <c r="D731" s="251"/>
      <c r="E731" s="251"/>
      <c r="F731" s="251"/>
      <c r="G731" s="251"/>
      <c r="H731" s="251"/>
      <c r="I731" s="251"/>
      <c r="L731" s="251"/>
    </row>
    <row r="732" spans="4:12" ht="15.75" customHeight="1" x14ac:dyDescent="0.25">
      <c r="D732" s="251"/>
      <c r="E732" s="251"/>
      <c r="F732" s="251"/>
      <c r="G732" s="251"/>
      <c r="H732" s="251"/>
      <c r="I732" s="251"/>
      <c r="L732" s="251"/>
    </row>
    <row r="733" spans="4:12" ht="15.75" customHeight="1" x14ac:dyDescent="0.25">
      <c r="D733" s="251"/>
      <c r="E733" s="251"/>
      <c r="F733" s="251"/>
      <c r="G733" s="251"/>
      <c r="H733" s="251"/>
      <c r="I733" s="251"/>
      <c r="L733" s="251"/>
    </row>
    <row r="734" spans="4:12" ht="15.75" customHeight="1" x14ac:dyDescent="0.25">
      <c r="D734" s="251"/>
      <c r="E734" s="251"/>
      <c r="F734" s="251"/>
      <c r="G734" s="251"/>
      <c r="H734" s="251"/>
      <c r="I734" s="251"/>
      <c r="L734" s="251"/>
    </row>
    <row r="735" spans="4:12" ht="15.75" customHeight="1" x14ac:dyDescent="0.25">
      <c r="D735" s="251"/>
      <c r="E735" s="251"/>
      <c r="F735" s="251"/>
      <c r="G735" s="251"/>
      <c r="H735" s="251"/>
      <c r="I735" s="251"/>
      <c r="L735" s="251"/>
    </row>
    <row r="736" spans="4:12" ht="15.75" customHeight="1" x14ac:dyDescent="0.25">
      <c r="D736" s="251"/>
      <c r="E736" s="251"/>
      <c r="F736" s="251"/>
      <c r="G736" s="251"/>
      <c r="H736" s="251"/>
      <c r="I736" s="251"/>
      <c r="L736" s="251"/>
    </row>
    <row r="737" spans="4:12" ht="15.75" customHeight="1" x14ac:dyDescent="0.25">
      <c r="D737" s="251"/>
      <c r="E737" s="251"/>
      <c r="F737" s="251"/>
      <c r="G737" s="251"/>
      <c r="H737" s="251"/>
      <c r="I737" s="251"/>
      <c r="L737" s="251"/>
    </row>
    <row r="738" spans="4:12" ht="15.75" customHeight="1" x14ac:dyDescent="0.25">
      <c r="D738" s="251"/>
      <c r="E738" s="251"/>
      <c r="F738" s="251"/>
      <c r="G738" s="251"/>
      <c r="H738" s="251"/>
      <c r="I738" s="251"/>
      <c r="L738" s="251"/>
    </row>
    <row r="739" spans="4:12" ht="15.75" customHeight="1" x14ac:dyDescent="0.25">
      <c r="D739" s="251"/>
      <c r="E739" s="251"/>
      <c r="F739" s="251"/>
      <c r="G739" s="251"/>
      <c r="H739" s="251"/>
      <c r="I739" s="251"/>
      <c r="L739" s="251"/>
    </row>
    <row r="740" spans="4:12" ht="15.75" customHeight="1" x14ac:dyDescent="0.25">
      <c r="D740" s="251"/>
      <c r="E740" s="251"/>
      <c r="F740" s="251"/>
      <c r="G740" s="251"/>
      <c r="H740" s="251"/>
      <c r="I740" s="251"/>
      <c r="L740" s="251"/>
    </row>
    <row r="741" spans="4:12" ht="15.75" customHeight="1" x14ac:dyDescent="0.25">
      <c r="D741" s="251"/>
      <c r="E741" s="251"/>
      <c r="F741" s="251"/>
      <c r="G741" s="251"/>
      <c r="H741" s="251"/>
      <c r="I741" s="251"/>
      <c r="L741" s="251"/>
    </row>
    <row r="742" spans="4:12" ht="15.75" customHeight="1" x14ac:dyDescent="0.25">
      <c r="D742" s="251"/>
      <c r="E742" s="251"/>
      <c r="F742" s="251"/>
      <c r="G742" s="251"/>
      <c r="H742" s="251"/>
      <c r="I742" s="251"/>
      <c r="L742" s="251"/>
    </row>
    <row r="743" spans="4:12" ht="15.75" customHeight="1" x14ac:dyDescent="0.25">
      <c r="D743" s="251"/>
      <c r="E743" s="251"/>
      <c r="F743" s="251"/>
      <c r="G743" s="251"/>
      <c r="H743" s="251"/>
      <c r="I743" s="251"/>
      <c r="L743" s="251"/>
    </row>
    <row r="744" spans="4:12" ht="15.75" customHeight="1" x14ac:dyDescent="0.25">
      <c r="D744" s="251"/>
      <c r="E744" s="251"/>
      <c r="F744" s="251"/>
      <c r="G744" s="251"/>
      <c r="H744" s="251"/>
      <c r="I744" s="251"/>
      <c r="L744" s="251"/>
    </row>
    <row r="745" spans="4:12" ht="15.75" customHeight="1" x14ac:dyDescent="0.25">
      <c r="D745" s="251"/>
      <c r="E745" s="251"/>
      <c r="F745" s="251"/>
      <c r="G745" s="251"/>
      <c r="H745" s="251"/>
      <c r="I745" s="251"/>
      <c r="L745" s="251"/>
    </row>
    <row r="746" spans="4:12" ht="15.75" customHeight="1" x14ac:dyDescent="0.25">
      <c r="D746" s="251"/>
      <c r="E746" s="251"/>
      <c r="F746" s="251"/>
      <c r="G746" s="251"/>
      <c r="H746" s="251"/>
      <c r="I746" s="251"/>
      <c r="L746" s="251"/>
    </row>
    <row r="747" spans="4:12" ht="15.75" customHeight="1" x14ac:dyDescent="0.25">
      <c r="D747" s="251"/>
      <c r="E747" s="251"/>
      <c r="F747" s="251"/>
      <c r="G747" s="251"/>
      <c r="H747" s="251"/>
      <c r="I747" s="251"/>
      <c r="L747" s="251"/>
    </row>
    <row r="748" spans="4:12" ht="15.75" customHeight="1" x14ac:dyDescent="0.25">
      <c r="D748" s="251"/>
      <c r="E748" s="251"/>
      <c r="F748" s="251"/>
      <c r="G748" s="251"/>
      <c r="H748" s="251"/>
      <c r="I748" s="251"/>
      <c r="L748" s="251"/>
    </row>
    <row r="749" spans="4:12" ht="15.75" customHeight="1" x14ac:dyDescent="0.25">
      <c r="D749" s="251"/>
      <c r="E749" s="251"/>
      <c r="F749" s="251"/>
      <c r="G749" s="251"/>
      <c r="H749" s="251"/>
      <c r="I749" s="251"/>
      <c r="L749" s="251"/>
    </row>
    <row r="750" spans="4:12" ht="15.75" customHeight="1" x14ac:dyDescent="0.25">
      <c r="D750" s="251"/>
      <c r="E750" s="251"/>
      <c r="F750" s="251"/>
      <c r="G750" s="251"/>
      <c r="H750" s="251"/>
      <c r="I750" s="251"/>
      <c r="L750" s="251"/>
    </row>
    <row r="751" spans="4:12" ht="15.75" customHeight="1" x14ac:dyDescent="0.25">
      <c r="D751" s="251"/>
      <c r="E751" s="251"/>
      <c r="F751" s="251"/>
      <c r="G751" s="251"/>
      <c r="H751" s="251"/>
      <c r="I751" s="251"/>
      <c r="L751" s="251"/>
    </row>
    <row r="752" spans="4:12" ht="15.75" customHeight="1" x14ac:dyDescent="0.25">
      <c r="D752" s="251"/>
      <c r="E752" s="251"/>
      <c r="F752" s="251"/>
      <c r="G752" s="251"/>
      <c r="H752" s="251"/>
      <c r="I752" s="251"/>
      <c r="L752" s="251"/>
    </row>
    <row r="753" spans="4:12" ht="15.75" customHeight="1" x14ac:dyDescent="0.25">
      <c r="D753" s="251"/>
      <c r="E753" s="251"/>
      <c r="F753" s="251"/>
      <c r="G753" s="251"/>
      <c r="H753" s="251"/>
      <c r="I753" s="251"/>
      <c r="L753" s="251"/>
    </row>
    <row r="754" spans="4:12" ht="15.75" customHeight="1" x14ac:dyDescent="0.25">
      <c r="D754" s="251"/>
      <c r="E754" s="251"/>
      <c r="F754" s="251"/>
      <c r="G754" s="251"/>
      <c r="H754" s="251"/>
      <c r="I754" s="251"/>
      <c r="L754" s="251"/>
    </row>
    <row r="755" spans="4:12" ht="15.75" customHeight="1" x14ac:dyDescent="0.25">
      <c r="D755" s="251"/>
      <c r="E755" s="251"/>
      <c r="F755" s="251"/>
      <c r="G755" s="251"/>
      <c r="H755" s="251"/>
      <c r="I755" s="251"/>
      <c r="L755" s="251"/>
    </row>
    <row r="756" spans="4:12" ht="15.75" customHeight="1" x14ac:dyDescent="0.25">
      <c r="D756" s="251"/>
      <c r="E756" s="251"/>
      <c r="F756" s="251"/>
      <c r="G756" s="251"/>
      <c r="H756" s="251"/>
      <c r="I756" s="251"/>
      <c r="L756" s="251"/>
    </row>
    <row r="757" spans="4:12" ht="15.75" customHeight="1" x14ac:dyDescent="0.25">
      <c r="D757" s="251"/>
      <c r="E757" s="251"/>
      <c r="F757" s="251"/>
      <c r="G757" s="251"/>
      <c r="H757" s="251"/>
      <c r="I757" s="251"/>
      <c r="L757" s="251"/>
    </row>
    <row r="758" spans="4:12" ht="15.75" customHeight="1" x14ac:dyDescent="0.25">
      <c r="D758" s="251"/>
      <c r="E758" s="251"/>
      <c r="F758" s="251"/>
      <c r="G758" s="251"/>
      <c r="H758" s="251"/>
      <c r="I758" s="251"/>
      <c r="L758" s="251"/>
    </row>
    <row r="759" spans="4:12" ht="15.75" customHeight="1" x14ac:dyDescent="0.25">
      <c r="D759" s="251"/>
      <c r="E759" s="251"/>
      <c r="F759" s="251"/>
      <c r="G759" s="251"/>
      <c r="H759" s="251"/>
      <c r="I759" s="251"/>
      <c r="L759" s="251"/>
    </row>
    <row r="760" spans="4:12" ht="15.75" customHeight="1" x14ac:dyDescent="0.25">
      <c r="D760" s="251"/>
      <c r="E760" s="251"/>
      <c r="F760" s="251"/>
      <c r="G760" s="251"/>
      <c r="H760" s="251"/>
      <c r="I760" s="251"/>
      <c r="L760" s="251"/>
    </row>
    <row r="761" spans="4:12" ht="15.75" customHeight="1" x14ac:dyDescent="0.25">
      <c r="D761" s="251"/>
      <c r="E761" s="251"/>
      <c r="F761" s="251"/>
      <c r="G761" s="251"/>
      <c r="H761" s="251"/>
      <c r="I761" s="251"/>
      <c r="L761" s="251"/>
    </row>
    <row r="762" spans="4:12" ht="15.75" customHeight="1" x14ac:dyDescent="0.25">
      <c r="D762" s="251"/>
      <c r="E762" s="251"/>
      <c r="F762" s="251"/>
      <c r="G762" s="251"/>
      <c r="H762" s="251"/>
      <c r="I762" s="251"/>
      <c r="L762" s="251"/>
    </row>
    <row r="763" spans="4:12" ht="15.75" customHeight="1" x14ac:dyDescent="0.25">
      <c r="D763" s="251"/>
      <c r="E763" s="251"/>
      <c r="F763" s="251"/>
      <c r="G763" s="251"/>
      <c r="H763" s="251"/>
      <c r="I763" s="251"/>
      <c r="L763" s="251"/>
    </row>
    <row r="764" spans="4:12" ht="15.75" customHeight="1" x14ac:dyDescent="0.25">
      <c r="D764" s="251"/>
      <c r="E764" s="251"/>
      <c r="F764" s="251"/>
      <c r="G764" s="251"/>
      <c r="H764" s="251"/>
      <c r="I764" s="251"/>
      <c r="L764" s="251"/>
    </row>
    <row r="765" spans="4:12" ht="15.75" customHeight="1" x14ac:dyDescent="0.25">
      <c r="D765" s="251"/>
      <c r="E765" s="251"/>
      <c r="F765" s="251"/>
      <c r="G765" s="251"/>
      <c r="H765" s="251"/>
      <c r="I765" s="251"/>
      <c r="L765" s="251"/>
    </row>
    <row r="766" spans="4:12" ht="15.75" customHeight="1" x14ac:dyDescent="0.25">
      <c r="D766" s="251"/>
      <c r="E766" s="251"/>
      <c r="F766" s="251"/>
      <c r="G766" s="251"/>
      <c r="H766" s="251"/>
      <c r="I766" s="251"/>
      <c r="L766" s="251"/>
    </row>
    <row r="767" spans="4:12" ht="15.75" customHeight="1" x14ac:dyDescent="0.25">
      <c r="D767" s="251"/>
      <c r="E767" s="251"/>
      <c r="F767" s="251"/>
      <c r="G767" s="251"/>
      <c r="H767" s="251"/>
      <c r="I767" s="251"/>
      <c r="L767" s="251"/>
    </row>
    <row r="768" spans="4:12" ht="15.75" customHeight="1" x14ac:dyDescent="0.25">
      <c r="D768" s="251"/>
      <c r="E768" s="251"/>
      <c r="F768" s="251"/>
      <c r="G768" s="251"/>
      <c r="H768" s="251"/>
      <c r="I768" s="251"/>
      <c r="L768" s="251"/>
    </row>
    <row r="769" spans="4:12" ht="15.75" customHeight="1" x14ac:dyDescent="0.25">
      <c r="D769" s="251"/>
      <c r="E769" s="251"/>
      <c r="F769" s="251"/>
      <c r="G769" s="251"/>
      <c r="H769" s="251"/>
      <c r="I769" s="251"/>
      <c r="L769" s="251"/>
    </row>
    <row r="770" spans="4:12" ht="15.75" customHeight="1" x14ac:dyDescent="0.25">
      <c r="D770" s="251"/>
      <c r="E770" s="251"/>
      <c r="F770" s="251"/>
      <c r="G770" s="251"/>
      <c r="H770" s="251"/>
      <c r="I770" s="251"/>
      <c r="L770" s="251"/>
    </row>
    <row r="771" spans="4:12" ht="15.75" customHeight="1" x14ac:dyDescent="0.25">
      <c r="D771" s="251"/>
      <c r="E771" s="251"/>
      <c r="F771" s="251"/>
      <c r="G771" s="251"/>
      <c r="H771" s="251"/>
      <c r="I771" s="251"/>
      <c r="L771" s="251"/>
    </row>
    <row r="772" spans="4:12" ht="15.75" customHeight="1" x14ac:dyDescent="0.25">
      <c r="D772" s="251"/>
      <c r="E772" s="251"/>
      <c r="F772" s="251"/>
      <c r="G772" s="251"/>
      <c r="H772" s="251"/>
      <c r="I772" s="251"/>
      <c r="L772" s="251"/>
    </row>
    <row r="773" spans="4:12" ht="15.75" customHeight="1" x14ac:dyDescent="0.25">
      <c r="D773" s="251"/>
      <c r="E773" s="251"/>
      <c r="F773" s="251"/>
      <c r="G773" s="251"/>
      <c r="H773" s="251"/>
      <c r="I773" s="251"/>
      <c r="L773" s="251"/>
    </row>
    <row r="774" spans="4:12" ht="15.75" customHeight="1" x14ac:dyDescent="0.25">
      <c r="D774" s="251"/>
      <c r="E774" s="251"/>
      <c r="F774" s="251"/>
      <c r="G774" s="251"/>
      <c r="H774" s="251"/>
      <c r="I774" s="251"/>
      <c r="L774" s="251"/>
    </row>
    <row r="775" spans="4:12" ht="15.75" customHeight="1" x14ac:dyDescent="0.25">
      <c r="D775" s="251"/>
      <c r="E775" s="251"/>
      <c r="F775" s="251"/>
      <c r="G775" s="251"/>
      <c r="H775" s="251"/>
      <c r="I775" s="251"/>
      <c r="L775" s="251"/>
    </row>
    <row r="776" spans="4:12" ht="15.75" customHeight="1" x14ac:dyDescent="0.25">
      <c r="D776" s="251"/>
      <c r="E776" s="251"/>
      <c r="F776" s="251"/>
      <c r="G776" s="251"/>
      <c r="H776" s="251"/>
      <c r="I776" s="251"/>
      <c r="L776" s="251"/>
    </row>
    <row r="777" spans="4:12" ht="15.75" customHeight="1" x14ac:dyDescent="0.25">
      <c r="D777" s="251"/>
      <c r="E777" s="251"/>
      <c r="F777" s="251"/>
      <c r="G777" s="251"/>
      <c r="H777" s="251"/>
      <c r="I777" s="251"/>
      <c r="L777" s="251"/>
    </row>
    <row r="778" spans="4:12" ht="15.75" customHeight="1" x14ac:dyDescent="0.25">
      <c r="D778" s="251"/>
      <c r="E778" s="251"/>
      <c r="F778" s="251"/>
      <c r="G778" s="251"/>
      <c r="H778" s="251"/>
      <c r="I778" s="251"/>
      <c r="L778" s="251"/>
    </row>
    <row r="779" spans="4:12" ht="15.75" customHeight="1" x14ac:dyDescent="0.25">
      <c r="D779" s="251"/>
      <c r="E779" s="251"/>
      <c r="F779" s="251"/>
      <c r="G779" s="251"/>
      <c r="H779" s="251"/>
      <c r="I779" s="251"/>
      <c r="L779" s="251"/>
    </row>
    <row r="780" spans="4:12" ht="15.75" customHeight="1" x14ac:dyDescent="0.25">
      <c r="D780" s="251"/>
      <c r="E780" s="251"/>
      <c r="F780" s="251"/>
      <c r="G780" s="251"/>
      <c r="H780" s="251"/>
      <c r="I780" s="251"/>
      <c r="L780" s="251"/>
    </row>
    <row r="781" spans="4:12" ht="15.75" customHeight="1" x14ac:dyDescent="0.25">
      <c r="D781" s="251"/>
      <c r="E781" s="251"/>
      <c r="F781" s="251"/>
      <c r="G781" s="251"/>
      <c r="H781" s="251"/>
      <c r="I781" s="251"/>
      <c r="L781" s="251"/>
    </row>
    <row r="782" spans="4:12" ht="15.75" customHeight="1" x14ac:dyDescent="0.25">
      <c r="D782" s="251"/>
      <c r="E782" s="251"/>
      <c r="F782" s="251"/>
      <c r="G782" s="251"/>
      <c r="H782" s="251"/>
      <c r="I782" s="251"/>
      <c r="L782" s="251"/>
    </row>
    <row r="783" spans="4:12" ht="15.75" customHeight="1" x14ac:dyDescent="0.25">
      <c r="D783" s="251"/>
      <c r="E783" s="251"/>
      <c r="F783" s="251"/>
      <c r="G783" s="251"/>
      <c r="H783" s="251"/>
      <c r="I783" s="251"/>
      <c r="L783" s="251"/>
    </row>
    <row r="784" spans="4:12" ht="15.75" customHeight="1" x14ac:dyDescent="0.25">
      <c r="D784" s="251"/>
      <c r="E784" s="251"/>
      <c r="F784" s="251"/>
      <c r="G784" s="251"/>
      <c r="H784" s="251"/>
      <c r="I784" s="251"/>
      <c r="L784" s="251"/>
    </row>
    <row r="785" spans="4:12" ht="15.75" customHeight="1" x14ac:dyDescent="0.25">
      <c r="D785" s="251"/>
      <c r="E785" s="251"/>
      <c r="F785" s="251"/>
      <c r="G785" s="251"/>
      <c r="H785" s="251"/>
      <c r="I785" s="251"/>
      <c r="L785" s="251"/>
    </row>
    <row r="786" spans="4:12" ht="15.75" customHeight="1" x14ac:dyDescent="0.25">
      <c r="D786" s="251"/>
      <c r="E786" s="251"/>
      <c r="F786" s="251"/>
      <c r="G786" s="251"/>
      <c r="H786" s="251"/>
      <c r="I786" s="251"/>
      <c r="L786" s="251"/>
    </row>
    <row r="787" spans="4:12" ht="15.75" customHeight="1" x14ac:dyDescent="0.25">
      <c r="D787" s="251"/>
      <c r="E787" s="251"/>
      <c r="F787" s="251"/>
      <c r="G787" s="251"/>
      <c r="H787" s="251"/>
      <c r="I787" s="251"/>
      <c r="L787" s="251"/>
    </row>
    <row r="788" spans="4:12" ht="15.75" customHeight="1" x14ac:dyDescent="0.25">
      <c r="D788" s="251"/>
      <c r="E788" s="251"/>
      <c r="F788" s="251"/>
      <c r="G788" s="251"/>
      <c r="H788" s="251"/>
      <c r="I788" s="251"/>
      <c r="L788" s="251"/>
    </row>
    <row r="789" spans="4:12" ht="15.75" customHeight="1" x14ac:dyDescent="0.25">
      <c r="D789" s="251"/>
      <c r="E789" s="251"/>
      <c r="F789" s="251"/>
      <c r="G789" s="251"/>
      <c r="H789" s="251"/>
      <c r="I789" s="251"/>
      <c r="L789" s="251"/>
    </row>
    <row r="790" spans="4:12" ht="15.75" customHeight="1" x14ac:dyDescent="0.25">
      <c r="D790" s="251"/>
      <c r="E790" s="251"/>
      <c r="F790" s="251"/>
      <c r="G790" s="251"/>
      <c r="H790" s="251"/>
      <c r="I790" s="251"/>
      <c r="L790" s="251"/>
    </row>
    <row r="791" spans="4:12" ht="15.75" customHeight="1" x14ac:dyDescent="0.25">
      <c r="D791" s="251"/>
      <c r="E791" s="251"/>
      <c r="F791" s="251"/>
      <c r="G791" s="251"/>
      <c r="H791" s="251"/>
      <c r="I791" s="251"/>
      <c r="L791" s="251"/>
    </row>
    <row r="792" spans="4:12" ht="15.75" customHeight="1" x14ac:dyDescent="0.25">
      <c r="D792" s="251"/>
      <c r="E792" s="251"/>
      <c r="F792" s="251"/>
      <c r="G792" s="251"/>
      <c r="H792" s="251"/>
      <c r="I792" s="251"/>
      <c r="L792" s="251"/>
    </row>
    <row r="793" spans="4:12" ht="15.75" customHeight="1" x14ac:dyDescent="0.25">
      <c r="D793" s="251"/>
      <c r="E793" s="251"/>
      <c r="F793" s="251"/>
      <c r="G793" s="251"/>
      <c r="H793" s="251"/>
      <c r="I793" s="251"/>
      <c r="L793" s="251"/>
    </row>
  </sheetData>
  <mergeCells count="4">
    <mergeCell ref="A5:M5"/>
    <mergeCell ref="A7:M7"/>
    <mergeCell ref="B9:I9"/>
    <mergeCell ref="K9:L9"/>
  </mergeCells>
  <pageMargins left="0.511811024" right="0.511811024" top="0.78740157499999996" bottom="0.78740157499999996" header="0" footer="0"/>
  <pageSetup paperSize="9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6D4C5-70B5-4CEB-9663-D508D0D4F5E0}">
  <sheetPr>
    <tabColor rgb="FF0070C0"/>
  </sheetPr>
  <dimension ref="A1:U795"/>
  <sheetViews>
    <sheetView showGridLines="0" workbookViewId="0">
      <selection activeCell="D11" sqref="D11"/>
    </sheetView>
  </sheetViews>
  <sheetFormatPr defaultColWidth="14.42578125" defaultRowHeight="15" customHeight="1" x14ac:dyDescent="0.25"/>
  <cols>
    <col min="1" max="1" width="10.7109375" customWidth="1"/>
    <col min="2" max="2" width="11.7109375" customWidth="1"/>
    <col min="3" max="3" width="31.7109375" customWidth="1"/>
    <col min="4" max="4" width="14.28515625" customWidth="1"/>
    <col min="5" max="7" width="16.7109375" customWidth="1"/>
    <col min="8" max="8" width="8.85546875" customWidth="1"/>
    <col min="9" max="10" width="20.7109375" customWidth="1"/>
    <col min="11" max="11" width="27" customWidth="1"/>
    <col min="12" max="21" width="8.7109375" customWidth="1"/>
  </cols>
  <sheetData>
    <row r="1" spans="1:21" ht="15" customHeight="1" x14ac:dyDescent="0.25">
      <c r="A1" s="214" t="s">
        <v>0</v>
      </c>
      <c r="B1" s="712" t="str">
        <f>DADOS_INICIAIS!B1</f>
        <v>MONOLYT</v>
      </c>
      <c r="C1" s="400"/>
      <c r="D1" s="401"/>
      <c r="E1" s="401"/>
      <c r="F1" s="401"/>
      <c r="G1" s="401"/>
      <c r="H1" s="402"/>
      <c r="I1" s="402"/>
      <c r="J1" s="401"/>
      <c r="K1" s="403"/>
    </row>
    <row r="2" spans="1:21" ht="15" customHeight="1" x14ac:dyDescent="0.25">
      <c r="A2" s="219" t="s">
        <v>113</v>
      </c>
      <c r="B2" s="399" t="str">
        <f>DADOS_INICIAIS!B2</f>
        <v>BLUE HEAVEN</v>
      </c>
      <c r="C2" s="405"/>
      <c r="D2" s="406"/>
      <c r="E2" s="406"/>
      <c r="F2" s="406"/>
      <c r="G2" s="406"/>
      <c r="H2" s="407"/>
      <c r="I2" s="407"/>
      <c r="J2" s="406"/>
      <c r="K2" s="408"/>
    </row>
    <row r="3" spans="1:21" ht="15" customHeight="1" x14ac:dyDescent="0.25">
      <c r="A3" s="219" t="s">
        <v>1</v>
      </c>
      <c r="B3" s="404" t="s">
        <v>161</v>
      </c>
      <c r="C3" s="405"/>
      <c r="D3" s="406"/>
      <c r="E3" s="406"/>
      <c r="F3" s="406"/>
      <c r="G3" s="406"/>
      <c r="H3" s="407"/>
      <c r="I3" s="407"/>
      <c r="J3" s="406"/>
      <c r="K3" s="408"/>
    </row>
    <row r="4" spans="1:21" ht="15" customHeight="1" x14ac:dyDescent="0.25">
      <c r="A4" s="922" t="s">
        <v>160</v>
      </c>
      <c r="B4" s="923">
        <v>45447</v>
      </c>
      <c r="C4" s="924"/>
      <c r="D4" s="925"/>
      <c r="E4" s="925"/>
      <c r="F4" s="925"/>
      <c r="G4" s="925"/>
      <c r="H4" s="926"/>
      <c r="I4" s="926"/>
      <c r="J4" s="925"/>
      <c r="K4" s="927"/>
    </row>
    <row r="5" spans="1:21" ht="24.6" customHeight="1" x14ac:dyDescent="0.25">
      <c r="A5" s="1061" t="s">
        <v>283</v>
      </c>
      <c r="B5" s="1062"/>
      <c r="C5" s="1062"/>
      <c r="D5" s="1062"/>
      <c r="E5" s="1062"/>
      <c r="F5" s="1062"/>
      <c r="G5" s="1062"/>
      <c r="H5" s="1062"/>
      <c r="I5" s="1062"/>
      <c r="J5" s="1062"/>
      <c r="K5" s="1063"/>
    </row>
    <row r="6" spans="1:21" ht="9.6" customHeight="1" x14ac:dyDescent="0.25">
      <c r="A6" s="284"/>
      <c r="B6" s="289"/>
      <c r="C6" s="289"/>
      <c r="D6" s="413"/>
      <c r="E6" s="413"/>
      <c r="F6" s="413"/>
      <c r="G6" s="413"/>
      <c r="H6" s="289"/>
      <c r="I6" s="289"/>
      <c r="J6" s="413"/>
      <c r="K6" s="285"/>
    </row>
    <row r="7" spans="1:21" ht="23.45" customHeight="1" x14ac:dyDescent="0.25">
      <c r="A7" s="1064" t="s">
        <v>541</v>
      </c>
      <c r="B7" s="1062"/>
      <c r="C7" s="1062"/>
      <c r="D7" s="1062"/>
      <c r="E7" s="1062"/>
      <c r="F7" s="1062"/>
      <c r="G7" s="1062"/>
      <c r="H7" s="1062"/>
      <c r="I7" s="1062"/>
      <c r="J7" s="1062"/>
      <c r="K7" s="1063"/>
    </row>
    <row r="8" spans="1:21" ht="25.15" customHeight="1" thickBot="1" x14ac:dyDescent="0.3">
      <c r="A8" s="284"/>
      <c r="B8" s="289"/>
      <c r="C8" s="289"/>
      <c r="D8" s="413"/>
      <c r="E8" s="413"/>
      <c r="F8" s="413"/>
      <c r="G8" s="413"/>
      <c r="H8" s="289"/>
      <c r="I8" s="289"/>
      <c r="J8" s="413"/>
      <c r="K8" s="285"/>
      <c r="L8" s="289"/>
      <c r="M8" s="289"/>
      <c r="N8" s="289"/>
      <c r="O8" s="289"/>
      <c r="P8" s="289"/>
      <c r="Q8" s="289"/>
      <c r="R8" s="289"/>
      <c r="S8" s="289"/>
      <c r="T8" s="289"/>
      <c r="U8" s="289"/>
    </row>
    <row r="9" spans="1:21" s="189" customFormat="1" ht="14.25" customHeight="1" thickBot="1" x14ac:dyDescent="0.3">
      <c r="A9" s="724"/>
      <c r="B9" s="1125" t="s">
        <v>521</v>
      </c>
      <c r="C9" s="1126"/>
      <c r="D9" s="1126"/>
      <c r="E9" s="1126"/>
      <c r="F9" s="1126"/>
      <c r="G9" s="1127"/>
      <c r="H9" s="725"/>
      <c r="I9" s="1125" t="s">
        <v>540</v>
      </c>
      <c r="J9" s="1127"/>
      <c r="K9" s="726"/>
    </row>
    <row r="10" spans="1:21" ht="14.25" customHeight="1" x14ac:dyDescent="0.25">
      <c r="A10" s="284"/>
      <c r="B10" s="414" t="s">
        <v>522</v>
      </c>
      <c r="C10" s="415" t="s">
        <v>535</v>
      </c>
      <c r="D10" s="435" t="s">
        <v>1117</v>
      </c>
      <c r="E10" s="417" t="s">
        <v>524</v>
      </c>
      <c r="F10" s="727" t="s">
        <v>1124</v>
      </c>
      <c r="G10" s="418" t="s">
        <v>520</v>
      </c>
      <c r="H10" s="289"/>
      <c r="I10" s="234" t="s">
        <v>538</v>
      </c>
      <c r="J10" s="418" t="s">
        <v>542</v>
      </c>
      <c r="K10" s="285"/>
    </row>
    <row r="11" spans="1:21" ht="14.25" customHeight="1" x14ac:dyDescent="0.25">
      <c r="A11" s="284"/>
      <c r="B11" s="419" t="s">
        <v>202</v>
      </c>
      <c r="C11" s="420" t="s">
        <v>1116</v>
      </c>
      <c r="D11" s="437">
        <v>3088</v>
      </c>
      <c r="E11" s="422">
        <v>1</v>
      </c>
      <c r="F11" s="728">
        <f>1500*1.1</f>
        <v>1650.0000000000002</v>
      </c>
      <c r="G11" s="423">
        <f>D11*E11*F11</f>
        <v>5095200.0000000009</v>
      </c>
      <c r="H11" s="289" t="s">
        <v>1130</v>
      </c>
      <c r="I11" s="439" t="str" cm="1">
        <f t="array" ref="I11:I15">_xlfn.UNIQUE(C11:C15)</f>
        <v>GOLD SLIM</v>
      </c>
      <c r="J11" s="424">
        <f>SUMIF(C:C,I11,G:G)</f>
        <v>5095200.0000000009</v>
      </c>
      <c r="K11" s="920"/>
    </row>
    <row r="12" spans="1:21" ht="14.25" customHeight="1" x14ac:dyDescent="0.25">
      <c r="A12" s="284"/>
      <c r="B12" s="425" t="s">
        <v>202</v>
      </c>
      <c r="C12" s="426" t="s">
        <v>1119</v>
      </c>
      <c r="D12" s="440">
        <f>55.81+135.38</f>
        <v>191.19</v>
      </c>
      <c r="E12" s="428">
        <v>1</v>
      </c>
      <c r="F12" s="729">
        <v>1600</v>
      </c>
      <c r="G12" s="429">
        <f>D12*E12*F12</f>
        <v>305904</v>
      </c>
      <c r="H12" s="289" t="s">
        <v>1126</v>
      </c>
      <c r="I12" s="442" t="str">
        <v>PELE DE VIDRO 8mm</v>
      </c>
      <c r="J12" s="429">
        <f>SUMIF(C:C,I12,G:G)</f>
        <v>305904</v>
      </c>
      <c r="K12" s="920"/>
    </row>
    <row r="13" spans="1:21" ht="14.25" customHeight="1" x14ac:dyDescent="0.25">
      <c r="A13" s="284"/>
      <c r="B13" s="425" t="s">
        <v>202</v>
      </c>
      <c r="C13" s="426" t="s">
        <v>1118</v>
      </c>
      <c r="D13" s="440">
        <v>516.49</v>
      </c>
      <c r="E13" s="428">
        <v>1</v>
      </c>
      <c r="F13" s="729">
        <v>2300</v>
      </c>
      <c r="G13" s="429">
        <f>D13*E13*F13</f>
        <v>1187927</v>
      </c>
      <c r="H13" s="289" t="s">
        <v>1128</v>
      </c>
      <c r="I13" s="442" t="str">
        <v>VIDRO PISCINA 0,3cm</v>
      </c>
      <c r="J13" s="429">
        <f>SUMIF(C:C,I13,G:G)</f>
        <v>1187927</v>
      </c>
      <c r="K13" s="920"/>
    </row>
    <row r="14" spans="1:21" ht="14.25" customHeight="1" x14ac:dyDescent="0.25">
      <c r="A14" s="284"/>
      <c r="B14" s="425"/>
      <c r="C14" s="426" t="s">
        <v>1226</v>
      </c>
      <c r="D14" s="440">
        <v>12.09</v>
      </c>
      <c r="E14" s="428">
        <v>1</v>
      </c>
      <c r="F14" s="729">
        <v>2100</v>
      </c>
      <c r="G14" s="429">
        <f t="shared" ref="G14:G15" si="0">D14*E14*F14</f>
        <v>25389</v>
      </c>
      <c r="H14" s="289"/>
      <c r="I14" s="442" t="str">
        <v>CLARABOIA</v>
      </c>
      <c r="J14" s="429">
        <f>SUMIF(C:C,I14,G:G)</f>
        <v>25389</v>
      </c>
      <c r="K14" s="920"/>
    </row>
    <row r="15" spans="1:21" ht="14.25" customHeight="1" x14ac:dyDescent="0.25">
      <c r="A15" s="284"/>
      <c r="B15" s="432"/>
      <c r="C15" s="433"/>
      <c r="D15" s="443"/>
      <c r="E15" s="428"/>
      <c r="F15" s="729"/>
      <c r="G15" s="429">
        <f t="shared" si="0"/>
        <v>0</v>
      </c>
      <c r="H15" s="289"/>
      <c r="I15" s="442">
        <v>0</v>
      </c>
      <c r="J15" s="429"/>
      <c r="K15" s="285"/>
    </row>
    <row r="16" spans="1:21" ht="14.25" customHeight="1" x14ac:dyDescent="0.25">
      <c r="A16" s="284"/>
      <c r="B16" s="305"/>
      <c r="C16" s="305"/>
      <c r="D16" s="251"/>
      <c r="E16" s="251"/>
      <c r="F16" s="251"/>
      <c r="G16" s="251"/>
      <c r="H16" s="289"/>
      <c r="I16" s="305"/>
      <c r="J16" s="251"/>
      <c r="K16" s="285"/>
    </row>
    <row r="17" spans="1:11" ht="14.25" customHeight="1" x14ac:dyDescent="0.25">
      <c r="A17" s="284"/>
      <c r="B17" s="305"/>
      <c r="C17" s="305"/>
      <c r="D17" s="251"/>
      <c r="E17" s="251"/>
      <c r="F17" s="251"/>
      <c r="G17" s="251"/>
      <c r="H17" s="289"/>
      <c r="I17" s="305"/>
      <c r="J17" s="251">
        <f>SUM(J11:J15)/SUM(D11:D15)</f>
        <v>1737.0849604886851</v>
      </c>
      <c r="K17" s="285"/>
    </row>
    <row r="18" spans="1:11" ht="14.25" customHeight="1" x14ac:dyDescent="0.25">
      <c r="A18" s="284"/>
      <c r="B18" s="305"/>
      <c r="C18" s="305"/>
      <c r="D18" s="251"/>
      <c r="E18" s="251"/>
      <c r="F18" s="251"/>
      <c r="G18" s="251"/>
      <c r="H18" s="289"/>
      <c r="I18" s="305"/>
      <c r="J18" s="251">
        <f>SUM(J11:J15)*1.1</f>
        <v>7275862.0000000019</v>
      </c>
      <c r="K18" s="285"/>
    </row>
    <row r="19" spans="1:11" ht="14.25" customHeight="1" thickBot="1" x14ac:dyDescent="0.3">
      <c r="A19" s="297"/>
      <c r="B19" s="449"/>
      <c r="C19" s="449"/>
      <c r="D19" s="450"/>
      <c r="E19" s="450"/>
      <c r="F19" s="450"/>
      <c r="G19" s="450"/>
      <c r="H19" s="298"/>
      <c r="I19" s="449"/>
      <c r="J19" s="450"/>
      <c r="K19" s="299"/>
    </row>
    <row r="20" spans="1:11" ht="14.25" customHeight="1" x14ac:dyDescent="0.25">
      <c r="A20" s="289"/>
      <c r="D20" s="251"/>
      <c r="E20" s="251"/>
      <c r="F20" s="251"/>
      <c r="G20" s="251"/>
      <c r="H20" s="289"/>
      <c r="J20" s="251"/>
      <c r="K20" s="289"/>
    </row>
    <row r="21" spans="1:11" ht="14.25" customHeight="1" x14ac:dyDescent="0.25">
      <c r="A21" s="289"/>
      <c r="D21" s="251"/>
      <c r="E21" s="251"/>
      <c r="F21" s="251"/>
      <c r="G21" s="251"/>
      <c r="H21" s="289"/>
      <c r="J21" s="251"/>
      <c r="K21" s="289"/>
    </row>
    <row r="22" spans="1:11" ht="14.25" customHeight="1" x14ac:dyDescent="0.25">
      <c r="A22" s="289"/>
      <c r="D22" s="251"/>
      <c r="E22" s="251"/>
      <c r="F22" s="251"/>
      <c r="G22" s="251"/>
      <c r="H22" s="289"/>
      <c r="J22" s="251"/>
      <c r="K22" s="289"/>
    </row>
    <row r="23" spans="1:11" ht="14.25" customHeight="1" x14ac:dyDescent="0.25">
      <c r="A23" s="289"/>
      <c r="D23" s="251"/>
      <c r="E23" s="251"/>
      <c r="F23" s="251"/>
      <c r="G23" s="251"/>
      <c r="H23" s="289"/>
      <c r="J23" s="251"/>
      <c r="K23" s="289"/>
    </row>
    <row r="24" spans="1:11" ht="14.25" customHeight="1" x14ac:dyDescent="0.25">
      <c r="A24" s="289"/>
      <c r="D24" s="251"/>
      <c r="E24" s="251"/>
      <c r="F24" s="251"/>
      <c r="G24" s="251"/>
      <c r="H24" s="289"/>
      <c r="J24" s="251"/>
      <c r="K24" s="289"/>
    </row>
    <row r="25" spans="1:11" ht="14.25" customHeight="1" x14ac:dyDescent="0.25">
      <c r="A25" s="289"/>
      <c r="D25" s="251"/>
      <c r="E25" s="251"/>
      <c r="F25" s="251"/>
      <c r="G25" s="251"/>
      <c r="H25" s="289"/>
      <c r="J25" s="251"/>
      <c r="K25" s="289"/>
    </row>
    <row r="26" spans="1:11" ht="14.25" customHeight="1" x14ac:dyDescent="0.25">
      <c r="A26" s="289"/>
      <c r="D26" s="251"/>
      <c r="E26" s="251"/>
      <c r="F26" s="251"/>
      <c r="G26" s="251"/>
      <c r="H26" s="289"/>
      <c r="J26" s="251"/>
      <c r="K26" s="289"/>
    </row>
    <row r="27" spans="1:11" ht="14.25" customHeight="1" x14ac:dyDescent="0.25">
      <c r="A27" s="289"/>
      <c r="D27" s="251"/>
      <c r="E27" s="251"/>
      <c r="F27" s="251"/>
      <c r="G27" s="251"/>
      <c r="H27" s="289"/>
      <c r="J27" s="251"/>
      <c r="K27" s="289"/>
    </row>
    <row r="28" spans="1:11" ht="14.25" customHeight="1" x14ac:dyDescent="0.25">
      <c r="A28" s="289"/>
      <c r="D28" s="251"/>
      <c r="E28" s="251"/>
      <c r="F28" s="251"/>
      <c r="G28" s="251"/>
      <c r="H28" s="289"/>
      <c r="J28" s="251"/>
      <c r="K28" s="289"/>
    </row>
    <row r="29" spans="1:11" ht="14.25" customHeight="1" x14ac:dyDescent="0.25">
      <c r="A29" s="289"/>
      <c r="D29" s="251"/>
      <c r="E29" s="251"/>
      <c r="F29" s="251"/>
      <c r="G29" s="251"/>
      <c r="H29" s="289"/>
      <c r="J29" s="251"/>
      <c r="K29" s="289"/>
    </row>
    <row r="30" spans="1:11" ht="14.25" customHeight="1" x14ac:dyDescent="0.25">
      <c r="A30" s="289"/>
      <c r="D30" s="251"/>
      <c r="E30" s="251"/>
      <c r="F30" s="251"/>
      <c r="G30" s="251"/>
      <c r="H30" s="289"/>
      <c r="J30" s="251"/>
      <c r="K30" s="289"/>
    </row>
    <row r="31" spans="1:11" ht="14.25" customHeight="1" x14ac:dyDescent="0.25">
      <c r="A31" s="289"/>
      <c r="D31" s="251"/>
      <c r="E31" s="251"/>
      <c r="F31" s="251"/>
      <c r="G31" s="251"/>
      <c r="H31" s="289"/>
      <c r="J31" s="251"/>
      <c r="K31" s="289"/>
    </row>
    <row r="32" spans="1:11" ht="14.25" customHeight="1" x14ac:dyDescent="0.25">
      <c r="A32" s="289"/>
      <c r="D32" s="251"/>
      <c r="E32" s="251"/>
      <c r="F32" s="251"/>
      <c r="G32" s="251"/>
      <c r="H32" s="289"/>
      <c r="J32" s="251"/>
      <c r="K32" s="289"/>
    </row>
    <row r="33" spans="1:11" ht="14.25" customHeight="1" x14ac:dyDescent="0.25">
      <c r="A33" s="289"/>
      <c r="D33" s="251"/>
      <c r="E33" s="251"/>
      <c r="F33" s="251"/>
      <c r="G33" s="251"/>
      <c r="H33" s="289"/>
      <c r="J33" s="251"/>
      <c r="K33" s="289"/>
    </row>
    <row r="34" spans="1:11" ht="14.25" customHeight="1" x14ac:dyDescent="0.25">
      <c r="A34" s="289"/>
      <c r="D34" s="251"/>
      <c r="E34" s="251"/>
      <c r="F34" s="251"/>
      <c r="G34" s="251"/>
      <c r="H34" s="289"/>
      <c r="J34" s="251"/>
      <c r="K34" s="289"/>
    </row>
    <row r="35" spans="1:11" ht="14.25" customHeight="1" x14ac:dyDescent="0.25">
      <c r="A35" s="289"/>
      <c r="D35" s="251"/>
      <c r="E35" s="251"/>
      <c r="F35" s="251"/>
      <c r="G35" s="251"/>
      <c r="H35" s="289"/>
      <c r="J35" s="251"/>
      <c r="K35" s="289"/>
    </row>
    <row r="36" spans="1:11" ht="14.25" customHeight="1" x14ac:dyDescent="0.25">
      <c r="A36" s="289"/>
      <c r="D36" s="251"/>
      <c r="E36" s="251"/>
      <c r="F36" s="251"/>
      <c r="G36" s="251"/>
      <c r="H36" s="289"/>
      <c r="J36" s="251"/>
      <c r="K36" s="289"/>
    </row>
    <row r="37" spans="1:11" ht="14.25" customHeight="1" x14ac:dyDescent="0.25">
      <c r="A37" s="289"/>
      <c r="D37" s="251"/>
      <c r="E37" s="251"/>
      <c r="F37" s="251"/>
      <c r="G37" s="251"/>
      <c r="H37" s="289"/>
      <c r="J37" s="251"/>
      <c r="K37" s="289"/>
    </row>
    <row r="38" spans="1:11" ht="14.25" customHeight="1" x14ac:dyDescent="0.25">
      <c r="A38" s="289"/>
      <c r="D38" s="251"/>
      <c r="E38" s="251"/>
      <c r="F38" s="251"/>
      <c r="G38" s="251"/>
      <c r="H38" s="289"/>
      <c r="J38" s="251"/>
      <c r="K38" s="289"/>
    </row>
    <row r="39" spans="1:11" ht="14.25" customHeight="1" x14ac:dyDescent="0.25">
      <c r="A39" s="289"/>
      <c r="D39" s="251"/>
      <c r="E39" s="251"/>
      <c r="F39" s="251"/>
      <c r="G39" s="251"/>
      <c r="H39" s="289"/>
      <c r="J39" s="251"/>
      <c r="K39" s="289"/>
    </row>
    <row r="40" spans="1:11" ht="14.25" customHeight="1" x14ac:dyDescent="0.25">
      <c r="A40" s="289"/>
      <c r="D40" s="251"/>
      <c r="E40" s="251"/>
      <c r="F40" s="251"/>
      <c r="G40" s="251"/>
      <c r="H40" s="289"/>
      <c r="J40" s="251"/>
      <c r="K40" s="289"/>
    </row>
    <row r="41" spans="1:11" ht="14.25" customHeight="1" x14ac:dyDescent="0.25">
      <c r="A41" s="289"/>
      <c r="D41" s="251"/>
      <c r="E41" s="251"/>
      <c r="F41" s="251"/>
      <c r="G41" s="251"/>
      <c r="H41" s="289"/>
      <c r="J41" s="251"/>
      <c r="K41" s="289"/>
    </row>
    <row r="42" spans="1:11" ht="14.25" customHeight="1" x14ac:dyDescent="0.25">
      <c r="A42" s="289"/>
      <c r="D42" s="251"/>
      <c r="E42" s="251"/>
      <c r="F42" s="251"/>
      <c r="G42" s="251"/>
      <c r="H42" s="289"/>
      <c r="J42" s="251"/>
      <c r="K42" s="289"/>
    </row>
    <row r="43" spans="1:11" ht="14.25" customHeight="1" x14ac:dyDescent="0.25">
      <c r="A43" s="289"/>
      <c r="D43" s="251"/>
      <c r="E43" s="251"/>
      <c r="F43" s="251"/>
      <c r="G43" s="251"/>
      <c r="H43" s="289"/>
      <c r="J43" s="251"/>
      <c r="K43" s="289"/>
    </row>
    <row r="44" spans="1:11" ht="14.25" customHeight="1" x14ac:dyDescent="0.25">
      <c r="A44" s="289"/>
      <c r="D44" s="251"/>
      <c r="E44" s="251"/>
      <c r="F44" s="251"/>
      <c r="G44" s="251"/>
      <c r="H44" s="289"/>
      <c r="J44" s="251"/>
      <c r="K44" s="289"/>
    </row>
    <row r="45" spans="1:11" ht="14.25" customHeight="1" x14ac:dyDescent="0.25">
      <c r="A45" s="289"/>
      <c r="D45" s="251"/>
      <c r="E45" s="251"/>
      <c r="F45" s="251"/>
      <c r="G45" s="251"/>
      <c r="H45" s="289"/>
      <c r="J45" s="251"/>
      <c r="K45" s="289"/>
    </row>
    <row r="46" spans="1:11" ht="14.25" customHeight="1" x14ac:dyDescent="0.25">
      <c r="A46" s="289"/>
      <c r="D46" s="251"/>
      <c r="E46" s="251"/>
      <c r="F46" s="251"/>
      <c r="G46" s="251"/>
      <c r="H46" s="289"/>
      <c r="J46" s="251"/>
      <c r="K46" s="289"/>
    </row>
    <row r="47" spans="1:11" ht="14.25" customHeight="1" x14ac:dyDescent="0.25">
      <c r="A47" s="289"/>
      <c r="D47" s="251"/>
      <c r="E47" s="251"/>
      <c r="F47" s="251"/>
      <c r="G47" s="251"/>
      <c r="H47" s="289"/>
      <c r="J47" s="251"/>
      <c r="K47" s="289"/>
    </row>
    <row r="48" spans="1:11" ht="14.25" customHeight="1" x14ac:dyDescent="0.25">
      <c r="A48" s="289"/>
      <c r="D48" s="251"/>
      <c r="E48" s="251"/>
      <c r="F48" s="251"/>
      <c r="G48" s="251"/>
      <c r="H48" s="289"/>
      <c r="J48" s="251"/>
      <c r="K48" s="289"/>
    </row>
    <row r="49" spans="1:11" ht="14.25" customHeight="1" x14ac:dyDescent="0.25">
      <c r="A49" s="289"/>
      <c r="D49" s="251"/>
      <c r="E49" s="251"/>
      <c r="F49" s="251"/>
      <c r="G49" s="251"/>
      <c r="H49" s="289"/>
      <c r="J49" s="251"/>
      <c r="K49" s="289"/>
    </row>
    <row r="50" spans="1:11" ht="14.25" customHeight="1" x14ac:dyDescent="0.25">
      <c r="A50" s="289"/>
      <c r="D50" s="251"/>
      <c r="E50" s="251"/>
      <c r="F50" s="251"/>
      <c r="G50" s="251"/>
      <c r="H50" s="289"/>
      <c r="J50" s="251"/>
      <c r="K50" s="289"/>
    </row>
    <row r="51" spans="1:11" ht="14.25" customHeight="1" x14ac:dyDescent="0.25">
      <c r="A51" s="289"/>
      <c r="D51" s="251"/>
      <c r="E51" s="251"/>
      <c r="F51" s="251"/>
      <c r="G51" s="251"/>
      <c r="H51" s="289"/>
      <c r="J51" s="251"/>
      <c r="K51" s="289"/>
    </row>
    <row r="52" spans="1:11" ht="14.25" customHeight="1" x14ac:dyDescent="0.25">
      <c r="A52" s="289"/>
      <c r="D52" s="251"/>
      <c r="E52" s="251"/>
      <c r="F52" s="251"/>
      <c r="G52" s="251"/>
      <c r="H52" s="289"/>
      <c r="J52" s="251"/>
      <c r="K52" s="289"/>
    </row>
    <row r="53" spans="1:11" ht="14.25" customHeight="1" x14ac:dyDescent="0.25">
      <c r="A53" s="289"/>
      <c r="D53" s="251"/>
      <c r="E53" s="251"/>
      <c r="F53" s="251"/>
      <c r="G53" s="251"/>
      <c r="H53" s="289"/>
      <c r="J53" s="251"/>
      <c r="K53" s="289"/>
    </row>
    <row r="54" spans="1:11" ht="14.25" customHeight="1" x14ac:dyDescent="0.25">
      <c r="A54" s="289"/>
      <c r="D54" s="251"/>
      <c r="E54" s="251"/>
      <c r="F54" s="251"/>
      <c r="G54" s="251"/>
      <c r="H54" s="289"/>
      <c r="J54" s="251"/>
      <c r="K54" s="289"/>
    </row>
    <row r="55" spans="1:11" ht="14.25" customHeight="1" x14ac:dyDescent="0.25">
      <c r="A55" s="289"/>
      <c r="D55" s="251"/>
      <c r="E55" s="251"/>
      <c r="F55" s="251"/>
      <c r="G55" s="251"/>
      <c r="H55" s="289"/>
      <c r="J55" s="251"/>
      <c r="K55" s="289"/>
    </row>
    <row r="56" spans="1:11" ht="14.25" customHeight="1" x14ac:dyDescent="0.25">
      <c r="A56" s="289"/>
      <c r="D56" s="251"/>
      <c r="E56" s="251"/>
      <c r="F56" s="251"/>
      <c r="G56" s="251"/>
      <c r="H56" s="289"/>
      <c r="J56" s="251"/>
      <c r="K56" s="289"/>
    </row>
    <row r="57" spans="1:11" ht="14.25" customHeight="1" x14ac:dyDescent="0.25">
      <c r="A57" s="289"/>
      <c r="D57" s="251"/>
      <c r="E57" s="251"/>
      <c r="F57" s="251"/>
      <c r="G57" s="251"/>
      <c r="H57" s="289"/>
      <c r="J57" s="251"/>
      <c r="K57" s="289"/>
    </row>
    <row r="58" spans="1:11" ht="14.25" customHeight="1" x14ac:dyDescent="0.25">
      <c r="A58" s="289"/>
      <c r="D58" s="251"/>
      <c r="E58" s="251"/>
      <c r="F58" s="251"/>
      <c r="G58" s="251"/>
      <c r="H58" s="289"/>
      <c r="J58" s="251"/>
      <c r="K58" s="289"/>
    </row>
    <row r="59" spans="1:11" ht="14.25" customHeight="1" x14ac:dyDescent="0.25">
      <c r="A59" s="289"/>
      <c r="D59" s="251"/>
      <c r="E59" s="251"/>
      <c r="F59" s="251"/>
      <c r="G59" s="251"/>
      <c r="H59" s="289"/>
      <c r="J59" s="251"/>
      <c r="K59" s="289"/>
    </row>
    <row r="60" spans="1:11" ht="14.25" customHeight="1" x14ac:dyDescent="0.25">
      <c r="A60" s="289"/>
      <c r="D60" s="251"/>
      <c r="E60" s="251"/>
      <c r="F60" s="251"/>
      <c r="G60" s="251"/>
      <c r="H60" s="289"/>
      <c r="J60" s="251"/>
      <c r="K60" s="289"/>
    </row>
    <row r="61" spans="1:11" ht="14.25" customHeight="1" x14ac:dyDescent="0.25">
      <c r="A61" s="289"/>
      <c r="D61" s="251"/>
      <c r="E61" s="251"/>
      <c r="F61" s="251"/>
      <c r="G61" s="251"/>
      <c r="H61" s="289"/>
      <c r="J61" s="251"/>
      <c r="K61" s="289"/>
    </row>
    <row r="62" spans="1:11" ht="14.25" customHeight="1" x14ac:dyDescent="0.25">
      <c r="A62" s="289"/>
      <c r="D62" s="251"/>
      <c r="E62" s="251"/>
      <c r="F62" s="251"/>
      <c r="G62" s="251"/>
      <c r="H62" s="289"/>
      <c r="J62" s="251"/>
      <c r="K62" s="289"/>
    </row>
    <row r="63" spans="1:11" ht="14.25" customHeight="1" x14ac:dyDescent="0.25">
      <c r="A63" s="289"/>
      <c r="D63" s="251"/>
      <c r="E63" s="251"/>
      <c r="F63" s="251"/>
      <c r="G63" s="251"/>
      <c r="H63" s="289"/>
      <c r="J63" s="251"/>
      <c r="K63" s="289"/>
    </row>
    <row r="64" spans="1:11" ht="14.25" customHeight="1" x14ac:dyDescent="0.25">
      <c r="A64" s="289"/>
      <c r="D64" s="251"/>
      <c r="E64" s="251"/>
      <c r="F64" s="251"/>
      <c r="G64" s="251"/>
      <c r="H64" s="289"/>
      <c r="J64" s="251"/>
      <c r="K64" s="289"/>
    </row>
    <row r="65" spans="1:11" ht="14.25" customHeight="1" x14ac:dyDescent="0.25">
      <c r="A65" s="289"/>
      <c r="D65" s="251"/>
      <c r="E65" s="251"/>
      <c r="F65" s="251"/>
      <c r="G65" s="251"/>
      <c r="H65" s="289"/>
      <c r="J65" s="251"/>
      <c r="K65" s="289"/>
    </row>
    <row r="66" spans="1:11" ht="14.25" customHeight="1" x14ac:dyDescent="0.25">
      <c r="A66" s="289"/>
      <c r="D66" s="251"/>
      <c r="E66" s="251"/>
      <c r="F66" s="251"/>
      <c r="G66" s="251"/>
      <c r="H66" s="289"/>
      <c r="J66" s="251"/>
      <c r="K66" s="289"/>
    </row>
    <row r="67" spans="1:11" ht="14.25" customHeight="1" x14ac:dyDescent="0.25">
      <c r="A67" s="289"/>
      <c r="D67" s="251"/>
      <c r="E67" s="251"/>
      <c r="F67" s="251"/>
      <c r="G67" s="251"/>
      <c r="H67" s="289"/>
      <c r="J67" s="251"/>
      <c r="K67" s="289"/>
    </row>
    <row r="68" spans="1:11" ht="14.25" customHeight="1" x14ac:dyDescent="0.25">
      <c r="A68" s="289"/>
      <c r="D68" s="251"/>
      <c r="E68" s="251"/>
      <c r="F68" s="251"/>
      <c r="G68" s="251"/>
      <c r="H68" s="289"/>
      <c r="J68" s="251"/>
      <c r="K68" s="289"/>
    </row>
    <row r="69" spans="1:11" ht="14.25" customHeight="1" x14ac:dyDescent="0.25">
      <c r="A69" s="289"/>
      <c r="D69" s="251"/>
      <c r="E69" s="251"/>
      <c r="F69" s="251"/>
      <c r="G69" s="251"/>
      <c r="H69" s="289"/>
      <c r="J69" s="251"/>
      <c r="K69" s="289"/>
    </row>
    <row r="70" spans="1:11" ht="14.25" customHeight="1" x14ac:dyDescent="0.25">
      <c r="A70" s="289"/>
      <c r="D70" s="251"/>
      <c r="E70" s="251"/>
      <c r="F70" s="251"/>
      <c r="G70" s="251"/>
      <c r="H70" s="289"/>
      <c r="J70" s="251"/>
      <c r="K70" s="289"/>
    </row>
    <row r="71" spans="1:11" ht="14.25" customHeight="1" x14ac:dyDescent="0.25">
      <c r="A71" s="289"/>
      <c r="D71" s="251"/>
      <c r="E71" s="251"/>
      <c r="F71" s="251"/>
      <c r="G71" s="251"/>
      <c r="H71" s="289"/>
      <c r="J71" s="251"/>
      <c r="K71" s="289"/>
    </row>
    <row r="72" spans="1:11" ht="14.25" customHeight="1" x14ac:dyDescent="0.25">
      <c r="A72" s="289"/>
      <c r="D72" s="251"/>
      <c r="E72" s="251"/>
      <c r="F72" s="251"/>
      <c r="G72" s="251"/>
      <c r="H72" s="289"/>
      <c r="J72" s="251"/>
      <c r="K72" s="289"/>
    </row>
    <row r="73" spans="1:11" ht="14.25" customHeight="1" x14ac:dyDescent="0.25">
      <c r="A73" s="289"/>
      <c r="D73" s="251"/>
      <c r="E73" s="251"/>
      <c r="F73" s="251"/>
      <c r="G73" s="251"/>
      <c r="H73" s="289"/>
      <c r="J73" s="251"/>
      <c r="K73" s="289"/>
    </row>
    <row r="74" spans="1:11" ht="14.25" customHeight="1" x14ac:dyDescent="0.25">
      <c r="A74" s="289"/>
      <c r="D74" s="251"/>
      <c r="E74" s="251"/>
      <c r="F74" s="251"/>
      <c r="G74" s="251"/>
      <c r="H74" s="289"/>
      <c r="J74" s="251"/>
      <c r="K74" s="289"/>
    </row>
    <row r="75" spans="1:11" ht="14.25" customHeight="1" x14ac:dyDescent="0.25">
      <c r="A75" s="289"/>
      <c r="D75" s="251"/>
      <c r="E75" s="251"/>
      <c r="F75" s="251"/>
      <c r="G75" s="251"/>
      <c r="H75" s="289"/>
      <c r="J75" s="251"/>
      <c r="K75" s="289"/>
    </row>
    <row r="76" spans="1:11" ht="14.25" customHeight="1" x14ac:dyDescent="0.25">
      <c r="A76" s="289"/>
      <c r="D76" s="251"/>
      <c r="E76" s="251"/>
      <c r="F76" s="251"/>
      <c r="G76" s="251"/>
      <c r="H76" s="289"/>
      <c r="J76" s="251"/>
      <c r="K76" s="289"/>
    </row>
    <row r="77" spans="1:11" ht="14.25" customHeight="1" x14ac:dyDescent="0.25">
      <c r="A77" s="289"/>
      <c r="D77" s="251"/>
      <c r="E77" s="251"/>
      <c r="F77" s="251"/>
      <c r="G77" s="251"/>
      <c r="H77" s="289"/>
      <c r="J77" s="251"/>
      <c r="K77" s="289"/>
    </row>
    <row r="78" spans="1:11" ht="14.25" customHeight="1" x14ac:dyDescent="0.25">
      <c r="A78" s="289"/>
      <c r="D78" s="251"/>
      <c r="E78" s="251"/>
      <c r="F78" s="251"/>
      <c r="G78" s="251"/>
      <c r="H78" s="289"/>
      <c r="J78" s="251"/>
      <c r="K78" s="289"/>
    </row>
    <row r="79" spans="1:11" ht="14.25" customHeight="1" x14ac:dyDescent="0.25">
      <c r="A79" s="289"/>
      <c r="D79" s="251"/>
      <c r="E79" s="251"/>
      <c r="F79" s="251"/>
      <c r="G79" s="251"/>
      <c r="H79" s="289"/>
      <c r="J79" s="251"/>
      <c r="K79" s="289"/>
    </row>
    <row r="80" spans="1:11" ht="14.25" customHeight="1" x14ac:dyDescent="0.25">
      <c r="A80" s="289"/>
      <c r="D80" s="251"/>
      <c r="E80" s="251"/>
      <c r="F80" s="251"/>
      <c r="G80" s="251"/>
      <c r="H80" s="289"/>
      <c r="J80" s="251"/>
      <c r="K80" s="289"/>
    </row>
    <row r="81" spans="1:11" ht="14.25" customHeight="1" x14ac:dyDescent="0.25">
      <c r="A81" s="289"/>
      <c r="D81" s="251"/>
      <c r="E81" s="251"/>
      <c r="F81" s="251"/>
      <c r="G81" s="251"/>
      <c r="H81" s="289"/>
      <c r="J81" s="251"/>
      <c r="K81" s="289"/>
    </row>
    <row r="82" spans="1:11" ht="14.25" customHeight="1" x14ac:dyDescent="0.25">
      <c r="A82" s="289"/>
      <c r="D82" s="251"/>
      <c r="E82" s="251"/>
      <c r="F82" s="251"/>
      <c r="G82" s="251"/>
      <c r="H82" s="289"/>
      <c r="J82" s="251"/>
      <c r="K82" s="289"/>
    </row>
    <row r="83" spans="1:11" ht="14.25" customHeight="1" x14ac:dyDescent="0.25">
      <c r="A83" s="289"/>
      <c r="D83" s="251"/>
      <c r="E83" s="251"/>
      <c r="F83" s="251"/>
      <c r="G83" s="251"/>
      <c r="H83" s="289"/>
      <c r="J83" s="251"/>
      <c r="K83" s="289"/>
    </row>
    <row r="84" spans="1:11" ht="14.25" customHeight="1" x14ac:dyDescent="0.25">
      <c r="A84" s="289"/>
      <c r="D84" s="251"/>
      <c r="E84" s="251"/>
      <c r="F84" s="251"/>
      <c r="G84" s="251"/>
      <c r="H84" s="289"/>
      <c r="J84" s="251"/>
      <c r="K84" s="289"/>
    </row>
    <row r="85" spans="1:11" ht="14.25" customHeight="1" x14ac:dyDescent="0.25">
      <c r="A85" s="289"/>
      <c r="D85" s="251"/>
      <c r="E85" s="251"/>
      <c r="F85" s="251"/>
      <c r="G85" s="251"/>
      <c r="H85" s="289"/>
      <c r="J85" s="251"/>
      <c r="K85" s="289"/>
    </row>
    <row r="86" spans="1:11" ht="14.25" customHeight="1" x14ac:dyDescent="0.25">
      <c r="A86" s="289"/>
      <c r="D86" s="251"/>
      <c r="E86" s="251"/>
      <c r="F86" s="251"/>
      <c r="G86" s="251"/>
      <c r="H86" s="289"/>
      <c r="J86" s="251"/>
      <c r="K86" s="289"/>
    </row>
    <row r="87" spans="1:11" ht="14.25" customHeight="1" x14ac:dyDescent="0.25">
      <c r="A87" s="289"/>
      <c r="D87" s="251"/>
      <c r="E87" s="251"/>
      <c r="F87" s="251"/>
      <c r="G87" s="251"/>
      <c r="H87" s="289"/>
      <c r="J87" s="251"/>
      <c r="K87" s="289"/>
    </row>
    <row r="88" spans="1:11" ht="14.25" customHeight="1" x14ac:dyDescent="0.25">
      <c r="A88" s="289"/>
      <c r="D88" s="251"/>
      <c r="E88" s="251"/>
      <c r="F88" s="251"/>
      <c r="G88" s="251"/>
      <c r="H88" s="289"/>
      <c r="J88" s="251"/>
      <c r="K88" s="289"/>
    </row>
    <row r="89" spans="1:11" ht="14.25" customHeight="1" x14ac:dyDescent="0.25">
      <c r="A89" s="289"/>
      <c r="D89" s="251"/>
      <c r="E89" s="251"/>
      <c r="F89" s="251"/>
      <c r="G89" s="251"/>
      <c r="H89" s="289"/>
      <c r="J89" s="251"/>
      <c r="K89" s="289"/>
    </row>
    <row r="90" spans="1:11" ht="14.25" customHeight="1" x14ac:dyDescent="0.25">
      <c r="A90" s="289"/>
      <c r="D90" s="251"/>
      <c r="E90" s="251"/>
      <c r="F90" s="251"/>
      <c r="G90" s="251"/>
      <c r="H90" s="289"/>
      <c r="J90" s="251"/>
      <c r="K90" s="289"/>
    </row>
    <row r="91" spans="1:11" ht="14.25" customHeight="1" x14ac:dyDescent="0.25">
      <c r="A91" s="289"/>
      <c r="D91" s="251"/>
      <c r="E91" s="251"/>
      <c r="F91" s="251"/>
      <c r="G91" s="251"/>
      <c r="H91" s="289"/>
      <c r="J91" s="251"/>
      <c r="K91" s="289"/>
    </row>
    <row r="92" spans="1:11" ht="14.25" customHeight="1" x14ac:dyDescent="0.25">
      <c r="A92" s="289"/>
      <c r="D92" s="251"/>
      <c r="E92" s="251"/>
      <c r="F92" s="251"/>
      <c r="G92" s="251"/>
      <c r="H92" s="289"/>
      <c r="J92" s="251"/>
      <c r="K92" s="289"/>
    </row>
    <row r="93" spans="1:11" ht="14.25" customHeight="1" x14ac:dyDescent="0.25">
      <c r="A93" s="289"/>
      <c r="D93" s="251"/>
      <c r="E93" s="251"/>
      <c r="F93" s="251"/>
      <c r="G93" s="251"/>
      <c r="H93" s="289"/>
      <c r="J93" s="251"/>
      <c r="K93" s="289"/>
    </row>
    <row r="94" spans="1:11" ht="14.25" customHeight="1" x14ac:dyDescent="0.25">
      <c r="A94" s="289"/>
      <c r="D94" s="251"/>
      <c r="E94" s="251"/>
      <c r="F94" s="251"/>
      <c r="G94" s="251"/>
      <c r="H94" s="289"/>
      <c r="J94" s="251"/>
      <c r="K94" s="289"/>
    </row>
    <row r="95" spans="1:11" ht="14.25" customHeight="1" x14ac:dyDescent="0.25">
      <c r="A95" s="289"/>
      <c r="D95" s="251"/>
      <c r="E95" s="251"/>
      <c r="F95" s="251"/>
      <c r="G95" s="251"/>
      <c r="H95" s="289"/>
      <c r="J95" s="251"/>
      <c r="K95" s="289"/>
    </row>
    <row r="96" spans="1:11" ht="14.25" customHeight="1" x14ac:dyDescent="0.25">
      <c r="A96" s="289"/>
      <c r="D96" s="251"/>
      <c r="E96" s="251"/>
      <c r="F96" s="251"/>
      <c r="G96" s="251"/>
      <c r="H96" s="289"/>
      <c r="J96" s="251"/>
      <c r="K96" s="289"/>
    </row>
    <row r="97" spans="1:11" ht="14.25" customHeight="1" x14ac:dyDescent="0.25">
      <c r="A97" s="289"/>
      <c r="D97" s="251"/>
      <c r="E97" s="251"/>
      <c r="F97" s="251"/>
      <c r="G97" s="251"/>
      <c r="H97" s="289"/>
      <c r="J97" s="251"/>
      <c r="K97" s="289"/>
    </row>
    <row r="98" spans="1:11" ht="14.25" customHeight="1" x14ac:dyDescent="0.25">
      <c r="A98" s="289"/>
      <c r="D98" s="251"/>
      <c r="E98" s="251"/>
      <c r="F98" s="251"/>
      <c r="G98" s="251"/>
      <c r="H98" s="289"/>
      <c r="J98" s="251"/>
      <c r="K98" s="289"/>
    </row>
    <row r="99" spans="1:11" ht="14.25" customHeight="1" x14ac:dyDescent="0.25">
      <c r="A99" s="289"/>
      <c r="D99" s="251"/>
      <c r="E99" s="251"/>
      <c r="F99" s="251"/>
      <c r="G99" s="251"/>
      <c r="H99" s="289"/>
      <c r="J99" s="251"/>
      <c r="K99" s="289"/>
    </row>
    <row r="100" spans="1:11" ht="14.25" customHeight="1" x14ac:dyDescent="0.25">
      <c r="A100" s="289"/>
      <c r="D100" s="251"/>
      <c r="E100" s="251"/>
      <c r="F100" s="251"/>
      <c r="G100" s="251"/>
      <c r="H100" s="289"/>
      <c r="J100" s="251"/>
      <c r="K100" s="289"/>
    </row>
    <row r="101" spans="1:11" ht="14.25" customHeight="1" x14ac:dyDescent="0.25">
      <c r="A101" s="289"/>
      <c r="D101" s="251"/>
      <c r="E101" s="251"/>
      <c r="F101" s="251"/>
      <c r="G101" s="251"/>
      <c r="H101" s="289"/>
      <c r="J101" s="251"/>
      <c r="K101" s="289"/>
    </row>
    <row r="102" spans="1:11" ht="14.25" customHeight="1" x14ac:dyDescent="0.25">
      <c r="A102" s="289"/>
      <c r="D102" s="251"/>
      <c r="E102" s="251"/>
      <c r="F102" s="251"/>
      <c r="G102" s="251"/>
      <c r="H102" s="289"/>
      <c r="J102" s="251"/>
      <c r="K102" s="289"/>
    </row>
    <row r="103" spans="1:11" ht="14.25" customHeight="1" x14ac:dyDescent="0.25">
      <c r="A103" s="289"/>
      <c r="D103" s="251"/>
      <c r="E103" s="251"/>
      <c r="F103" s="251"/>
      <c r="G103" s="251"/>
      <c r="H103" s="289"/>
      <c r="J103" s="251"/>
      <c r="K103" s="289"/>
    </row>
    <row r="104" spans="1:11" ht="14.25" customHeight="1" x14ac:dyDescent="0.25">
      <c r="A104" s="289"/>
      <c r="D104" s="251"/>
      <c r="E104" s="251"/>
      <c r="F104" s="251"/>
      <c r="G104" s="251"/>
      <c r="H104" s="289"/>
      <c r="J104" s="251"/>
      <c r="K104" s="289"/>
    </row>
    <row r="105" spans="1:11" ht="14.25" customHeight="1" x14ac:dyDescent="0.25">
      <c r="A105" s="289"/>
      <c r="D105" s="251"/>
      <c r="E105" s="251"/>
      <c r="F105" s="251"/>
      <c r="G105" s="251"/>
      <c r="H105" s="289"/>
      <c r="J105" s="251"/>
      <c r="K105" s="289"/>
    </row>
    <row r="106" spans="1:11" ht="14.25" customHeight="1" x14ac:dyDescent="0.25">
      <c r="A106" s="289"/>
      <c r="D106" s="251"/>
      <c r="E106" s="251"/>
      <c r="F106" s="251"/>
      <c r="G106" s="251"/>
      <c r="H106" s="289"/>
      <c r="J106" s="251"/>
      <c r="K106" s="289"/>
    </row>
    <row r="107" spans="1:11" ht="14.25" customHeight="1" x14ac:dyDescent="0.25">
      <c r="A107" s="289"/>
      <c r="D107" s="251"/>
      <c r="E107" s="251"/>
      <c r="F107" s="251"/>
      <c r="G107" s="251"/>
      <c r="H107" s="289"/>
      <c r="J107" s="251"/>
      <c r="K107" s="289"/>
    </row>
    <row r="108" spans="1:11" ht="14.25" customHeight="1" x14ac:dyDescent="0.25">
      <c r="A108" s="289"/>
      <c r="D108" s="251"/>
      <c r="E108" s="251"/>
      <c r="F108" s="251"/>
      <c r="G108" s="251"/>
      <c r="H108" s="289"/>
      <c r="J108" s="251"/>
      <c r="K108" s="289"/>
    </row>
    <row r="109" spans="1:11" ht="14.25" customHeight="1" x14ac:dyDescent="0.25">
      <c r="A109" s="289"/>
      <c r="D109" s="251"/>
      <c r="E109" s="251"/>
      <c r="F109" s="251"/>
      <c r="G109" s="251"/>
      <c r="H109" s="289"/>
      <c r="J109" s="251"/>
      <c r="K109" s="289"/>
    </row>
    <row r="110" spans="1:11" ht="14.25" customHeight="1" x14ac:dyDescent="0.25">
      <c r="A110" s="289"/>
      <c r="D110" s="251"/>
      <c r="E110" s="251"/>
      <c r="F110" s="251"/>
      <c r="G110" s="251"/>
      <c r="H110" s="289"/>
      <c r="J110" s="251"/>
      <c r="K110" s="289"/>
    </row>
    <row r="111" spans="1:11" ht="14.25" customHeight="1" x14ac:dyDescent="0.25">
      <c r="A111" s="289"/>
      <c r="D111" s="251"/>
      <c r="E111" s="251"/>
      <c r="F111" s="251"/>
      <c r="G111" s="251"/>
      <c r="H111" s="289"/>
      <c r="J111" s="251"/>
      <c r="K111" s="289"/>
    </row>
    <row r="112" spans="1:11" ht="14.25" customHeight="1" x14ac:dyDescent="0.25">
      <c r="A112" s="289"/>
      <c r="D112" s="251"/>
      <c r="E112" s="251"/>
      <c r="F112" s="251"/>
      <c r="G112" s="251"/>
      <c r="H112" s="289"/>
      <c r="J112" s="251"/>
      <c r="K112" s="289"/>
    </row>
    <row r="113" spans="1:11" ht="14.25" customHeight="1" x14ac:dyDescent="0.25">
      <c r="A113" s="289"/>
      <c r="D113" s="251"/>
      <c r="E113" s="251"/>
      <c r="F113" s="251"/>
      <c r="G113" s="251"/>
      <c r="H113" s="289"/>
      <c r="J113" s="251"/>
      <c r="K113" s="289"/>
    </row>
    <row r="114" spans="1:11" ht="14.25" customHeight="1" x14ac:dyDescent="0.25">
      <c r="A114" s="289"/>
      <c r="D114" s="251"/>
      <c r="E114" s="251"/>
      <c r="F114" s="251"/>
      <c r="G114" s="251"/>
      <c r="H114" s="289"/>
      <c r="J114" s="251"/>
      <c r="K114" s="289"/>
    </row>
    <row r="115" spans="1:11" ht="14.25" customHeight="1" x14ac:dyDescent="0.25">
      <c r="A115" s="289"/>
      <c r="D115" s="251"/>
      <c r="E115" s="251"/>
      <c r="F115" s="251"/>
      <c r="G115" s="251"/>
      <c r="H115" s="289"/>
      <c r="J115" s="251"/>
      <c r="K115" s="289"/>
    </row>
    <row r="116" spans="1:11" ht="14.25" customHeight="1" x14ac:dyDescent="0.25">
      <c r="A116" s="289"/>
      <c r="D116" s="251"/>
      <c r="E116" s="251"/>
      <c r="F116" s="251"/>
      <c r="G116" s="251"/>
      <c r="H116" s="289"/>
      <c r="J116" s="251"/>
      <c r="K116" s="289"/>
    </row>
    <row r="117" spans="1:11" ht="14.25" customHeight="1" x14ac:dyDescent="0.25">
      <c r="A117" s="289"/>
      <c r="D117" s="251"/>
      <c r="E117" s="251"/>
      <c r="F117" s="251"/>
      <c r="G117" s="251"/>
      <c r="H117" s="289"/>
      <c r="J117" s="251"/>
      <c r="K117" s="289"/>
    </row>
    <row r="118" spans="1:11" ht="14.25" customHeight="1" x14ac:dyDescent="0.25">
      <c r="A118" s="289"/>
      <c r="D118" s="251"/>
      <c r="E118" s="251"/>
      <c r="F118" s="251"/>
      <c r="G118" s="251"/>
      <c r="H118" s="289"/>
      <c r="J118" s="251"/>
      <c r="K118" s="289"/>
    </row>
    <row r="119" spans="1:11" ht="14.25" customHeight="1" x14ac:dyDescent="0.25">
      <c r="A119" s="289"/>
      <c r="D119" s="251"/>
      <c r="E119" s="251"/>
      <c r="F119" s="251"/>
      <c r="G119" s="251"/>
      <c r="H119" s="289"/>
      <c r="J119" s="251"/>
      <c r="K119" s="289"/>
    </row>
    <row r="120" spans="1:11" ht="14.25" customHeight="1" x14ac:dyDescent="0.25">
      <c r="A120" s="289"/>
      <c r="D120" s="251"/>
      <c r="E120" s="251"/>
      <c r="F120" s="251"/>
      <c r="G120" s="251"/>
      <c r="H120" s="289"/>
      <c r="J120" s="251"/>
      <c r="K120" s="289"/>
    </row>
    <row r="121" spans="1:11" ht="14.25" customHeight="1" x14ac:dyDescent="0.25">
      <c r="A121" s="289"/>
      <c r="D121" s="251"/>
      <c r="E121" s="251"/>
      <c r="F121" s="251"/>
      <c r="G121" s="251"/>
      <c r="H121" s="289"/>
      <c r="J121" s="251"/>
      <c r="K121" s="289"/>
    </row>
    <row r="122" spans="1:11" ht="14.25" customHeight="1" x14ac:dyDescent="0.25">
      <c r="A122" s="289"/>
      <c r="D122" s="251"/>
      <c r="E122" s="251"/>
      <c r="F122" s="251"/>
      <c r="G122" s="251"/>
      <c r="H122" s="289"/>
      <c r="J122" s="251"/>
      <c r="K122" s="289"/>
    </row>
    <row r="123" spans="1:11" ht="14.25" customHeight="1" x14ac:dyDescent="0.25">
      <c r="A123" s="289"/>
      <c r="D123" s="251"/>
      <c r="E123" s="251"/>
      <c r="F123" s="251"/>
      <c r="G123" s="251"/>
      <c r="H123" s="289"/>
      <c r="J123" s="251"/>
      <c r="K123" s="289"/>
    </row>
    <row r="124" spans="1:11" ht="14.25" customHeight="1" x14ac:dyDescent="0.25">
      <c r="A124" s="289"/>
      <c r="D124" s="251"/>
      <c r="E124" s="251"/>
      <c r="F124" s="251"/>
      <c r="G124" s="251"/>
      <c r="H124" s="289"/>
      <c r="J124" s="251"/>
      <c r="K124" s="289"/>
    </row>
    <row r="125" spans="1:11" ht="14.25" customHeight="1" x14ac:dyDescent="0.25">
      <c r="A125" s="289"/>
      <c r="D125" s="251"/>
      <c r="E125" s="251"/>
      <c r="F125" s="251"/>
      <c r="G125" s="251"/>
      <c r="H125" s="289"/>
      <c r="J125" s="251"/>
      <c r="K125" s="289"/>
    </row>
    <row r="126" spans="1:11" ht="14.25" customHeight="1" x14ac:dyDescent="0.25">
      <c r="A126" s="289"/>
      <c r="D126" s="251"/>
      <c r="E126" s="251"/>
      <c r="F126" s="251"/>
      <c r="G126" s="251"/>
      <c r="H126" s="289"/>
      <c r="J126" s="251"/>
      <c r="K126" s="289"/>
    </row>
    <row r="127" spans="1:11" ht="14.25" customHeight="1" x14ac:dyDescent="0.25">
      <c r="A127" s="289"/>
      <c r="D127" s="251"/>
      <c r="E127" s="251"/>
      <c r="F127" s="251"/>
      <c r="G127" s="251"/>
      <c r="H127" s="289"/>
      <c r="J127" s="251"/>
      <c r="K127" s="289"/>
    </row>
    <row r="128" spans="1:11" ht="14.25" customHeight="1" x14ac:dyDescent="0.25">
      <c r="A128" s="289"/>
      <c r="D128" s="251"/>
      <c r="E128" s="251"/>
      <c r="F128" s="251"/>
      <c r="G128" s="251"/>
      <c r="H128" s="289"/>
      <c r="J128" s="251"/>
      <c r="K128" s="289"/>
    </row>
    <row r="129" spans="1:11" ht="14.25" customHeight="1" x14ac:dyDescent="0.25">
      <c r="A129" s="289"/>
      <c r="D129" s="251"/>
      <c r="E129" s="251"/>
      <c r="F129" s="251"/>
      <c r="G129" s="251"/>
      <c r="H129" s="289"/>
      <c r="J129" s="251"/>
      <c r="K129" s="289"/>
    </row>
    <row r="130" spans="1:11" ht="14.25" customHeight="1" x14ac:dyDescent="0.25">
      <c r="A130" s="289"/>
      <c r="D130" s="251"/>
      <c r="E130" s="251"/>
      <c r="F130" s="251"/>
      <c r="G130" s="251"/>
      <c r="H130" s="289"/>
      <c r="J130" s="251"/>
      <c r="K130" s="289"/>
    </row>
    <row r="131" spans="1:11" ht="14.25" customHeight="1" x14ac:dyDescent="0.25">
      <c r="A131" s="289"/>
      <c r="D131" s="251"/>
      <c r="E131" s="251"/>
      <c r="F131" s="251"/>
      <c r="G131" s="251"/>
      <c r="H131" s="289"/>
      <c r="J131" s="251"/>
      <c r="K131" s="289"/>
    </row>
    <row r="132" spans="1:11" ht="14.25" customHeight="1" x14ac:dyDescent="0.25">
      <c r="A132" s="289"/>
      <c r="D132" s="251"/>
      <c r="E132" s="251"/>
      <c r="F132" s="251"/>
      <c r="G132" s="251"/>
      <c r="H132" s="289"/>
      <c r="J132" s="251"/>
      <c r="K132" s="289"/>
    </row>
    <row r="133" spans="1:11" ht="14.25" customHeight="1" x14ac:dyDescent="0.25">
      <c r="A133" s="289"/>
      <c r="D133" s="251"/>
      <c r="E133" s="251"/>
      <c r="F133" s="251"/>
      <c r="G133" s="251"/>
      <c r="H133" s="289"/>
      <c r="J133" s="251"/>
      <c r="K133" s="289"/>
    </row>
    <row r="134" spans="1:11" ht="14.25" customHeight="1" x14ac:dyDescent="0.25">
      <c r="A134" s="289"/>
      <c r="D134" s="251"/>
      <c r="E134" s="251"/>
      <c r="F134" s="251"/>
      <c r="G134" s="251"/>
      <c r="H134" s="289"/>
      <c r="J134" s="251"/>
      <c r="K134" s="289"/>
    </row>
    <row r="135" spans="1:11" ht="14.25" customHeight="1" x14ac:dyDescent="0.25">
      <c r="A135" s="289"/>
      <c r="D135" s="251"/>
      <c r="E135" s="251"/>
      <c r="F135" s="251"/>
      <c r="G135" s="251"/>
      <c r="H135" s="289"/>
      <c r="J135" s="251"/>
      <c r="K135" s="289"/>
    </row>
    <row r="136" spans="1:11" ht="14.25" customHeight="1" x14ac:dyDescent="0.25">
      <c r="A136" s="289"/>
      <c r="D136" s="251"/>
      <c r="E136" s="251"/>
      <c r="F136" s="251"/>
      <c r="G136" s="251"/>
      <c r="H136" s="289"/>
      <c r="J136" s="251"/>
      <c r="K136" s="289"/>
    </row>
    <row r="137" spans="1:11" ht="14.25" customHeight="1" x14ac:dyDescent="0.25">
      <c r="A137" s="289"/>
      <c r="D137" s="251"/>
      <c r="E137" s="251"/>
      <c r="F137" s="251"/>
      <c r="G137" s="251"/>
      <c r="H137" s="289"/>
      <c r="J137" s="251"/>
      <c r="K137" s="289"/>
    </row>
    <row r="138" spans="1:11" ht="14.25" customHeight="1" x14ac:dyDescent="0.25">
      <c r="A138" s="289"/>
      <c r="D138" s="251"/>
      <c r="E138" s="251"/>
      <c r="F138" s="251"/>
      <c r="G138" s="251"/>
      <c r="H138" s="289"/>
      <c r="J138" s="251"/>
      <c r="K138" s="289"/>
    </row>
    <row r="139" spans="1:11" ht="14.25" customHeight="1" x14ac:dyDescent="0.25">
      <c r="A139" s="289"/>
      <c r="D139" s="251"/>
      <c r="E139" s="251"/>
      <c r="F139" s="251"/>
      <c r="G139" s="251"/>
      <c r="H139" s="289"/>
      <c r="J139" s="251"/>
      <c r="K139" s="289"/>
    </row>
    <row r="140" spans="1:11" ht="14.25" customHeight="1" x14ac:dyDescent="0.25">
      <c r="A140" s="289"/>
      <c r="D140" s="251"/>
      <c r="E140" s="251"/>
      <c r="F140" s="251"/>
      <c r="G140" s="251"/>
      <c r="H140" s="289"/>
      <c r="J140" s="251"/>
      <c r="K140" s="289"/>
    </row>
    <row r="141" spans="1:11" ht="14.25" customHeight="1" x14ac:dyDescent="0.25">
      <c r="A141" s="289"/>
      <c r="D141" s="251"/>
      <c r="E141" s="251"/>
      <c r="F141" s="251"/>
      <c r="G141" s="251"/>
      <c r="H141" s="289"/>
      <c r="J141" s="251"/>
      <c r="K141" s="289"/>
    </row>
    <row r="142" spans="1:11" ht="14.25" customHeight="1" x14ac:dyDescent="0.25">
      <c r="A142" s="289"/>
      <c r="D142" s="251"/>
      <c r="E142" s="251"/>
      <c r="F142" s="251"/>
      <c r="G142" s="251"/>
      <c r="H142" s="289"/>
      <c r="J142" s="251"/>
      <c r="K142" s="289"/>
    </row>
    <row r="143" spans="1:11" ht="14.25" customHeight="1" x14ac:dyDescent="0.25">
      <c r="A143" s="289"/>
      <c r="D143" s="251"/>
      <c r="E143" s="251"/>
      <c r="F143" s="251"/>
      <c r="G143" s="251"/>
      <c r="H143" s="289"/>
      <c r="J143" s="251"/>
      <c r="K143" s="289"/>
    </row>
    <row r="144" spans="1:11" ht="14.25" customHeight="1" x14ac:dyDescent="0.25">
      <c r="A144" s="289"/>
      <c r="D144" s="251"/>
      <c r="E144" s="251"/>
      <c r="F144" s="251"/>
      <c r="G144" s="251"/>
      <c r="H144" s="289"/>
      <c r="J144" s="251"/>
      <c r="K144" s="289"/>
    </row>
    <row r="145" spans="1:11" ht="14.25" customHeight="1" x14ac:dyDescent="0.25">
      <c r="A145" s="289"/>
      <c r="D145" s="251"/>
      <c r="E145" s="251"/>
      <c r="F145" s="251"/>
      <c r="G145" s="251"/>
      <c r="H145" s="289"/>
      <c r="J145" s="251"/>
      <c r="K145" s="289"/>
    </row>
    <row r="146" spans="1:11" ht="14.25" customHeight="1" x14ac:dyDescent="0.25">
      <c r="A146" s="289"/>
      <c r="D146" s="251"/>
      <c r="E146" s="251"/>
      <c r="F146" s="251"/>
      <c r="G146" s="251"/>
      <c r="H146" s="289"/>
      <c r="J146" s="251"/>
      <c r="K146" s="289"/>
    </row>
    <row r="147" spans="1:11" ht="14.25" customHeight="1" x14ac:dyDescent="0.25">
      <c r="A147" s="289"/>
      <c r="D147" s="251"/>
      <c r="E147" s="251"/>
      <c r="F147" s="251"/>
      <c r="G147" s="251"/>
      <c r="H147" s="289"/>
      <c r="J147" s="251"/>
      <c r="K147" s="289"/>
    </row>
    <row r="148" spans="1:11" ht="14.25" customHeight="1" x14ac:dyDescent="0.25">
      <c r="A148" s="289"/>
      <c r="D148" s="251"/>
      <c r="E148" s="251"/>
      <c r="F148" s="251"/>
      <c r="G148" s="251"/>
      <c r="H148" s="289"/>
      <c r="J148" s="251"/>
      <c r="K148" s="289"/>
    </row>
    <row r="149" spans="1:11" ht="14.25" customHeight="1" x14ac:dyDescent="0.25">
      <c r="A149" s="289"/>
      <c r="D149" s="251"/>
      <c r="E149" s="251"/>
      <c r="F149" s="251"/>
      <c r="G149" s="251"/>
      <c r="H149" s="289"/>
      <c r="J149" s="251"/>
      <c r="K149" s="289"/>
    </row>
    <row r="150" spans="1:11" ht="14.25" customHeight="1" x14ac:dyDescent="0.25">
      <c r="A150" s="289"/>
      <c r="D150" s="251"/>
      <c r="E150" s="251"/>
      <c r="F150" s="251"/>
      <c r="G150" s="251"/>
      <c r="H150" s="289"/>
      <c r="J150" s="251"/>
      <c r="K150" s="289"/>
    </row>
    <row r="151" spans="1:11" ht="14.25" customHeight="1" x14ac:dyDescent="0.25">
      <c r="A151" s="289"/>
      <c r="D151" s="251"/>
      <c r="E151" s="251"/>
      <c r="F151" s="251"/>
      <c r="G151" s="251"/>
      <c r="H151" s="289"/>
      <c r="J151" s="251"/>
      <c r="K151" s="289"/>
    </row>
    <row r="152" spans="1:11" ht="14.25" customHeight="1" x14ac:dyDescent="0.25">
      <c r="A152" s="289"/>
      <c r="D152" s="251"/>
      <c r="E152" s="251"/>
      <c r="F152" s="251"/>
      <c r="G152" s="251"/>
      <c r="H152" s="289"/>
      <c r="J152" s="251"/>
      <c r="K152" s="289"/>
    </row>
    <row r="153" spans="1:11" ht="14.25" customHeight="1" x14ac:dyDescent="0.25">
      <c r="A153" s="289"/>
      <c r="D153" s="251"/>
      <c r="E153" s="251"/>
      <c r="F153" s="251"/>
      <c r="G153" s="251"/>
      <c r="H153" s="289"/>
      <c r="J153" s="251"/>
      <c r="K153" s="289"/>
    </row>
    <row r="154" spans="1:11" ht="14.25" customHeight="1" x14ac:dyDescent="0.25">
      <c r="A154" s="289"/>
      <c r="D154" s="251"/>
      <c r="E154" s="251"/>
      <c r="F154" s="251"/>
      <c r="G154" s="251"/>
      <c r="H154" s="289"/>
      <c r="J154" s="251"/>
      <c r="K154" s="289"/>
    </row>
    <row r="155" spans="1:11" ht="14.25" customHeight="1" x14ac:dyDescent="0.25">
      <c r="A155" s="289"/>
      <c r="D155" s="251"/>
      <c r="E155" s="251"/>
      <c r="F155" s="251"/>
      <c r="G155" s="251"/>
      <c r="H155" s="289"/>
      <c r="J155" s="251"/>
      <c r="K155" s="289"/>
    </row>
    <row r="156" spans="1:11" ht="14.25" customHeight="1" x14ac:dyDescent="0.25">
      <c r="A156" s="289"/>
      <c r="D156" s="251"/>
      <c r="E156" s="251"/>
      <c r="F156" s="251"/>
      <c r="G156" s="251"/>
      <c r="H156" s="289"/>
      <c r="J156" s="251"/>
      <c r="K156" s="289"/>
    </row>
    <row r="157" spans="1:11" ht="14.25" customHeight="1" x14ac:dyDescent="0.25">
      <c r="A157" s="289"/>
      <c r="D157" s="251"/>
      <c r="E157" s="251"/>
      <c r="F157" s="251"/>
      <c r="G157" s="251"/>
      <c r="H157" s="289"/>
      <c r="J157" s="251"/>
      <c r="K157" s="289"/>
    </row>
    <row r="158" spans="1:11" ht="14.25" customHeight="1" x14ac:dyDescent="0.25">
      <c r="A158" s="289"/>
      <c r="D158" s="251"/>
      <c r="E158" s="251"/>
      <c r="F158" s="251"/>
      <c r="G158" s="251"/>
      <c r="H158" s="289"/>
      <c r="J158" s="251"/>
      <c r="K158" s="289"/>
    </row>
    <row r="159" spans="1:11" ht="14.25" customHeight="1" x14ac:dyDescent="0.25">
      <c r="A159" s="289"/>
      <c r="D159" s="251"/>
      <c r="E159" s="251"/>
      <c r="F159" s="251"/>
      <c r="G159" s="251"/>
      <c r="H159" s="289"/>
      <c r="J159" s="251"/>
      <c r="K159" s="289"/>
    </row>
    <row r="160" spans="1:11" ht="14.25" customHeight="1" x14ac:dyDescent="0.25">
      <c r="A160" s="289"/>
      <c r="D160" s="251"/>
      <c r="E160" s="251"/>
      <c r="F160" s="251"/>
      <c r="G160" s="251"/>
      <c r="H160" s="289"/>
      <c r="J160" s="251"/>
      <c r="K160" s="289"/>
    </row>
    <row r="161" spans="1:11" ht="14.25" customHeight="1" x14ac:dyDescent="0.25">
      <c r="A161" s="289"/>
      <c r="D161" s="251"/>
      <c r="E161" s="251"/>
      <c r="F161" s="251"/>
      <c r="G161" s="251"/>
      <c r="H161" s="289"/>
      <c r="J161" s="251"/>
      <c r="K161" s="289"/>
    </row>
    <row r="162" spans="1:11" ht="14.25" customHeight="1" x14ac:dyDescent="0.25">
      <c r="A162" s="289"/>
      <c r="D162" s="251"/>
      <c r="E162" s="251"/>
      <c r="F162" s="251"/>
      <c r="G162" s="251"/>
      <c r="H162" s="289"/>
      <c r="J162" s="251"/>
      <c r="K162" s="289"/>
    </row>
    <row r="163" spans="1:11" ht="14.25" customHeight="1" x14ac:dyDescent="0.25">
      <c r="A163" s="289"/>
      <c r="D163" s="251"/>
      <c r="E163" s="251"/>
      <c r="F163" s="251"/>
      <c r="G163" s="251"/>
      <c r="H163" s="289"/>
      <c r="J163" s="251"/>
      <c r="K163" s="289"/>
    </row>
    <row r="164" spans="1:11" ht="14.25" customHeight="1" x14ac:dyDescent="0.25">
      <c r="A164" s="289"/>
      <c r="D164" s="251"/>
      <c r="E164" s="251"/>
      <c r="F164" s="251"/>
      <c r="G164" s="251"/>
      <c r="H164" s="289"/>
      <c r="J164" s="251"/>
      <c r="K164" s="289"/>
    </row>
    <row r="165" spans="1:11" ht="14.25" customHeight="1" x14ac:dyDescent="0.25">
      <c r="A165" s="289"/>
      <c r="D165" s="251"/>
      <c r="E165" s="251"/>
      <c r="F165" s="251"/>
      <c r="G165" s="251"/>
      <c r="H165" s="289"/>
      <c r="J165" s="251"/>
      <c r="K165" s="289"/>
    </row>
    <row r="166" spans="1:11" ht="14.25" customHeight="1" x14ac:dyDescent="0.25">
      <c r="A166" s="289"/>
      <c r="D166" s="251"/>
      <c r="E166" s="251"/>
      <c r="F166" s="251"/>
      <c r="G166" s="251"/>
      <c r="H166" s="289"/>
      <c r="J166" s="251"/>
      <c r="K166" s="289"/>
    </row>
    <row r="167" spans="1:11" ht="14.25" customHeight="1" x14ac:dyDescent="0.25">
      <c r="A167" s="289"/>
      <c r="D167" s="251"/>
      <c r="E167" s="251"/>
      <c r="F167" s="251"/>
      <c r="G167" s="251"/>
      <c r="H167" s="289"/>
      <c r="J167" s="251"/>
      <c r="K167" s="289"/>
    </row>
    <row r="168" spans="1:11" ht="14.25" customHeight="1" x14ac:dyDescent="0.25">
      <c r="A168" s="289"/>
      <c r="D168" s="251"/>
      <c r="E168" s="251"/>
      <c r="F168" s="251"/>
      <c r="G168" s="251"/>
      <c r="H168" s="289"/>
      <c r="J168" s="251"/>
      <c r="K168" s="289"/>
    </row>
    <row r="169" spans="1:11" ht="14.25" customHeight="1" x14ac:dyDescent="0.25">
      <c r="A169" s="289"/>
      <c r="D169" s="251"/>
      <c r="E169" s="251"/>
      <c r="F169" s="251"/>
      <c r="G169" s="251"/>
      <c r="H169" s="289"/>
      <c r="J169" s="251"/>
      <c r="K169" s="289"/>
    </row>
    <row r="170" spans="1:11" ht="14.25" customHeight="1" x14ac:dyDescent="0.25">
      <c r="A170" s="289"/>
      <c r="D170" s="251"/>
      <c r="E170" s="251"/>
      <c r="F170" s="251"/>
      <c r="G170" s="251"/>
      <c r="H170" s="289"/>
      <c r="J170" s="251"/>
      <c r="K170" s="289"/>
    </row>
    <row r="171" spans="1:11" ht="14.25" customHeight="1" x14ac:dyDescent="0.25">
      <c r="A171" s="289"/>
      <c r="D171" s="251"/>
      <c r="E171" s="251"/>
      <c r="F171" s="251"/>
      <c r="G171" s="251"/>
      <c r="H171" s="289"/>
      <c r="J171" s="251"/>
      <c r="K171" s="289"/>
    </row>
    <row r="172" spans="1:11" ht="14.25" customHeight="1" x14ac:dyDescent="0.25">
      <c r="A172" s="289"/>
      <c r="D172" s="251"/>
      <c r="E172" s="251"/>
      <c r="F172" s="251"/>
      <c r="G172" s="251"/>
      <c r="H172" s="289"/>
      <c r="J172" s="251"/>
      <c r="K172" s="289"/>
    </row>
    <row r="173" spans="1:11" ht="14.25" customHeight="1" x14ac:dyDescent="0.25">
      <c r="A173" s="289"/>
      <c r="D173" s="251"/>
      <c r="E173" s="251"/>
      <c r="F173" s="251"/>
      <c r="G173" s="251"/>
      <c r="H173" s="289"/>
      <c r="J173" s="251"/>
      <c r="K173" s="289"/>
    </row>
    <row r="174" spans="1:11" ht="14.25" customHeight="1" x14ac:dyDescent="0.25">
      <c r="A174" s="289"/>
      <c r="D174" s="251"/>
      <c r="E174" s="251"/>
      <c r="F174" s="251"/>
      <c r="G174" s="251"/>
      <c r="H174" s="289"/>
      <c r="J174" s="251"/>
      <c r="K174" s="289"/>
    </row>
    <row r="175" spans="1:11" ht="14.25" customHeight="1" x14ac:dyDescent="0.25">
      <c r="A175" s="289"/>
      <c r="D175" s="251"/>
      <c r="E175" s="251"/>
      <c r="F175" s="251"/>
      <c r="G175" s="251"/>
      <c r="H175" s="289"/>
      <c r="J175" s="251"/>
      <c r="K175" s="289"/>
    </row>
    <row r="176" spans="1:11" ht="14.25" customHeight="1" x14ac:dyDescent="0.25">
      <c r="A176" s="289"/>
      <c r="D176" s="251"/>
      <c r="E176" s="251"/>
      <c r="F176" s="251"/>
      <c r="G176" s="251"/>
      <c r="H176" s="289"/>
      <c r="J176" s="251"/>
      <c r="K176" s="289"/>
    </row>
    <row r="177" spans="1:11" ht="14.25" customHeight="1" x14ac:dyDescent="0.25">
      <c r="A177" s="289"/>
      <c r="D177" s="251"/>
      <c r="E177" s="251"/>
      <c r="F177" s="251"/>
      <c r="G177" s="251"/>
      <c r="H177" s="289"/>
      <c r="J177" s="251"/>
      <c r="K177" s="289"/>
    </row>
    <row r="178" spans="1:11" ht="14.25" customHeight="1" x14ac:dyDescent="0.25">
      <c r="A178" s="289"/>
      <c r="D178" s="251"/>
      <c r="E178" s="251"/>
      <c r="F178" s="251"/>
      <c r="G178" s="251"/>
      <c r="H178" s="289"/>
      <c r="J178" s="251"/>
      <c r="K178" s="289"/>
    </row>
    <row r="179" spans="1:11" ht="14.25" customHeight="1" x14ac:dyDescent="0.25">
      <c r="A179" s="289"/>
      <c r="D179" s="251"/>
      <c r="E179" s="251"/>
      <c r="F179" s="251"/>
      <c r="G179" s="251"/>
      <c r="H179" s="289"/>
      <c r="J179" s="251"/>
      <c r="K179" s="289"/>
    </row>
    <row r="180" spans="1:11" ht="14.25" customHeight="1" x14ac:dyDescent="0.25">
      <c r="A180" s="289"/>
      <c r="D180" s="251"/>
      <c r="E180" s="251"/>
      <c r="F180" s="251"/>
      <c r="G180" s="251"/>
      <c r="H180" s="289"/>
      <c r="J180" s="251"/>
      <c r="K180" s="289"/>
    </row>
    <row r="181" spans="1:11" ht="14.25" customHeight="1" x14ac:dyDescent="0.25">
      <c r="A181" s="289"/>
      <c r="D181" s="251"/>
      <c r="E181" s="251"/>
      <c r="F181" s="251"/>
      <c r="G181" s="251"/>
      <c r="H181" s="289"/>
      <c r="J181" s="251"/>
      <c r="K181" s="289"/>
    </row>
    <row r="182" spans="1:11" ht="14.25" customHeight="1" x14ac:dyDescent="0.25">
      <c r="A182" s="289"/>
      <c r="D182" s="251"/>
      <c r="E182" s="251"/>
      <c r="F182" s="251"/>
      <c r="G182" s="251"/>
      <c r="H182" s="289"/>
      <c r="J182" s="251"/>
      <c r="K182" s="289"/>
    </row>
    <row r="183" spans="1:11" ht="14.25" customHeight="1" x14ac:dyDescent="0.25">
      <c r="A183" s="289"/>
      <c r="D183" s="251"/>
      <c r="E183" s="251"/>
      <c r="F183" s="251"/>
      <c r="G183" s="251"/>
      <c r="H183" s="289"/>
      <c r="J183" s="251"/>
      <c r="K183" s="289"/>
    </row>
    <row r="184" spans="1:11" ht="14.25" customHeight="1" x14ac:dyDescent="0.25">
      <c r="A184" s="289"/>
      <c r="D184" s="251"/>
      <c r="E184" s="251"/>
      <c r="F184" s="251"/>
      <c r="G184" s="251"/>
      <c r="H184" s="289"/>
      <c r="J184" s="251"/>
      <c r="K184" s="289"/>
    </row>
    <row r="185" spans="1:11" ht="14.25" customHeight="1" x14ac:dyDescent="0.25">
      <c r="A185" s="289"/>
      <c r="D185" s="251"/>
      <c r="E185" s="251"/>
      <c r="F185" s="251"/>
      <c r="G185" s="251"/>
      <c r="H185" s="289"/>
      <c r="J185" s="251"/>
      <c r="K185" s="289"/>
    </row>
    <row r="186" spans="1:11" ht="14.25" customHeight="1" x14ac:dyDescent="0.25">
      <c r="A186" s="289"/>
      <c r="D186" s="251"/>
      <c r="E186" s="251"/>
      <c r="F186" s="251"/>
      <c r="G186" s="251"/>
      <c r="H186" s="289"/>
      <c r="J186" s="251"/>
      <c r="K186" s="289"/>
    </row>
    <row r="187" spans="1:11" ht="14.25" customHeight="1" x14ac:dyDescent="0.25">
      <c r="A187" s="289"/>
      <c r="D187" s="251"/>
      <c r="E187" s="251"/>
      <c r="F187" s="251"/>
      <c r="G187" s="251"/>
      <c r="H187" s="289"/>
      <c r="J187" s="251"/>
      <c r="K187" s="289"/>
    </row>
    <row r="188" spans="1:11" ht="14.25" customHeight="1" x14ac:dyDescent="0.25">
      <c r="A188" s="289"/>
      <c r="D188" s="251"/>
      <c r="E188" s="251"/>
      <c r="F188" s="251"/>
      <c r="G188" s="251"/>
      <c r="H188" s="289"/>
      <c r="J188" s="251"/>
      <c r="K188" s="289"/>
    </row>
    <row r="189" spans="1:11" ht="14.25" customHeight="1" x14ac:dyDescent="0.25">
      <c r="A189" s="289"/>
      <c r="D189" s="251"/>
      <c r="E189" s="251"/>
      <c r="F189" s="251"/>
      <c r="G189" s="251"/>
      <c r="H189" s="289"/>
      <c r="J189" s="251"/>
      <c r="K189" s="289"/>
    </row>
    <row r="190" spans="1:11" ht="14.25" customHeight="1" x14ac:dyDescent="0.25">
      <c r="A190" s="289"/>
      <c r="D190" s="251"/>
      <c r="E190" s="251"/>
      <c r="F190" s="251"/>
      <c r="G190" s="251"/>
      <c r="H190" s="289"/>
      <c r="J190" s="251"/>
      <c r="K190" s="289"/>
    </row>
    <row r="191" spans="1:11" ht="14.25" customHeight="1" x14ac:dyDescent="0.25">
      <c r="A191" s="289"/>
      <c r="D191" s="251"/>
      <c r="E191" s="251"/>
      <c r="F191" s="251"/>
      <c r="G191" s="251"/>
      <c r="H191" s="289"/>
      <c r="J191" s="251"/>
      <c r="K191" s="289"/>
    </row>
    <row r="192" spans="1:11" ht="14.25" customHeight="1" x14ac:dyDescent="0.25">
      <c r="A192" s="289"/>
      <c r="D192" s="251"/>
      <c r="E192" s="251"/>
      <c r="F192" s="251"/>
      <c r="G192" s="251"/>
      <c r="H192" s="289"/>
      <c r="J192" s="251"/>
      <c r="K192" s="289"/>
    </row>
    <row r="193" spans="1:11" ht="14.25" customHeight="1" x14ac:dyDescent="0.25">
      <c r="A193" s="289"/>
      <c r="D193" s="251"/>
      <c r="E193" s="251"/>
      <c r="F193" s="251"/>
      <c r="G193" s="251"/>
      <c r="H193" s="289"/>
      <c r="J193" s="251"/>
      <c r="K193" s="289"/>
    </row>
    <row r="194" spans="1:11" ht="14.25" customHeight="1" x14ac:dyDescent="0.25">
      <c r="A194" s="289"/>
      <c r="D194" s="251"/>
      <c r="E194" s="251"/>
      <c r="F194" s="251"/>
      <c r="G194" s="251"/>
      <c r="H194" s="289"/>
      <c r="J194" s="251"/>
      <c r="K194" s="289"/>
    </row>
    <row r="195" spans="1:11" ht="14.25" customHeight="1" x14ac:dyDescent="0.25">
      <c r="A195" s="289"/>
      <c r="D195" s="251"/>
      <c r="E195" s="251"/>
      <c r="F195" s="251"/>
      <c r="G195" s="251"/>
      <c r="H195" s="289"/>
      <c r="J195" s="251"/>
      <c r="K195" s="289"/>
    </row>
    <row r="196" spans="1:11" ht="14.25" customHeight="1" x14ac:dyDescent="0.25">
      <c r="A196" s="289"/>
      <c r="D196" s="251"/>
      <c r="E196" s="251"/>
      <c r="F196" s="251"/>
      <c r="G196" s="251"/>
      <c r="H196" s="289"/>
      <c r="J196" s="251"/>
      <c r="K196" s="289"/>
    </row>
    <row r="197" spans="1:11" ht="14.25" customHeight="1" x14ac:dyDescent="0.25">
      <c r="A197" s="289"/>
      <c r="D197" s="251"/>
      <c r="E197" s="251"/>
      <c r="F197" s="251"/>
      <c r="G197" s="251"/>
      <c r="H197" s="289"/>
      <c r="J197" s="251"/>
      <c r="K197" s="289"/>
    </row>
    <row r="198" spans="1:11" ht="14.25" customHeight="1" x14ac:dyDescent="0.25">
      <c r="A198" s="289"/>
      <c r="D198" s="251"/>
      <c r="E198" s="251"/>
      <c r="F198" s="251"/>
      <c r="G198" s="251"/>
      <c r="H198" s="289"/>
      <c r="J198" s="251"/>
      <c r="K198" s="289"/>
    </row>
    <row r="199" spans="1:11" ht="14.25" customHeight="1" x14ac:dyDescent="0.25">
      <c r="A199" s="289"/>
      <c r="D199" s="251"/>
      <c r="E199" s="251"/>
      <c r="F199" s="251"/>
      <c r="G199" s="251"/>
      <c r="H199" s="289"/>
      <c r="J199" s="251"/>
      <c r="K199" s="289"/>
    </row>
    <row r="200" spans="1:11" ht="14.25" customHeight="1" x14ac:dyDescent="0.25">
      <c r="A200" s="289"/>
      <c r="D200" s="251"/>
      <c r="E200" s="251"/>
      <c r="F200" s="251"/>
      <c r="G200" s="251"/>
      <c r="H200" s="289"/>
      <c r="J200" s="251"/>
      <c r="K200" s="289"/>
    </row>
    <row r="201" spans="1:11" ht="14.25" customHeight="1" x14ac:dyDescent="0.25">
      <c r="A201" s="289"/>
      <c r="D201" s="251"/>
      <c r="E201" s="251"/>
      <c r="F201" s="251"/>
      <c r="G201" s="251"/>
      <c r="H201" s="289"/>
      <c r="J201" s="251"/>
      <c r="K201" s="289"/>
    </row>
    <row r="202" spans="1:11" ht="14.25" customHeight="1" x14ac:dyDescent="0.25">
      <c r="A202" s="289"/>
      <c r="D202" s="251"/>
      <c r="E202" s="251"/>
      <c r="F202" s="251"/>
      <c r="G202" s="251"/>
      <c r="H202" s="289"/>
      <c r="J202" s="251"/>
      <c r="K202" s="289"/>
    </row>
    <row r="203" spans="1:11" ht="14.25" customHeight="1" x14ac:dyDescent="0.25">
      <c r="A203" s="289"/>
      <c r="D203" s="251"/>
      <c r="E203" s="251"/>
      <c r="F203" s="251"/>
      <c r="G203" s="251"/>
      <c r="H203" s="289"/>
      <c r="J203" s="251"/>
      <c r="K203" s="289"/>
    </row>
    <row r="204" spans="1:11" ht="14.25" customHeight="1" x14ac:dyDescent="0.25">
      <c r="A204" s="289"/>
      <c r="D204" s="251"/>
      <c r="E204" s="251"/>
      <c r="F204" s="251"/>
      <c r="G204" s="251"/>
      <c r="H204" s="289"/>
      <c r="J204" s="251"/>
      <c r="K204" s="289"/>
    </row>
    <row r="205" spans="1:11" ht="14.25" customHeight="1" x14ac:dyDescent="0.25">
      <c r="A205" s="289"/>
      <c r="D205" s="251"/>
      <c r="E205" s="251"/>
      <c r="F205" s="251"/>
      <c r="G205" s="251"/>
      <c r="H205" s="289"/>
      <c r="J205" s="251"/>
      <c r="K205" s="289"/>
    </row>
    <row r="206" spans="1:11" ht="14.25" customHeight="1" x14ac:dyDescent="0.25">
      <c r="A206" s="289"/>
      <c r="D206" s="251"/>
      <c r="E206" s="251"/>
      <c r="F206" s="251"/>
      <c r="G206" s="251"/>
      <c r="H206" s="289"/>
      <c r="J206" s="251"/>
      <c r="K206" s="289"/>
    </row>
    <row r="207" spans="1:11" ht="14.25" customHeight="1" x14ac:dyDescent="0.25">
      <c r="A207" s="289"/>
      <c r="D207" s="251"/>
      <c r="E207" s="251"/>
      <c r="F207" s="251"/>
      <c r="G207" s="251"/>
      <c r="H207" s="289"/>
      <c r="J207" s="251"/>
      <c r="K207" s="289"/>
    </row>
    <row r="208" spans="1:11" ht="14.25" customHeight="1" x14ac:dyDescent="0.25">
      <c r="A208" s="289"/>
      <c r="D208" s="251"/>
      <c r="E208" s="251"/>
      <c r="F208" s="251"/>
      <c r="G208" s="251"/>
      <c r="H208" s="289"/>
      <c r="J208" s="251"/>
      <c r="K208" s="289"/>
    </row>
    <row r="209" spans="1:11" ht="14.25" customHeight="1" x14ac:dyDescent="0.25">
      <c r="A209" s="289"/>
      <c r="D209" s="251"/>
      <c r="E209" s="251"/>
      <c r="F209" s="251"/>
      <c r="G209" s="251"/>
      <c r="H209" s="289"/>
      <c r="J209" s="251"/>
      <c r="K209" s="289"/>
    </row>
    <row r="210" spans="1:11" ht="14.25" customHeight="1" x14ac:dyDescent="0.25">
      <c r="A210" s="289"/>
      <c r="D210" s="251"/>
      <c r="E210" s="251"/>
      <c r="F210" s="251"/>
      <c r="G210" s="251"/>
      <c r="H210" s="289"/>
      <c r="J210" s="251"/>
      <c r="K210" s="289"/>
    </row>
    <row r="211" spans="1:11" ht="14.25" customHeight="1" x14ac:dyDescent="0.25">
      <c r="A211" s="289"/>
      <c r="D211" s="251"/>
      <c r="E211" s="251"/>
      <c r="F211" s="251"/>
      <c r="G211" s="251"/>
      <c r="H211" s="289"/>
      <c r="J211" s="251"/>
      <c r="K211" s="289"/>
    </row>
    <row r="212" spans="1:11" ht="14.25" customHeight="1" x14ac:dyDescent="0.25">
      <c r="A212" s="289"/>
      <c r="D212" s="251"/>
      <c r="E212" s="251"/>
      <c r="F212" s="251"/>
      <c r="G212" s="251"/>
      <c r="H212" s="289"/>
      <c r="J212" s="251"/>
      <c r="K212" s="289"/>
    </row>
    <row r="213" spans="1:11" ht="14.25" customHeight="1" x14ac:dyDescent="0.25">
      <c r="A213" s="289"/>
      <c r="D213" s="251"/>
      <c r="E213" s="251"/>
      <c r="F213" s="251"/>
      <c r="G213" s="251"/>
      <c r="H213" s="289"/>
      <c r="J213" s="251"/>
      <c r="K213" s="289"/>
    </row>
    <row r="214" spans="1:11" ht="14.25" customHeight="1" x14ac:dyDescent="0.25">
      <c r="A214" s="289"/>
      <c r="D214" s="251"/>
      <c r="E214" s="251"/>
      <c r="F214" s="251"/>
      <c r="G214" s="251"/>
      <c r="H214" s="289"/>
      <c r="J214" s="251"/>
      <c r="K214" s="289"/>
    </row>
    <row r="215" spans="1:11" ht="14.25" customHeight="1" x14ac:dyDescent="0.25">
      <c r="A215" s="289"/>
      <c r="D215" s="251"/>
      <c r="E215" s="251"/>
      <c r="F215" s="251"/>
      <c r="G215" s="251"/>
      <c r="H215" s="289"/>
      <c r="J215" s="251"/>
      <c r="K215" s="289"/>
    </row>
    <row r="216" spans="1:11" ht="15.75" customHeight="1" x14ac:dyDescent="0.25">
      <c r="D216" s="251"/>
      <c r="E216" s="251"/>
      <c r="F216" s="251"/>
      <c r="G216" s="251"/>
      <c r="J216" s="251"/>
    </row>
    <row r="217" spans="1:11" ht="15.75" customHeight="1" x14ac:dyDescent="0.25">
      <c r="D217" s="251"/>
      <c r="E217" s="251"/>
      <c r="F217" s="251"/>
      <c r="G217" s="251"/>
      <c r="J217" s="251"/>
    </row>
    <row r="218" spans="1:11" ht="15.75" customHeight="1" x14ac:dyDescent="0.25">
      <c r="D218" s="251"/>
      <c r="E218" s="251"/>
      <c r="F218" s="251"/>
      <c r="G218" s="251"/>
      <c r="J218" s="251"/>
    </row>
    <row r="219" spans="1:11" ht="15.75" customHeight="1" x14ac:dyDescent="0.25">
      <c r="D219" s="251"/>
      <c r="E219" s="251"/>
      <c r="F219" s="251"/>
      <c r="G219" s="251"/>
      <c r="J219" s="251"/>
    </row>
    <row r="220" spans="1:11" ht="15.75" customHeight="1" x14ac:dyDescent="0.25">
      <c r="D220" s="251"/>
      <c r="E220" s="251"/>
      <c r="F220" s="251"/>
      <c r="G220" s="251"/>
      <c r="J220" s="251"/>
    </row>
    <row r="221" spans="1:11" ht="15.75" customHeight="1" x14ac:dyDescent="0.25">
      <c r="D221" s="251"/>
      <c r="E221" s="251"/>
      <c r="F221" s="251"/>
      <c r="G221" s="251"/>
      <c r="J221" s="251"/>
    </row>
    <row r="222" spans="1:11" ht="15.75" customHeight="1" x14ac:dyDescent="0.25">
      <c r="D222" s="251"/>
      <c r="E222" s="251"/>
      <c r="F222" s="251"/>
      <c r="G222" s="251"/>
      <c r="J222" s="251"/>
    </row>
    <row r="223" spans="1:11" ht="15.75" customHeight="1" x14ac:dyDescent="0.25">
      <c r="D223" s="251"/>
      <c r="E223" s="251"/>
      <c r="F223" s="251"/>
      <c r="G223" s="251"/>
      <c r="J223" s="251"/>
    </row>
    <row r="224" spans="1:11" ht="15.75" customHeight="1" x14ac:dyDescent="0.25">
      <c r="D224" s="251"/>
      <c r="E224" s="251"/>
      <c r="F224" s="251"/>
      <c r="G224" s="251"/>
      <c r="J224" s="251"/>
    </row>
    <row r="225" spans="4:10" ht="15.75" customHeight="1" x14ac:dyDescent="0.25">
      <c r="D225" s="251"/>
      <c r="E225" s="251"/>
      <c r="F225" s="251"/>
      <c r="G225" s="251"/>
      <c r="J225" s="251"/>
    </row>
    <row r="226" spans="4:10" ht="15.75" customHeight="1" x14ac:dyDescent="0.25">
      <c r="D226" s="251"/>
      <c r="E226" s="251"/>
      <c r="F226" s="251"/>
      <c r="G226" s="251"/>
      <c r="J226" s="251"/>
    </row>
    <row r="227" spans="4:10" ht="15.75" customHeight="1" x14ac:dyDescent="0.25">
      <c r="D227" s="251"/>
      <c r="E227" s="251"/>
      <c r="F227" s="251"/>
      <c r="G227" s="251"/>
      <c r="J227" s="251"/>
    </row>
    <row r="228" spans="4:10" ht="15.75" customHeight="1" x14ac:dyDescent="0.25">
      <c r="D228" s="251"/>
      <c r="E228" s="251"/>
      <c r="F228" s="251"/>
      <c r="G228" s="251"/>
      <c r="J228" s="251"/>
    </row>
    <row r="229" spans="4:10" ht="15.75" customHeight="1" x14ac:dyDescent="0.25">
      <c r="D229" s="251"/>
      <c r="E229" s="251"/>
      <c r="F229" s="251"/>
      <c r="G229" s="251"/>
      <c r="J229" s="251"/>
    </row>
    <row r="230" spans="4:10" ht="15.75" customHeight="1" x14ac:dyDescent="0.25">
      <c r="D230" s="251"/>
      <c r="E230" s="251"/>
      <c r="F230" s="251"/>
      <c r="G230" s="251"/>
      <c r="J230" s="251"/>
    </row>
    <row r="231" spans="4:10" ht="15.75" customHeight="1" x14ac:dyDescent="0.25">
      <c r="D231" s="251"/>
      <c r="E231" s="251"/>
      <c r="F231" s="251"/>
      <c r="G231" s="251"/>
      <c r="J231" s="251"/>
    </row>
    <row r="232" spans="4:10" ht="15.75" customHeight="1" x14ac:dyDescent="0.25">
      <c r="D232" s="251"/>
      <c r="E232" s="251"/>
      <c r="F232" s="251"/>
      <c r="G232" s="251"/>
      <c r="J232" s="251"/>
    </row>
    <row r="233" spans="4:10" ht="15.75" customHeight="1" x14ac:dyDescent="0.25">
      <c r="D233" s="251"/>
      <c r="E233" s="251"/>
      <c r="F233" s="251"/>
      <c r="G233" s="251"/>
      <c r="J233" s="251"/>
    </row>
    <row r="234" spans="4:10" ht="15.75" customHeight="1" x14ac:dyDescent="0.25">
      <c r="D234" s="251"/>
      <c r="E234" s="251"/>
      <c r="F234" s="251"/>
      <c r="G234" s="251"/>
      <c r="J234" s="251"/>
    </row>
    <row r="235" spans="4:10" ht="15.75" customHeight="1" x14ac:dyDescent="0.25">
      <c r="D235" s="251"/>
      <c r="E235" s="251"/>
      <c r="F235" s="251"/>
      <c r="G235" s="251"/>
      <c r="J235" s="251"/>
    </row>
    <row r="236" spans="4:10" ht="15.75" customHeight="1" x14ac:dyDescent="0.25">
      <c r="D236" s="251"/>
      <c r="E236" s="251"/>
      <c r="F236" s="251"/>
      <c r="G236" s="251"/>
      <c r="J236" s="251"/>
    </row>
    <row r="237" spans="4:10" ht="15.75" customHeight="1" x14ac:dyDescent="0.25">
      <c r="D237" s="251"/>
      <c r="E237" s="251"/>
      <c r="F237" s="251"/>
      <c r="G237" s="251"/>
      <c r="J237" s="251"/>
    </row>
    <row r="238" spans="4:10" ht="15.75" customHeight="1" x14ac:dyDescent="0.25">
      <c r="D238" s="251"/>
      <c r="E238" s="251"/>
      <c r="F238" s="251"/>
      <c r="G238" s="251"/>
      <c r="J238" s="251"/>
    </row>
    <row r="239" spans="4:10" ht="15.75" customHeight="1" x14ac:dyDescent="0.25">
      <c r="D239" s="251"/>
      <c r="E239" s="251"/>
      <c r="F239" s="251"/>
      <c r="G239" s="251"/>
      <c r="J239" s="251"/>
    </row>
    <row r="240" spans="4:10" ht="15.75" customHeight="1" x14ac:dyDescent="0.25">
      <c r="D240" s="251"/>
      <c r="E240" s="251"/>
      <c r="F240" s="251"/>
      <c r="G240" s="251"/>
      <c r="J240" s="251"/>
    </row>
    <row r="241" spans="4:10" ht="15.75" customHeight="1" x14ac:dyDescent="0.25">
      <c r="D241" s="251"/>
      <c r="E241" s="251"/>
      <c r="F241" s="251"/>
      <c r="G241" s="251"/>
      <c r="J241" s="251"/>
    </row>
    <row r="242" spans="4:10" ht="15.75" customHeight="1" x14ac:dyDescent="0.25">
      <c r="D242" s="251"/>
      <c r="E242" s="251"/>
      <c r="F242" s="251"/>
      <c r="G242" s="251"/>
      <c r="J242" s="251"/>
    </row>
    <row r="243" spans="4:10" ht="15.75" customHeight="1" x14ac:dyDescent="0.25">
      <c r="D243" s="251"/>
      <c r="E243" s="251"/>
      <c r="F243" s="251"/>
      <c r="G243" s="251"/>
      <c r="J243" s="251"/>
    </row>
    <row r="244" spans="4:10" ht="15.75" customHeight="1" x14ac:dyDescent="0.25">
      <c r="D244" s="251"/>
      <c r="E244" s="251"/>
      <c r="F244" s="251"/>
      <c r="G244" s="251"/>
      <c r="J244" s="251"/>
    </row>
    <row r="245" spans="4:10" ht="15.75" customHeight="1" x14ac:dyDescent="0.25">
      <c r="D245" s="251"/>
      <c r="E245" s="251"/>
      <c r="F245" s="251"/>
      <c r="G245" s="251"/>
      <c r="J245" s="251"/>
    </row>
    <row r="246" spans="4:10" ht="15.75" customHeight="1" x14ac:dyDescent="0.25">
      <c r="D246" s="251"/>
      <c r="E246" s="251"/>
      <c r="F246" s="251"/>
      <c r="G246" s="251"/>
      <c r="J246" s="251"/>
    </row>
    <row r="247" spans="4:10" ht="15.75" customHeight="1" x14ac:dyDescent="0.25">
      <c r="D247" s="251"/>
      <c r="E247" s="251"/>
      <c r="F247" s="251"/>
      <c r="G247" s="251"/>
      <c r="J247" s="251"/>
    </row>
    <row r="248" spans="4:10" ht="15.75" customHeight="1" x14ac:dyDescent="0.25">
      <c r="D248" s="251"/>
      <c r="E248" s="251"/>
      <c r="F248" s="251"/>
      <c r="G248" s="251"/>
      <c r="J248" s="251"/>
    </row>
    <row r="249" spans="4:10" ht="15.75" customHeight="1" x14ac:dyDescent="0.25">
      <c r="D249" s="251"/>
      <c r="E249" s="251"/>
      <c r="F249" s="251"/>
      <c r="G249" s="251"/>
      <c r="J249" s="251"/>
    </row>
    <row r="250" spans="4:10" ht="15.75" customHeight="1" x14ac:dyDescent="0.25">
      <c r="D250" s="251"/>
      <c r="E250" s="251"/>
      <c r="F250" s="251"/>
      <c r="G250" s="251"/>
      <c r="J250" s="251"/>
    </row>
    <row r="251" spans="4:10" ht="15.75" customHeight="1" x14ac:dyDescent="0.25">
      <c r="D251" s="251"/>
      <c r="E251" s="251"/>
      <c r="F251" s="251"/>
      <c r="G251" s="251"/>
      <c r="J251" s="251"/>
    </row>
    <row r="252" spans="4:10" ht="15.75" customHeight="1" x14ac:dyDescent="0.25">
      <c r="D252" s="251"/>
      <c r="E252" s="251"/>
      <c r="F252" s="251"/>
      <c r="G252" s="251"/>
      <c r="J252" s="251"/>
    </row>
    <row r="253" spans="4:10" ht="15.75" customHeight="1" x14ac:dyDescent="0.25">
      <c r="D253" s="251"/>
      <c r="E253" s="251"/>
      <c r="F253" s="251"/>
      <c r="G253" s="251"/>
      <c r="J253" s="251"/>
    </row>
    <row r="254" spans="4:10" ht="15.75" customHeight="1" x14ac:dyDescent="0.25">
      <c r="D254" s="251"/>
      <c r="E254" s="251"/>
      <c r="F254" s="251"/>
      <c r="G254" s="251"/>
      <c r="J254" s="251"/>
    </row>
    <row r="255" spans="4:10" ht="15.75" customHeight="1" x14ac:dyDescent="0.25">
      <c r="D255" s="251"/>
      <c r="E255" s="251"/>
      <c r="F255" s="251"/>
      <c r="G255" s="251"/>
      <c r="J255" s="251"/>
    </row>
    <row r="256" spans="4:10" ht="15.75" customHeight="1" x14ac:dyDescent="0.25">
      <c r="D256" s="251"/>
      <c r="E256" s="251"/>
      <c r="F256" s="251"/>
      <c r="G256" s="251"/>
      <c r="J256" s="251"/>
    </row>
    <row r="257" spans="4:10" ht="15.75" customHeight="1" x14ac:dyDescent="0.25">
      <c r="D257" s="251"/>
      <c r="E257" s="251"/>
      <c r="F257" s="251"/>
      <c r="G257" s="251"/>
      <c r="J257" s="251"/>
    </row>
    <row r="258" spans="4:10" ht="15.75" customHeight="1" x14ac:dyDescent="0.25">
      <c r="D258" s="251"/>
      <c r="E258" s="251"/>
      <c r="F258" s="251"/>
      <c r="G258" s="251"/>
      <c r="J258" s="251"/>
    </row>
    <row r="259" spans="4:10" ht="15.75" customHeight="1" x14ac:dyDescent="0.25">
      <c r="D259" s="251"/>
      <c r="E259" s="251"/>
      <c r="F259" s="251"/>
      <c r="G259" s="251"/>
      <c r="J259" s="251"/>
    </row>
    <row r="260" spans="4:10" ht="15.75" customHeight="1" x14ac:dyDescent="0.25">
      <c r="D260" s="251"/>
      <c r="E260" s="251"/>
      <c r="F260" s="251"/>
      <c r="G260" s="251"/>
      <c r="J260" s="251"/>
    </row>
    <row r="261" spans="4:10" ht="15.75" customHeight="1" x14ac:dyDescent="0.25">
      <c r="D261" s="251"/>
      <c r="E261" s="251"/>
      <c r="F261" s="251"/>
      <c r="G261" s="251"/>
      <c r="J261" s="251"/>
    </row>
    <row r="262" spans="4:10" ht="15.75" customHeight="1" x14ac:dyDescent="0.25">
      <c r="D262" s="251"/>
      <c r="E262" s="251"/>
      <c r="F262" s="251"/>
      <c r="G262" s="251"/>
      <c r="J262" s="251"/>
    </row>
    <row r="263" spans="4:10" ht="15.75" customHeight="1" x14ac:dyDescent="0.25">
      <c r="D263" s="251"/>
      <c r="E263" s="251"/>
      <c r="F263" s="251"/>
      <c r="G263" s="251"/>
      <c r="J263" s="251"/>
    </row>
    <row r="264" spans="4:10" ht="15.75" customHeight="1" x14ac:dyDescent="0.25">
      <c r="D264" s="251"/>
      <c r="E264" s="251"/>
      <c r="F264" s="251"/>
      <c r="G264" s="251"/>
      <c r="J264" s="251"/>
    </row>
    <row r="265" spans="4:10" ht="15.75" customHeight="1" x14ac:dyDescent="0.25">
      <c r="D265" s="251"/>
      <c r="E265" s="251"/>
      <c r="F265" s="251"/>
      <c r="G265" s="251"/>
      <c r="J265" s="251"/>
    </row>
    <row r="266" spans="4:10" ht="15.75" customHeight="1" x14ac:dyDescent="0.25">
      <c r="D266" s="251"/>
      <c r="E266" s="251"/>
      <c r="F266" s="251"/>
      <c r="G266" s="251"/>
      <c r="J266" s="251"/>
    </row>
    <row r="267" spans="4:10" ht="15.75" customHeight="1" x14ac:dyDescent="0.25">
      <c r="D267" s="251"/>
      <c r="E267" s="251"/>
      <c r="F267" s="251"/>
      <c r="G267" s="251"/>
      <c r="J267" s="251"/>
    </row>
    <row r="268" spans="4:10" ht="15.75" customHeight="1" x14ac:dyDescent="0.25">
      <c r="D268" s="251"/>
      <c r="E268" s="251"/>
      <c r="F268" s="251"/>
      <c r="G268" s="251"/>
      <c r="J268" s="251"/>
    </row>
    <row r="269" spans="4:10" ht="15.75" customHeight="1" x14ac:dyDescent="0.25">
      <c r="D269" s="251"/>
      <c r="E269" s="251"/>
      <c r="F269" s="251"/>
      <c r="G269" s="251"/>
      <c r="J269" s="251"/>
    </row>
    <row r="270" spans="4:10" ht="15.75" customHeight="1" x14ac:dyDescent="0.25">
      <c r="D270" s="251"/>
      <c r="E270" s="251"/>
      <c r="F270" s="251"/>
      <c r="G270" s="251"/>
      <c r="J270" s="251"/>
    </row>
    <row r="271" spans="4:10" ht="15.75" customHeight="1" x14ac:dyDescent="0.25">
      <c r="D271" s="251"/>
      <c r="E271" s="251"/>
      <c r="F271" s="251"/>
      <c r="G271" s="251"/>
      <c r="J271" s="251"/>
    </row>
    <row r="272" spans="4:10" ht="15.75" customHeight="1" x14ac:dyDescent="0.25">
      <c r="D272" s="251"/>
      <c r="E272" s="251"/>
      <c r="F272" s="251"/>
      <c r="G272" s="251"/>
      <c r="J272" s="251"/>
    </row>
    <row r="273" spans="4:10" ht="15.75" customHeight="1" x14ac:dyDescent="0.25">
      <c r="D273" s="251"/>
      <c r="E273" s="251"/>
      <c r="F273" s="251"/>
      <c r="G273" s="251"/>
      <c r="J273" s="251"/>
    </row>
    <row r="274" spans="4:10" ht="15.75" customHeight="1" x14ac:dyDescent="0.25">
      <c r="D274" s="251"/>
      <c r="E274" s="251"/>
      <c r="F274" s="251"/>
      <c r="G274" s="251"/>
      <c r="J274" s="251"/>
    </row>
    <row r="275" spans="4:10" ht="15.75" customHeight="1" x14ac:dyDescent="0.25">
      <c r="D275" s="251"/>
      <c r="E275" s="251"/>
      <c r="F275" s="251"/>
      <c r="G275" s="251"/>
      <c r="J275" s="251"/>
    </row>
    <row r="276" spans="4:10" ht="15.75" customHeight="1" x14ac:dyDescent="0.25">
      <c r="D276" s="251"/>
      <c r="E276" s="251"/>
      <c r="F276" s="251"/>
      <c r="G276" s="251"/>
      <c r="J276" s="251"/>
    </row>
    <row r="277" spans="4:10" ht="15.75" customHeight="1" x14ac:dyDescent="0.25">
      <c r="D277" s="251"/>
      <c r="E277" s="251"/>
      <c r="F277" s="251"/>
      <c r="G277" s="251"/>
      <c r="J277" s="251"/>
    </row>
    <row r="278" spans="4:10" ht="15.75" customHeight="1" x14ac:dyDescent="0.25">
      <c r="D278" s="251"/>
      <c r="E278" s="251"/>
      <c r="F278" s="251"/>
      <c r="G278" s="251"/>
      <c r="J278" s="251"/>
    </row>
    <row r="279" spans="4:10" ht="15.75" customHeight="1" x14ac:dyDescent="0.25">
      <c r="D279" s="251"/>
      <c r="E279" s="251"/>
      <c r="F279" s="251"/>
      <c r="G279" s="251"/>
      <c r="J279" s="251"/>
    </row>
    <row r="280" spans="4:10" ht="15.75" customHeight="1" x14ac:dyDescent="0.25">
      <c r="D280" s="251"/>
      <c r="E280" s="251"/>
      <c r="F280" s="251"/>
      <c r="G280" s="251"/>
      <c r="J280" s="251"/>
    </row>
    <row r="281" spans="4:10" ht="15.75" customHeight="1" x14ac:dyDescent="0.25">
      <c r="D281" s="251"/>
      <c r="E281" s="251"/>
      <c r="F281" s="251"/>
      <c r="G281" s="251"/>
      <c r="J281" s="251"/>
    </row>
    <row r="282" spans="4:10" ht="15.75" customHeight="1" x14ac:dyDescent="0.25">
      <c r="D282" s="251"/>
      <c r="E282" s="251"/>
      <c r="F282" s="251"/>
      <c r="G282" s="251"/>
      <c r="J282" s="251"/>
    </row>
    <row r="283" spans="4:10" ht="15.75" customHeight="1" x14ac:dyDescent="0.25">
      <c r="D283" s="251"/>
      <c r="E283" s="251"/>
      <c r="F283" s="251"/>
      <c r="G283" s="251"/>
      <c r="J283" s="251"/>
    </row>
    <row r="284" spans="4:10" ht="15.75" customHeight="1" x14ac:dyDescent="0.25">
      <c r="D284" s="251"/>
      <c r="E284" s="251"/>
      <c r="F284" s="251"/>
      <c r="G284" s="251"/>
      <c r="J284" s="251"/>
    </row>
    <row r="285" spans="4:10" ht="15.75" customHeight="1" x14ac:dyDescent="0.25">
      <c r="D285" s="251"/>
      <c r="E285" s="251"/>
      <c r="F285" s="251"/>
      <c r="G285" s="251"/>
      <c r="J285" s="251"/>
    </row>
    <row r="286" spans="4:10" ht="15.75" customHeight="1" x14ac:dyDescent="0.25">
      <c r="D286" s="251"/>
      <c r="E286" s="251"/>
      <c r="F286" s="251"/>
      <c r="G286" s="251"/>
      <c r="J286" s="251"/>
    </row>
    <row r="287" spans="4:10" ht="15.75" customHeight="1" x14ac:dyDescent="0.25">
      <c r="D287" s="251"/>
      <c r="E287" s="251"/>
      <c r="F287" s="251"/>
      <c r="G287" s="251"/>
      <c r="J287" s="251"/>
    </row>
    <row r="288" spans="4:10" ht="15.75" customHeight="1" x14ac:dyDescent="0.25">
      <c r="D288" s="251"/>
      <c r="E288" s="251"/>
      <c r="F288" s="251"/>
      <c r="G288" s="251"/>
      <c r="J288" s="251"/>
    </row>
    <row r="289" spans="4:10" ht="15.75" customHeight="1" x14ac:dyDescent="0.25">
      <c r="D289" s="251"/>
      <c r="E289" s="251"/>
      <c r="F289" s="251"/>
      <c r="G289" s="251"/>
      <c r="J289" s="251"/>
    </row>
    <row r="290" spans="4:10" ht="15.75" customHeight="1" x14ac:dyDescent="0.25">
      <c r="D290" s="251"/>
      <c r="E290" s="251"/>
      <c r="F290" s="251"/>
      <c r="G290" s="251"/>
      <c r="J290" s="251"/>
    </row>
    <row r="291" spans="4:10" ht="15.75" customHeight="1" x14ac:dyDescent="0.25">
      <c r="D291" s="251"/>
      <c r="E291" s="251"/>
      <c r="F291" s="251"/>
      <c r="G291" s="251"/>
      <c r="J291" s="251"/>
    </row>
    <row r="292" spans="4:10" ht="15.75" customHeight="1" x14ac:dyDescent="0.25">
      <c r="D292" s="251"/>
      <c r="E292" s="251"/>
      <c r="F292" s="251"/>
      <c r="G292" s="251"/>
      <c r="J292" s="251"/>
    </row>
    <row r="293" spans="4:10" ht="15.75" customHeight="1" x14ac:dyDescent="0.25">
      <c r="D293" s="251"/>
      <c r="E293" s="251"/>
      <c r="F293" s="251"/>
      <c r="G293" s="251"/>
      <c r="J293" s="251"/>
    </row>
    <row r="294" spans="4:10" ht="15.75" customHeight="1" x14ac:dyDescent="0.25">
      <c r="D294" s="251"/>
      <c r="E294" s="251"/>
      <c r="F294" s="251"/>
      <c r="G294" s="251"/>
      <c r="J294" s="251"/>
    </row>
    <row r="295" spans="4:10" ht="15.75" customHeight="1" x14ac:dyDescent="0.25">
      <c r="D295" s="251"/>
      <c r="E295" s="251"/>
      <c r="F295" s="251"/>
      <c r="G295" s="251"/>
      <c r="J295" s="251"/>
    </row>
    <row r="296" spans="4:10" ht="15.75" customHeight="1" x14ac:dyDescent="0.25">
      <c r="D296" s="251"/>
      <c r="E296" s="251"/>
      <c r="F296" s="251"/>
      <c r="G296" s="251"/>
      <c r="J296" s="251"/>
    </row>
    <row r="297" spans="4:10" ht="15.75" customHeight="1" x14ac:dyDescent="0.25">
      <c r="D297" s="251"/>
      <c r="E297" s="251"/>
      <c r="F297" s="251"/>
      <c r="G297" s="251"/>
      <c r="J297" s="251"/>
    </row>
    <row r="298" spans="4:10" ht="15.75" customHeight="1" x14ac:dyDescent="0.25">
      <c r="D298" s="251"/>
      <c r="E298" s="251"/>
      <c r="F298" s="251"/>
      <c r="G298" s="251"/>
      <c r="J298" s="251"/>
    </row>
    <row r="299" spans="4:10" ht="15.75" customHeight="1" x14ac:dyDescent="0.25">
      <c r="D299" s="251"/>
      <c r="E299" s="251"/>
      <c r="F299" s="251"/>
      <c r="G299" s="251"/>
      <c r="J299" s="251"/>
    </row>
    <row r="300" spans="4:10" ht="15.75" customHeight="1" x14ac:dyDescent="0.25">
      <c r="D300" s="251"/>
      <c r="E300" s="251"/>
      <c r="F300" s="251"/>
      <c r="G300" s="251"/>
      <c r="J300" s="251"/>
    </row>
    <row r="301" spans="4:10" ht="15.75" customHeight="1" x14ac:dyDescent="0.25">
      <c r="D301" s="251"/>
      <c r="E301" s="251"/>
      <c r="F301" s="251"/>
      <c r="G301" s="251"/>
      <c r="J301" s="251"/>
    </row>
    <row r="302" spans="4:10" ht="15.75" customHeight="1" x14ac:dyDescent="0.25">
      <c r="D302" s="251"/>
      <c r="E302" s="251"/>
      <c r="F302" s="251"/>
      <c r="G302" s="251"/>
      <c r="J302" s="251"/>
    </row>
    <row r="303" spans="4:10" ht="15.75" customHeight="1" x14ac:dyDescent="0.25">
      <c r="D303" s="251"/>
      <c r="E303" s="251"/>
      <c r="F303" s="251"/>
      <c r="G303" s="251"/>
      <c r="J303" s="251"/>
    </row>
    <row r="304" spans="4:10" ht="15.75" customHeight="1" x14ac:dyDescent="0.25">
      <c r="D304" s="251"/>
      <c r="E304" s="251"/>
      <c r="F304" s="251"/>
      <c r="G304" s="251"/>
      <c r="J304" s="251"/>
    </row>
    <row r="305" spans="4:10" ht="15.75" customHeight="1" x14ac:dyDescent="0.25">
      <c r="D305" s="251"/>
      <c r="E305" s="251"/>
      <c r="F305" s="251"/>
      <c r="G305" s="251"/>
      <c r="J305" s="251"/>
    </row>
    <row r="306" spans="4:10" ht="15.75" customHeight="1" x14ac:dyDescent="0.25">
      <c r="D306" s="251"/>
      <c r="E306" s="251"/>
      <c r="F306" s="251"/>
      <c r="G306" s="251"/>
      <c r="J306" s="251"/>
    </row>
    <row r="307" spans="4:10" ht="15.75" customHeight="1" x14ac:dyDescent="0.25">
      <c r="D307" s="251"/>
      <c r="E307" s="251"/>
      <c r="F307" s="251"/>
      <c r="G307" s="251"/>
      <c r="J307" s="251"/>
    </row>
    <row r="308" spans="4:10" ht="15.75" customHeight="1" x14ac:dyDescent="0.25">
      <c r="D308" s="251"/>
      <c r="E308" s="251"/>
      <c r="F308" s="251"/>
      <c r="G308" s="251"/>
      <c r="J308" s="251"/>
    </row>
    <row r="309" spans="4:10" ht="15.75" customHeight="1" x14ac:dyDescent="0.25">
      <c r="D309" s="251"/>
      <c r="E309" s="251"/>
      <c r="F309" s="251"/>
      <c r="G309" s="251"/>
      <c r="J309" s="251"/>
    </row>
    <row r="310" spans="4:10" ht="15.75" customHeight="1" x14ac:dyDescent="0.25">
      <c r="D310" s="251"/>
      <c r="E310" s="251"/>
      <c r="F310" s="251"/>
      <c r="G310" s="251"/>
      <c r="J310" s="251"/>
    </row>
    <row r="311" spans="4:10" ht="15.75" customHeight="1" x14ac:dyDescent="0.25">
      <c r="D311" s="251"/>
      <c r="E311" s="251"/>
      <c r="F311" s="251"/>
      <c r="G311" s="251"/>
      <c r="J311" s="251"/>
    </row>
    <row r="312" spans="4:10" ht="15.75" customHeight="1" x14ac:dyDescent="0.25">
      <c r="D312" s="251"/>
      <c r="E312" s="251"/>
      <c r="F312" s="251"/>
      <c r="G312" s="251"/>
      <c r="J312" s="251"/>
    </row>
    <row r="313" spans="4:10" ht="15.75" customHeight="1" x14ac:dyDescent="0.25">
      <c r="D313" s="251"/>
      <c r="E313" s="251"/>
      <c r="F313" s="251"/>
      <c r="G313" s="251"/>
      <c r="J313" s="251"/>
    </row>
    <row r="314" spans="4:10" ht="15.75" customHeight="1" x14ac:dyDescent="0.25">
      <c r="D314" s="251"/>
      <c r="E314" s="251"/>
      <c r="F314" s="251"/>
      <c r="G314" s="251"/>
      <c r="J314" s="251"/>
    </row>
    <row r="315" spans="4:10" ht="15.75" customHeight="1" x14ac:dyDescent="0.25">
      <c r="D315" s="251"/>
      <c r="E315" s="251"/>
      <c r="F315" s="251"/>
      <c r="G315" s="251"/>
      <c r="J315" s="251"/>
    </row>
    <row r="316" spans="4:10" ht="15.75" customHeight="1" x14ac:dyDescent="0.25">
      <c r="D316" s="251"/>
      <c r="E316" s="251"/>
      <c r="F316" s="251"/>
      <c r="G316" s="251"/>
      <c r="J316" s="251"/>
    </row>
    <row r="317" spans="4:10" ht="15.75" customHeight="1" x14ac:dyDescent="0.25">
      <c r="D317" s="251"/>
      <c r="E317" s="251"/>
      <c r="F317" s="251"/>
      <c r="G317" s="251"/>
      <c r="J317" s="251"/>
    </row>
    <row r="318" spans="4:10" ht="15.75" customHeight="1" x14ac:dyDescent="0.25">
      <c r="D318" s="251"/>
      <c r="E318" s="251"/>
      <c r="F318" s="251"/>
      <c r="G318" s="251"/>
      <c r="J318" s="251"/>
    </row>
    <row r="319" spans="4:10" ht="15.75" customHeight="1" x14ac:dyDescent="0.25">
      <c r="D319" s="251"/>
      <c r="E319" s="251"/>
      <c r="F319" s="251"/>
      <c r="G319" s="251"/>
      <c r="J319" s="251"/>
    </row>
    <row r="320" spans="4:10" ht="15.75" customHeight="1" x14ac:dyDescent="0.25">
      <c r="D320" s="251"/>
      <c r="E320" s="251"/>
      <c r="F320" s="251"/>
      <c r="G320" s="251"/>
      <c r="J320" s="251"/>
    </row>
    <row r="321" spans="4:10" ht="15.75" customHeight="1" x14ac:dyDescent="0.25">
      <c r="D321" s="251"/>
      <c r="E321" s="251"/>
      <c r="F321" s="251"/>
      <c r="G321" s="251"/>
      <c r="J321" s="251"/>
    </row>
    <row r="322" spans="4:10" ht="15.75" customHeight="1" x14ac:dyDescent="0.25">
      <c r="D322" s="251"/>
      <c r="E322" s="251"/>
      <c r="F322" s="251"/>
      <c r="G322" s="251"/>
      <c r="J322" s="251"/>
    </row>
    <row r="323" spans="4:10" ht="15.75" customHeight="1" x14ac:dyDescent="0.25">
      <c r="D323" s="251"/>
      <c r="E323" s="251"/>
      <c r="F323" s="251"/>
      <c r="G323" s="251"/>
      <c r="J323" s="251"/>
    </row>
    <row r="324" spans="4:10" ht="15.75" customHeight="1" x14ac:dyDescent="0.25">
      <c r="D324" s="251"/>
      <c r="E324" s="251"/>
      <c r="F324" s="251"/>
      <c r="G324" s="251"/>
      <c r="J324" s="251"/>
    </row>
    <row r="325" spans="4:10" ht="15.75" customHeight="1" x14ac:dyDescent="0.25">
      <c r="D325" s="251"/>
      <c r="E325" s="251"/>
      <c r="F325" s="251"/>
      <c r="G325" s="251"/>
      <c r="J325" s="251"/>
    </row>
    <row r="326" spans="4:10" ht="15.75" customHeight="1" x14ac:dyDescent="0.25">
      <c r="D326" s="251"/>
      <c r="E326" s="251"/>
      <c r="F326" s="251"/>
      <c r="G326" s="251"/>
      <c r="J326" s="251"/>
    </row>
    <row r="327" spans="4:10" ht="15.75" customHeight="1" x14ac:dyDescent="0.25">
      <c r="D327" s="251"/>
      <c r="E327" s="251"/>
      <c r="F327" s="251"/>
      <c r="G327" s="251"/>
      <c r="J327" s="251"/>
    </row>
    <row r="328" spans="4:10" ht="15.75" customHeight="1" x14ac:dyDescent="0.25">
      <c r="D328" s="251"/>
      <c r="E328" s="251"/>
      <c r="F328" s="251"/>
      <c r="G328" s="251"/>
      <c r="J328" s="251"/>
    </row>
    <row r="329" spans="4:10" ht="15.75" customHeight="1" x14ac:dyDescent="0.25">
      <c r="D329" s="251"/>
      <c r="E329" s="251"/>
      <c r="F329" s="251"/>
      <c r="G329" s="251"/>
      <c r="J329" s="251"/>
    </row>
    <row r="330" spans="4:10" ht="15.75" customHeight="1" x14ac:dyDescent="0.25">
      <c r="D330" s="251"/>
      <c r="E330" s="251"/>
      <c r="F330" s="251"/>
      <c r="G330" s="251"/>
      <c r="J330" s="251"/>
    </row>
    <row r="331" spans="4:10" ht="15.75" customHeight="1" x14ac:dyDescent="0.25">
      <c r="D331" s="251"/>
      <c r="E331" s="251"/>
      <c r="F331" s="251"/>
      <c r="G331" s="251"/>
      <c r="J331" s="251"/>
    </row>
    <row r="332" spans="4:10" ht="15.75" customHeight="1" x14ac:dyDescent="0.25">
      <c r="D332" s="251"/>
      <c r="E332" s="251"/>
      <c r="F332" s="251"/>
      <c r="G332" s="251"/>
      <c r="J332" s="251"/>
    </row>
    <row r="333" spans="4:10" ht="15.75" customHeight="1" x14ac:dyDescent="0.25">
      <c r="D333" s="251"/>
      <c r="E333" s="251"/>
      <c r="F333" s="251"/>
      <c r="G333" s="251"/>
      <c r="J333" s="251"/>
    </row>
    <row r="334" spans="4:10" ht="15.75" customHeight="1" x14ac:dyDescent="0.25">
      <c r="D334" s="251"/>
      <c r="E334" s="251"/>
      <c r="F334" s="251"/>
      <c r="G334" s="251"/>
      <c r="J334" s="251"/>
    </row>
    <row r="335" spans="4:10" ht="15.75" customHeight="1" x14ac:dyDescent="0.25">
      <c r="D335" s="251"/>
      <c r="E335" s="251"/>
      <c r="F335" s="251"/>
      <c r="G335" s="251"/>
      <c r="J335" s="251"/>
    </row>
    <row r="336" spans="4:10" ht="15.75" customHeight="1" x14ac:dyDescent="0.25">
      <c r="D336" s="251"/>
      <c r="E336" s="251"/>
      <c r="F336" s="251"/>
      <c r="G336" s="251"/>
      <c r="J336" s="251"/>
    </row>
    <row r="337" spans="4:10" ht="15.75" customHeight="1" x14ac:dyDescent="0.25">
      <c r="D337" s="251"/>
      <c r="E337" s="251"/>
      <c r="F337" s="251"/>
      <c r="G337" s="251"/>
      <c r="J337" s="251"/>
    </row>
    <row r="338" spans="4:10" ht="15.75" customHeight="1" x14ac:dyDescent="0.25">
      <c r="D338" s="251"/>
      <c r="E338" s="251"/>
      <c r="F338" s="251"/>
      <c r="G338" s="251"/>
      <c r="J338" s="251"/>
    </row>
    <row r="339" spans="4:10" ht="15.75" customHeight="1" x14ac:dyDescent="0.25">
      <c r="D339" s="251"/>
      <c r="E339" s="251"/>
      <c r="F339" s="251"/>
      <c r="G339" s="251"/>
      <c r="J339" s="251"/>
    </row>
    <row r="340" spans="4:10" ht="15.75" customHeight="1" x14ac:dyDescent="0.25">
      <c r="D340" s="251"/>
      <c r="E340" s="251"/>
      <c r="F340" s="251"/>
      <c r="G340" s="251"/>
      <c r="J340" s="251"/>
    </row>
    <row r="341" spans="4:10" ht="15.75" customHeight="1" x14ac:dyDescent="0.25">
      <c r="D341" s="251"/>
      <c r="E341" s="251"/>
      <c r="F341" s="251"/>
      <c r="G341" s="251"/>
      <c r="J341" s="251"/>
    </row>
    <row r="342" spans="4:10" ht="15.75" customHeight="1" x14ac:dyDescent="0.25">
      <c r="D342" s="251"/>
      <c r="E342" s="251"/>
      <c r="F342" s="251"/>
      <c r="G342" s="251"/>
      <c r="J342" s="251"/>
    </row>
    <row r="343" spans="4:10" ht="15.75" customHeight="1" x14ac:dyDescent="0.25">
      <c r="D343" s="251"/>
      <c r="E343" s="251"/>
      <c r="F343" s="251"/>
      <c r="G343" s="251"/>
      <c r="J343" s="251"/>
    </row>
    <row r="344" spans="4:10" ht="15.75" customHeight="1" x14ac:dyDescent="0.25">
      <c r="D344" s="251"/>
      <c r="E344" s="251"/>
      <c r="F344" s="251"/>
      <c r="G344" s="251"/>
      <c r="J344" s="251"/>
    </row>
    <row r="345" spans="4:10" ht="15.75" customHeight="1" x14ac:dyDescent="0.25">
      <c r="D345" s="251"/>
      <c r="E345" s="251"/>
      <c r="F345" s="251"/>
      <c r="G345" s="251"/>
      <c r="J345" s="251"/>
    </row>
    <row r="346" spans="4:10" ht="15.75" customHeight="1" x14ac:dyDescent="0.25">
      <c r="D346" s="251"/>
      <c r="E346" s="251"/>
      <c r="F346" s="251"/>
      <c r="G346" s="251"/>
      <c r="J346" s="251"/>
    </row>
    <row r="347" spans="4:10" ht="15.75" customHeight="1" x14ac:dyDescent="0.25">
      <c r="D347" s="251"/>
      <c r="E347" s="251"/>
      <c r="F347" s="251"/>
      <c r="G347" s="251"/>
      <c r="J347" s="251"/>
    </row>
    <row r="348" spans="4:10" ht="15.75" customHeight="1" x14ac:dyDescent="0.25">
      <c r="D348" s="251"/>
      <c r="E348" s="251"/>
      <c r="F348" s="251"/>
      <c r="G348" s="251"/>
      <c r="J348" s="251"/>
    </row>
    <row r="349" spans="4:10" ht="15.75" customHeight="1" x14ac:dyDescent="0.25">
      <c r="D349" s="251"/>
      <c r="E349" s="251"/>
      <c r="F349" s="251"/>
      <c r="G349" s="251"/>
      <c r="J349" s="251"/>
    </row>
    <row r="350" spans="4:10" ht="15.75" customHeight="1" x14ac:dyDescent="0.25">
      <c r="D350" s="251"/>
      <c r="E350" s="251"/>
      <c r="F350" s="251"/>
      <c r="G350" s="251"/>
      <c r="J350" s="251"/>
    </row>
    <row r="351" spans="4:10" ht="15.75" customHeight="1" x14ac:dyDescent="0.25">
      <c r="D351" s="251"/>
      <c r="E351" s="251"/>
      <c r="F351" s="251"/>
      <c r="G351" s="251"/>
      <c r="J351" s="251"/>
    </row>
    <row r="352" spans="4:10" ht="15.75" customHeight="1" x14ac:dyDescent="0.25">
      <c r="D352" s="251"/>
      <c r="E352" s="251"/>
      <c r="F352" s="251"/>
      <c r="G352" s="251"/>
      <c r="J352" s="251"/>
    </row>
    <row r="353" spans="4:10" ht="15.75" customHeight="1" x14ac:dyDescent="0.25">
      <c r="D353" s="251"/>
      <c r="E353" s="251"/>
      <c r="F353" s="251"/>
      <c r="G353" s="251"/>
      <c r="J353" s="251"/>
    </row>
    <row r="354" spans="4:10" ht="15.75" customHeight="1" x14ac:dyDescent="0.25">
      <c r="D354" s="251"/>
      <c r="E354" s="251"/>
      <c r="F354" s="251"/>
      <c r="G354" s="251"/>
      <c r="J354" s="251"/>
    </row>
    <row r="355" spans="4:10" ht="15.75" customHeight="1" x14ac:dyDescent="0.25">
      <c r="D355" s="251"/>
      <c r="E355" s="251"/>
      <c r="F355" s="251"/>
      <c r="G355" s="251"/>
      <c r="J355" s="251"/>
    </row>
    <row r="356" spans="4:10" ht="15.75" customHeight="1" x14ac:dyDescent="0.25">
      <c r="D356" s="251"/>
      <c r="E356" s="251"/>
      <c r="F356" s="251"/>
      <c r="G356" s="251"/>
      <c r="J356" s="251"/>
    </row>
    <row r="357" spans="4:10" ht="15.75" customHeight="1" x14ac:dyDescent="0.25">
      <c r="D357" s="251"/>
      <c r="E357" s="251"/>
      <c r="F357" s="251"/>
      <c r="G357" s="251"/>
      <c r="J357" s="251"/>
    </row>
    <row r="358" spans="4:10" ht="15.75" customHeight="1" x14ac:dyDescent="0.25">
      <c r="D358" s="251"/>
      <c r="E358" s="251"/>
      <c r="F358" s="251"/>
      <c r="G358" s="251"/>
      <c r="J358" s="251"/>
    </row>
    <row r="359" spans="4:10" ht="15.75" customHeight="1" x14ac:dyDescent="0.25">
      <c r="D359" s="251"/>
      <c r="E359" s="251"/>
      <c r="F359" s="251"/>
      <c r="G359" s="251"/>
      <c r="J359" s="251"/>
    </row>
    <row r="360" spans="4:10" ht="15.75" customHeight="1" x14ac:dyDescent="0.25">
      <c r="D360" s="251"/>
      <c r="E360" s="251"/>
      <c r="F360" s="251"/>
      <c r="G360" s="251"/>
      <c r="J360" s="251"/>
    </row>
    <row r="361" spans="4:10" ht="15.75" customHeight="1" x14ac:dyDescent="0.25">
      <c r="D361" s="251"/>
      <c r="E361" s="251"/>
      <c r="F361" s="251"/>
      <c r="G361" s="251"/>
      <c r="J361" s="251"/>
    </row>
    <row r="362" spans="4:10" ht="15.75" customHeight="1" x14ac:dyDescent="0.25">
      <c r="D362" s="251"/>
      <c r="E362" s="251"/>
      <c r="F362" s="251"/>
      <c r="G362" s="251"/>
      <c r="J362" s="251"/>
    </row>
    <row r="363" spans="4:10" ht="15.75" customHeight="1" x14ac:dyDescent="0.25">
      <c r="D363" s="251"/>
      <c r="E363" s="251"/>
      <c r="F363" s="251"/>
      <c r="G363" s="251"/>
      <c r="J363" s="251"/>
    </row>
    <row r="364" spans="4:10" ht="15.75" customHeight="1" x14ac:dyDescent="0.25">
      <c r="D364" s="251"/>
      <c r="E364" s="251"/>
      <c r="F364" s="251"/>
      <c r="G364" s="251"/>
      <c r="J364" s="251"/>
    </row>
    <row r="365" spans="4:10" ht="15.75" customHeight="1" x14ac:dyDescent="0.25">
      <c r="D365" s="251"/>
      <c r="E365" s="251"/>
      <c r="F365" s="251"/>
      <c r="G365" s="251"/>
      <c r="J365" s="251"/>
    </row>
    <row r="366" spans="4:10" ht="15.75" customHeight="1" x14ac:dyDescent="0.25">
      <c r="D366" s="251"/>
      <c r="E366" s="251"/>
      <c r="F366" s="251"/>
      <c r="G366" s="251"/>
      <c r="J366" s="251"/>
    </row>
    <row r="367" spans="4:10" ht="15.75" customHeight="1" x14ac:dyDescent="0.25">
      <c r="D367" s="251"/>
      <c r="E367" s="251"/>
      <c r="F367" s="251"/>
      <c r="G367" s="251"/>
      <c r="J367" s="251"/>
    </row>
    <row r="368" spans="4:10" ht="15.75" customHeight="1" x14ac:dyDescent="0.25">
      <c r="D368" s="251"/>
      <c r="E368" s="251"/>
      <c r="F368" s="251"/>
      <c r="G368" s="251"/>
      <c r="J368" s="251"/>
    </row>
    <row r="369" spans="4:10" ht="15.75" customHeight="1" x14ac:dyDescent="0.25">
      <c r="D369" s="251"/>
      <c r="E369" s="251"/>
      <c r="F369" s="251"/>
      <c r="G369" s="251"/>
      <c r="J369" s="251"/>
    </row>
    <row r="370" spans="4:10" ht="15.75" customHeight="1" x14ac:dyDescent="0.25">
      <c r="D370" s="251"/>
      <c r="E370" s="251"/>
      <c r="F370" s="251"/>
      <c r="G370" s="251"/>
      <c r="J370" s="251"/>
    </row>
    <row r="371" spans="4:10" ht="15.75" customHeight="1" x14ac:dyDescent="0.25">
      <c r="D371" s="251"/>
      <c r="E371" s="251"/>
      <c r="F371" s="251"/>
      <c r="G371" s="251"/>
      <c r="J371" s="251"/>
    </row>
    <row r="372" spans="4:10" ht="15.75" customHeight="1" x14ac:dyDescent="0.25">
      <c r="D372" s="251"/>
      <c r="E372" s="251"/>
      <c r="F372" s="251"/>
      <c r="G372" s="251"/>
      <c r="J372" s="251"/>
    </row>
    <row r="373" spans="4:10" ht="15.75" customHeight="1" x14ac:dyDescent="0.25">
      <c r="D373" s="251"/>
      <c r="E373" s="251"/>
      <c r="F373" s="251"/>
      <c r="G373" s="251"/>
      <c r="J373" s="251"/>
    </row>
    <row r="374" spans="4:10" ht="15.75" customHeight="1" x14ac:dyDescent="0.25">
      <c r="D374" s="251"/>
      <c r="E374" s="251"/>
      <c r="F374" s="251"/>
      <c r="G374" s="251"/>
      <c r="J374" s="251"/>
    </row>
    <row r="375" spans="4:10" ht="15.75" customHeight="1" x14ac:dyDescent="0.25">
      <c r="D375" s="251"/>
      <c r="E375" s="251"/>
      <c r="F375" s="251"/>
      <c r="G375" s="251"/>
      <c r="J375" s="251"/>
    </row>
    <row r="376" spans="4:10" ht="15.75" customHeight="1" x14ac:dyDescent="0.25">
      <c r="D376" s="251"/>
      <c r="E376" s="251"/>
      <c r="F376" s="251"/>
      <c r="G376" s="251"/>
      <c r="J376" s="251"/>
    </row>
    <row r="377" spans="4:10" ht="15.75" customHeight="1" x14ac:dyDescent="0.25">
      <c r="D377" s="251"/>
      <c r="E377" s="251"/>
      <c r="F377" s="251"/>
      <c r="G377" s="251"/>
      <c r="J377" s="251"/>
    </row>
    <row r="378" spans="4:10" ht="15.75" customHeight="1" x14ac:dyDescent="0.25">
      <c r="D378" s="251"/>
      <c r="E378" s="251"/>
      <c r="F378" s="251"/>
      <c r="G378" s="251"/>
      <c r="J378" s="251"/>
    </row>
    <row r="379" spans="4:10" ht="15.75" customHeight="1" x14ac:dyDescent="0.25">
      <c r="D379" s="251"/>
      <c r="E379" s="251"/>
      <c r="F379" s="251"/>
      <c r="G379" s="251"/>
      <c r="J379" s="251"/>
    </row>
    <row r="380" spans="4:10" ht="15.75" customHeight="1" x14ac:dyDescent="0.25">
      <c r="D380" s="251"/>
      <c r="E380" s="251"/>
      <c r="F380" s="251"/>
      <c r="G380" s="251"/>
      <c r="J380" s="251"/>
    </row>
    <row r="381" spans="4:10" ht="15.75" customHeight="1" x14ac:dyDescent="0.25">
      <c r="D381" s="251"/>
      <c r="E381" s="251"/>
      <c r="F381" s="251"/>
      <c r="G381" s="251"/>
      <c r="J381" s="251"/>
    </row>
    <row r="382" spans="4:10" ht="15.75" customHeight="1" x14ac:dyDescent="0.25">
      <c r="D382" s="251"/>
      <c r="E382" s="251"/>
      <c r="F382" s="251"/>
      <c r="G382" s="251"/>
      <c r="J382" s="251"/>
    </row>
    <row r="383" spans="4:10" ht="15.75" customHeight="1" x14ac:dyDescent="0.25">
      <c r="D383" s="251"/>
      <c r="E383" s="251"/>
      <c r="F383" s="251"/>
      <c r="G383" s="251"/>
      <c r="J383" s="251"/>
    </row>
    <row r="384" spans="4:10" ht="15.75" customHeight="1" x14ac:dyDescent="0.25">
      <c r="D384" s="251"/>
      <c r="E384" s="251"/>
      <c r="F384" s="251"/>
      <c r="G384" s="251"/>
      <c r="J384" s="251"/>
    </row>
    <row r="385" spans="4:10" ht="15.75" customHeight="1" x14ac:dyDescent="0.25">
      <c r="D385" s="251"/>
      <c r="E385" s="251"/>
      <c r="F385" s="251"/>
      <c r="G385" s="251"/>
      <c r="J385" s="251"/>
    </row>
    <row r="386" spans="4:10" ht="15.75" customHeight="1" x14ac:dyDescent="0.25">
      <c r="D386" s="251"/>
      <c r="E386" s="251"/>
      <c r="F386" s="251"/>
      <c r="G386" s="251"/>
      <c r="J386" s="251"/>
    </row>
    <row r="387" spans="4:10" ht="15.75" customHeight="1" x14ac:dyDescent="0.25">
      <c r="D387" s="251"/>
      <c r="E387" s="251"/>
      <c r="F387" s="251"/>
      <c r="G387" s="251"/>
      <c r="J387" s="251"/>
    </row>
    <row r="388" spans="4:10" ht="15.75" customHeight="1" x14ac:dyDescent="0.25">
      <c r="D388" s="251"/>
      <c r="E388" s="251"/>
      <c r="F388" s="251"/>
      <c r="G388" s="251"/>
      <c r="J388" s="251"/>
    </row>
    <row r="389" spans="4:10" ht="15.75" customHeight="1" x14ac:dyDescent="0.25">
      <c r="D389" s="251"/>
      <c r="E389" s="251"/>
      <c r="F389" s="251"/>
      <c r="G389" s="251"/>
      <c r="J389" s="251"/>
    </row>
    <row r="390" spans="4:10" ht="15.75" customHeight="1" x14ac:dyDescent="0.25">
      <c r="D390" s="251"/>
      <c r="E390" s="251"/>
      <c r="F390" s="251"/>
      <c r="G390" s="251"/>
      <c r="J390" s="251"/>
    </row>
    <row r="391" spans="4:10" ht="15.75" customHeight="1" x14ac:dyDescent="0.25">
      <c r="D391" s="251"/>
      <c r="E391" s="251"/>
      <c r="F391" s="251"/>
      <c r="G391" s="251"/>
      <c r="J391" s="251"/>
    </row>
    <row r="392" spans="4:10" ht="15.75" customHeight="1" x14ac:dyDescent="0.25">
      <c r="D392" s="251"/>
      <c r="E392" s="251"/>
      <c r="F392" s="251"/>
      <c r="G392" s="251"/>
      <c r="J392" s="251"/>
    </row>
    <row r="393" spans="4:10" ht="15.75" customHeight="1" x14ac:dyDescent="0.25">
      <c r="D393" s="251"/>
      <c r="E393" s="251"/>
      <c r="F393" s="251"/>
      <c r="G393" s="251"/>
      <c r="J393" s="251"/>
    </row>
    <row r="394" spans="4:10" ht="15.75" customHeight="1" x14ac:dyDescent="0.25">
      <c r="D394" s="251"/>
      <c r="E394" s="251"/>
      <c r="F394" s="251"/>
      <c r="G394" s="251"/>
      <c r="J394" s="251"/>
    </row>
    <row r="395" spans="4:10" ht="15.75" customHeight="1" x14ac:dyDescent="0.25">
      <c r="D395" s="251"/>
      <c r="E395" s="251"/>
      <c r="F395" s="251"/>
      <c r="G395" s="251"/>
      <c r="J395" s="251"/>
    </row>
    <row r="396" spans="4:10" ht="15.75" customHeight="1" x14ac:dyDescent="0.25">
      <c r="D396" s="251"/>
      <c r="E396" s="251"/>
      <c r="F396" s="251"/>
      <c r="G396" s="251"/>
      <c r="J396" s="251"/>
    </row>
    <row r="397" spans="4:10" ht="15.75" customHeight="1" x14ac:dyDescent="0.25">
      <c r="D397" s="251"/>
      <c r="E397" s="251"/>
      <c r="F397" s="251"/>
      <c r="G397" s="251"/>
      <c r="J397" s="251"/>
    </row>
    <row r="398" spans="4:10" ht="15.75" customHeight="1" x14ac:dyDescent="0.25">
      <c r="D398" s="251"/>
      <c r="E398" s="251"/>
      <c r="F398" s="251"/>
      <c r="G398" s="251"/>
      <c r="J398" s="251"/>
    </row>
    <row r="399" spans="4:10" ht="15.75" customHeight="1" x14ac:dyDescent="0.25">
      <c r="D399" s="251"/>
      <c r="E399" s="251"/>
      <c r="F399" s="251"/>
      <c r="G399" s="251"/>
      <c r="J399" s="251"/>
    </row>
    <row r="400" spans="4:10" ht="15.75" customHeight="1" x14ac:dyDescent="0.25">
      <c r="D400" s="251"/>
      <c r="E400" s="251"/>
      <c r="F400" s="251"/>
      <c r="G400" s="251"/>
      <c r="J400" s="251"/>
    </row>
    <row r="401" spans="4:10" ht="15.75" customHeight="1" x14ac:dyDescent="0.25">
      <c r="D401" s="251"/>
      <c r="E401" s="251"/>
      <c r="F401" s="251"/>
      <c r="G401" s="251"/>
      <c r="J401" s="251"/>
    </row>
    <row r="402" spans="4:10" ht="15.75" customHeight="1" x14ac:dyDescent="0.25">
      <c r="D402" s="251"/>
      <c r="E402" s="251"/>
      <c r="F402" s="251"/>
      <c r="G402" s="251"/>
      <c r="J402" s="251"/>
    </row>
    <row r="403" spans="4:10" ht="15.75" customHeight="1" x14ac:dyDescent="0.25">
      <c r="D403" s="251"/>
      <c r="E403" s="251"/>
      <c r="F403" s="251"/>
      <c r="G403" s="251"/>
      <c r="J403" s="251"/>
    </row>
    <row r="404" spans="4:10" ht="15.75" customHeight="1" x14ac:dyDescent="0.25">
      <c r="D404" s="251"/>
      <c r="E404" s="251"/>
      <c r="F404" s="251"/>
      <c r="G404" s="251"/>
      <c r="J404" s="251"/>
    </row>
    <row r="405" spans="4:10" ht="15.75" customHeight="1" x14ac:dyDescent="0.25">
      <c r="D405" s="251"/>
      <c r="E405" s="251"/>
      <c r="F405" s="251"/>
      <c r="G405" s="251"/>
      <c r="J405" s="251"/>
    </row>
    <row r="406" spans="4:10" ht="15.75" customHeight="1" x14ac:dyDescent="0.25">
      <c r="D406" s="251"/>
      <c r="E406" s="251"/>
      <c r="F406" s="251"/>
      <c r="G406" s="251"/>
      <c r="J406" s="251"/>
    </row>
    <row r="407" spans="4:10" ht="15.75" customHeight="1" x14ac:dyDescent="0.25">
      <c r="D407" s="251"/>
      <c r="E407" s="251"/>
      <c r="F407" s="251"/>
      <c r="G407" s="251"/>
      <c r="J407" s="251"/>
    </row>
    <row r="408" spans="4:10" ht="15.75" customHeight="1" x14ac:dyDescent="0.25">
      <c r="D408" s="251"/>
      <c r="E408" s="251"/>
      <c r="F408" s="251"/>
      <c r="G408" s="251"/>
      <c r="J408" s="251"/>
    </row>
    <row r="409" spans="4:10" ht="15.75" customHeight="1" x14ac:dyDescent="0.25">
      <c r="D409" s="251"/>
      <c r="E409" s="251"/>
      <c r="F409" s="251"/>
      <c r="G409" s="251"/>
      <c r="J409" s="251"/>
    </row>
    <row r="410" spans="4:10" ht="15.75" customHeight="1" x14ac:dyDescent="0.25">
      <c r="D410" s="251"/>
      <c r="E410" s="251"/>
      <c r="F410" s="251"/>
      <c r="G410" s="251"/>
      <c r="J410" s="251"/>
    </row>
    <row r="411" spans="4:10" ht="15.75" customHeight="1" x14ac:dyDescent="0.25">
      <c r="D411" s="251"/>
      <c r="E411" s="251"/>
      <c r="F411" s="251"/>
      <c r="G411" s="251"/>
      <c r="J411" s="251"/>
    </row>
    <row r="412" spans="4:10" ht="15.75" customHeight="1" x14ac:dyDescent="0.25">
      <c r="D412" s="251"/>
      <c r="E412" s="251"/>
      <c r="F412" s="251"/>
      <c r="G412" s="251"/>
      <c r="J412" s="251"/>
    </row>
    <row r="413" spans="4:10" ht="15.75" customHeight="1" x14ac:dyDescent="0.25">
      <c r="D413" s="251"/>
      <c r="E413" s="251"/>
      <c r="F413" s="251"/>
      <c r="G413" s="251"/>
      <c r="J413" s="251"/>
    </row>
    <row r="414" spans="4:10" ht="15.75" customHeight="1" x14ac:dyDescent="0.25">
      <c r="D414" s="251"/>
      <c r="E414" s="251"/>
      <c r="F414" s="251"/>
      <c r="G414" s="251"/>
      <c r="J414" s="251"/>
    </row>
    <row r="415" spans="4:10" ht="15.75" customHeight="1" x14ac:dyDescent="0.25">
      <c r="D415" s="251"/>
      <c r="E415" s="251"/>
      <c r="F415" s="251"/>
      <c r="G415" s="251"/>
      <c r="J415" s="251"/>
    </row>
    <row r="416" spans="4:10" ht="15.75" customHeight="1" x14ac:dyDescent="0.25">
      <c r="D416" s="251"/>
      <c r="E416" s="251"/>
      <c r="F416" s="251"/>
      <c r="G416" s="251"/>
      <c r="J416" s="251"/>
    </row>
    <row r="417" spans="4:10" ht="15.75" customHeight="1" x14ac:dyDescent="0.25">
      <c r="D417" s="251"/>
      <c r="E417" s="251"/>
      <c r="F417" s="251"/>
      <c r="G417" s="251"/>
      <c r="J417" s="251"/>
    </row>
    <row r="418" spans="4:10" ht="15.75" customHeight="1" x14ac:dyDescent="0.25">
      <c r="D418" s="251"/>
      <c r="E418" s="251"/>
      <c r="F418" s="251"/>
      <c r="G418" s="251"/>
      <c r="J418" s="251"/>
    </row>
    <row r="419" spans="4:10" ht="15.75" customHeight="1" x14ac:dyDescent="0.25">
      <c r="D419" s="251"/>
      <c r="E419" s="251"/>
      <c r="F419" s="251"/>
      <c r="G419" s="251"/>
      <c r="J419" s="251"/>
    </row>
    <row r="420" spans="4:10" ht="15.75" customHeight="1" x14ac:dyDescent="0.25">
      <c r="D420" s="251"/>
      <c r="E420" s="251"/>
      <c r="F420" s="251"/>
      <c r="G420" s="251"/>
      <c r="J420" s="251"/>
    </row>
    <row r="421" spans="4:10" ht="15.75" customHeight="1" x14ac:dyDescent="0.25">
      <c r="D421" s="251"/>
      <c r="E421" s="251"/>
      <c r="F421" s="251"/>
      <c r="G421" s="251"/>
      <c r="J421" s="251"/>
    </row>
    <row r="422" spans="4:10" ht="15.75" customHeight="1" x14ac:dyDescent="0.25">
      <c r="D422" s="251"/>
      <c r="E422" s="251"/>
      <c r="F422" s="251"/>
      <c r="G422" s="251"/>
      <c r="J422" s="251"/>
    </row>
    <row r="423" spans="4:10" ht="15.75" customHeight="1" x14ac:dyDescent="0.25">
      <c r="D423" s="251"/>
      <c r="E423" s="251"/>
      <c r="F423" s="251"/>
      <c r="G423" s="251"/>
      <c r="J423" s="251"/>
    </row>
    <row r="424" spans="4:10" ht="15.75" customHeight="1" x14ac:dyDescent="0.25">
      <c r="D424" s="251"/>
      <c r="E424" s="251"/>
      <c r="F424" s="251"/>
      <c r="G424" s="251"/>
      <c r="J424" s="251"/>
    </row>
    <row r="425" spans="4:10" ht="15.75" customHeight="1" x14ac:dyDescent="0.25">
      <c r="D425" s="251"/>
      <c r="E425" s="251"/>
      <c r="F425" s="251"/>
      <c r="G425" s="251"/>
      <c r="J425" s="251"/>
    </row>
    <row r="426" spans="4:10" ht="15.75" customHeight="1" x14ac:dyDescent="0.25">
      <c r="D426" s="251"/>
      <c r="E426" s="251"/>
      <c r="F426" s="251"/>
      <c r="G426" s="251"/>
      <c r="J426" s="251"/>
    </row>
    <row r="427" spans="4:10" ht="15.75" customHeight="1" x14ac:dyDescent="0.25">
      <c r="D427" s="251"/>
      <c r="E427" s="251"/>
      <c r="F427" s="251"/>
      <c r="G427" s="251"/>
      <c r="J427" s="251"/>
    </row>
    <row r="428" spans="4:10" ht="15.75" customHeight="1" x14ac:dyDescent="0.25">
      <c r="D428" s="251"/>
      <c r="E428" s="251"/>
      <c r="F428" s="251"/>
      <c r="G428" s="251"/>
      <c r="J428" s="251"/>
    </row>
    <row r="429" spans="4:10" ht="15.75" customHeight="1" x14ac:dyDescent="0.25">
      <c r="D429" s="251"/>
      <c r="E429" s="251"/>
      <c r="F429" s="251"/>
      <c r="G429" s="251"/>
      <c r="J429" s="251"/>
    </row>
    <row r="430" spans="4:10" ht="15.75" customHeight="1" x14ac:dyDescent="0.25">
      <c r="D430" s="251"/>
      <c r="E430" s="251"/>
      <c r="F430" s="251"/>
      <c r="G430" s="251"/>
      <c r="J430" s="251"/>
    </row>
    <row r="431" spans="4:10" ht="15.75" customHeight="1" x14ac:dyDescent="0.25">
      <c r="D431" s="251"/>
      <c r="E431" s="251"/>
      <c r="F431" s="251"/>
      <c r="G431" s="251"/>
      <c r="J431" s="251"/>
    </row>
    <row r="432" spans="4:10" ht="15.75" customHeight="1" x14ac:dyDescent="0.25">
      <c r="D432" s="251"/>
      <c r="E432" s="251"/>
      <c r="F432" s="251"/>
      <c r="G432" s="251"/>
      <c r="J432" s="251"/>
    </row>
    <row r="433" spans="4:10" ht="15.75" customHeight="1" x14ac:dyDescent="0.25">
      <c r="D433" s="251"/>
      <c r="E433" s="251"/>
      <c r="F433" s="251"/>
      <c r="G433" s="251"/>
      <c r="J433" s="251"/>
    </row>
    <row r="434" spans="4:10" ht="15.75" customHeight="1" x14ac:dyDescent="0.25">
      <c r="D434" s="251"/>
      <c r="E434" s="251"/>
      <c r="F434" s="251"/>
      <c r="G434" s="251"/>
      <c r="J434" s="251"/>
    </row>
    <row r="435" spans="4:10" ht="15.75" customHeight="1" x14ac:dyDescent="0.25">
      <c r="D435" s="251"/>
      <c r="E435" s="251"/>
      <c r="F435" s="251"/>
      <c r="G435" s="251"/>
      <c r="J435" s="251"/>
    </row>
    <row r="436" spans="4:10" ht="15.75" customHeight="1" x14ac:dyDescent="0.25">
      <c r="D436" s="251"/>
      <c r="E436" s="251"/>
      <c r="F436" s="251"/>
      <c r="G436" s="251"/>
      <c r="J436" s="251"/>
    </row>
    <row r="437" spans="4:10" ht="15.75" customHeight="1" x14ac:dyDescent="0.25">
      <c r="D437" s="251"/>
      <c r="E437" s="251"/>
      <c r="F437" s="251"/>
      <c r="G437" s="251"/>
      <c r="J437" s="251"/>
    </row>
    <row r="438" spans="4:10" ht="15.75" customHeight="1" x14ac:dyDescent="0.25">
      <c r="D438" s="251"/>
      <c r="E438" s="251"/>
      <c r="F438" s="251"/>
      <c r="G438" s="251"/>
      <c r="J438" s="251"/>
    </row>
    <row r="439" spans="4:10" ht="15.75" customHeight="1" x14ac:dyDescent="0.25">
      <c r="D439" s="251"/>
      <c r="E439" s="251"/>
      <c r="F439" s="251"/>
      <c r="G439" s="251"/>
      <c r="J439" s="251"/>
    </row>
    <row r="440" spans="4:10" ht="15.75" customHeight="1" x14ac:dyDescent="0.25">
      <c r="D440" s="251"/>
      <c r="E440" s="251"/>
      <c r="F440" s="251"/>
      <c r="G440" s="251"/>
      <c r="J440" s="251"/>
    </row>
    <row r="441" spans="4:10" ht="15.75" customHeight="1" x14ac:dyDescent="0.25">
      <c r="D441" s="251"/>
      <c r="E441" s="251"/>
      <c r="F441" s="251"/>
      <c r="G441" s="251"/>
      <c r="J441" s="251"/>
    </row>
    <row r="442" spans="4:10" ht="15.75" customHeight="1" x14ac:dyDescent="0.25">
      <c r="D442" s="251"/>
      <c r="E442" s="251"/>
      <c r="F442" s="251"/>
      <c r="G442" s="251"/>
      <c r="J442" s="251"/>
    </row>
    <row r="443" spans="4:10" ht="15.75" customHeight="1" x14ac:dyDescent="0.25">
      <c r="D443" s="251"/>
      <c r="E443" s="251"/>
      <c r="F443" s="251"/>
      <c r="G443" s="251"/>
      <c r="J443" s="251"/>
    </row>
    <row r="444" spans="4:10" ht="15.75" customHeight="1" x14ac:dyDescent="0.25">
      <c r="D444" s="251"/>
      <c r="E444" s="251"/>
      <c r="F444" s="251"/>
      <c r="G444" s="251"/>
      <c r="J444" s="251"/>
    </row>
    <row r="445" spans="4:10" ht="15.75" customHeight="1" x14ac:dyDescent="0.25">
      <c r="D445" s="251"/>
      <c r="E445" s="251"/>
      <c r="F445" s="251"/>
      <c r="G445" s="251"/>
      <c r="J445" s="251"/>
    </row>
    <row r="446" spans="4:10" ht="15.75" customHeight="1" x14ac:dyDescent="0.25">
      <c r="D446" s="251"/>
      <c r="E446" s="251"/>
      <c r="F446" s="251"/>
      <c r="G446" s="251"/>
      <c r="J446" s="251"/>
    </row>
    <row r="447" spans="4:10" ht="15.75" customHeight="1" x14ac:dyDescent="0.25">
      <c r="D447" s="251"/>
      <c r="E447" s="251"/>
      <c r="F447" s="251"/>
      <c r="G447" s="251"/>
      <c r="J447" s="251"/>
    </row>
    <row r="448" spans="4:10" ht="15.75" customHeight="1" x14ac:dyDescent="0.25">
      <c r="D448" s="251"/>
      <c r="E448" s="251"/>
      <c r="F448" s="251"/>
      <c r="G448" s="251"/>
      <c r="J448" s="251"/>
    </row>
    <row r="449" spans="4:10" ht="15.75" customHeight="1" x14ac:dyDescent="0.25">
      <c r="D449" s="251"/>
      <c r="E449" s="251"/>
      <c r="F449" s="251"/>
      <c r="G449" s="251"/>
      <c r="J449" s="251"/>
    </row>
    <row r="450" spans="4:10" ht="15.75" customHeight="1" x14ac:dyDescent="0.25">
      <c r="D450" s="251"/>
      <c r="E450" s="251"/>
      <c r="F450" s="251"/>
      <c r="G450" s="251"/>
      <c r="J450" s="251"/>
    </row>
    <row r="451" spans="4:10" ht="15.75" customHeight="1" x14ac:dyDescent="0.25">
      <c r="D451" s="251"/>
      <c r="E451" s="251"/>
      <c r="F451" s="251"/>
      <c r="G451" s="251"/>
      <c r="J451" s="251"/>
    </row>
    <row r="452" spans="4:10" ht="15.75" customHeight="1" x14ac:dyDescent="0.25">
      <c r="D452" s="251"/>
      <c r="E452" s="251"/>
      <c r="F452" s="251"/>
      <c r="G452" s="251"/>
      <c r="J452" s="251"/>
    </row>
    <row r="453" spans="4:10" ht="15.75" customHeight="1" x14ac:dyDescent="0.25">
      <c r="D453" s="251"/>
      <c r="E453" s="251"/>
      <c r="F453" s="251"/>
      <c r="G453" s="251"/>
      <c r="J453" s="251"/>
    </row>
    <row r="454" spans="4:10" ht="15.75" customHeight="1" x14ac:dyDescent="0.25">
      <c r="D454" s="251"/>
      <c r="E454" s="251"/>
      <c r="F454" s="251"/>
      <c r="G454" s="251"/>
      <c r="J454" s="251"/>
    </row>
    <row r="455" spans="4:10" ht="15.75" customHeight="1" x14ac:dyDescent="0.25">
      <c r="D455" s="251"/>
      <c r="E455" s="251"/>
      <c r="F455" s="251"/>
      <c r="G455" s="251"/>
      <c r="J455" s="251"/>
    </row>
    <row r="456" spans="4:10" ht="15.75" customHeight="1" x14ac:dyDescent="0.25">
      <c r="D456" s="251"/>
      <c r="E456" s="251"/>
      <c r="F456" s="251"/>
      <c r="G456" s="251"/>
      <c r="J456" s="251"/>
    </row>
    <row r="457" spans="4:10" ht="15.75" customHeight="1" x14ac:dyDescent="0.25">
      <c r="D457" s="251"/>
      <c r="E457" s="251"/>
      <c r="F457" s="251"/>
      <c r="G457" s="251"/>
      <c r="J457" s="251"/>
    </row>
    <row r="458" spans="4:10" ht="15.75" customHeight="1" x14ac:dyDescent="0.25">
      <c r="D458" s="251"/>
      <c r="E458" s="251"/>
      <c r="F458" s="251"/>
      <c r="G458" s="251"/>
      <c r="J458" s="251"/>
    </row>
    <row r="459" spans="4:10" ht="15.75" customHeight="1" x14ac:dyDescent="0.25">
      <c r="D459" s="251"/>
      <c r="E459" s="251"/>
      <c r="F459" s="251"/>
      <c r="G459" s="251"/>
      <c r="J459" s="251"/>
    </row>
    <row r="460" spans="4:10" ht="15.75" customHeight="1" x14ac:dyDescent="0.25">
      <c r="D460" s="251"/>
      <c r="E460" s="251"/>
      <c r="F460" s="251"/>
      <c r="G460" s="251"/>
      <c r="J460" s="251"/>
    </row>
    <row r="461" spans="4:10" ht="15.75" customHeight="1" x14ac:dyDescent="0.25">
      <c r="D461" s="251"/>
      <c r="E461" s="251"/>
      <c r="F461" s="251"/>
      <c r="G461" s="251"/>
      <c r="J461" s="251"/>
    </row>
    <row r="462" spans="4:10" ht="15.75" customHeight="1" x14ac:dyDescent="0.25">
      <c r="D462" s="251"/>
      <c r="E462" s="251"/>
      <c r="F462" s="251"/>
      <c r="G462" s="251"/>
      <c r="J462" s="251"/>
    </row>
    <row r="463" spans="4:10" ht="15.75" customHeight="1" x14ac:dyDescent="0.25">
      <c r="D463" s="251"/>
      <c r="E463" s="251"/>
      <c r="F463" s="251"/>
      <c r="G463" s="251"/>
      <c r="J463" s="251"/>
    </row>
    <row r="464" spans="4:10" ht="15.75" customHeight="1" x14ac:dyDescent="0.25">
      <c r="D464" s="251"/>
      <c r="E464" s="251"/>
      <c r="F464" s="251"/>
      <c r="G464" s="251"/>
      <c r="J464" s="251"/>
    </row>
    <row r="465" spans="4:10" ht="15.75" customHeight="1" x14ac:dyDescent="0.25">
      <c r="D465" s="251"/>
      <c r="E465" s="251"/>
      <c r="F465" s="251"/>
      <c r="G465" s="251"/>
      <c r="J465" s="251"/>
    </row>
    <row r="466" spans="4:10" ht="15.75" customHeight="1" x14ac:dyDescent="0.25">
      <c r="D466" s="251"/>
      <c r="E466" s="251"/>
      <c r="F466" s="251"/>
      <c r="G466" s="251"/>
      <c r="J466" s="251"/>
    </row>
    <row r="467" spans="4:10" ht="15.75" customHeight="1" x14ac:dyDescent="0.25">
      <c r="D467" s="251"/>
      <c r="E467" s="251"/>
      <c r="F467" s="251"/>
      <c r="G467" s="251"/>
      <c r="J467" s="251"/>
    </row>
    <row r="468" spans="4:10" ht="15.75" customHeight="1" x14ac:dyDescent="0.25">
      <c r="D468" s="251"/>
      <c r="E468" s="251"/>
      <c r="F468" s="251"/>
      <c r="G468" s="251"/>
      <c r="J468" s="251"/>
    </row>
    <row r="469" spans="4:10" ht="15.75" customHeight="1" x14ac:dyDescent="0.25">
      <c r="D469" s="251"/>
      <c r="E469" s="251"/>
      <c r="F469" s="251"/>
      <c r="G469" s="251"/>
      <c r="J469" s="251"/>
    </row>
    <row r="470" spans="4:10" ht="15.75" customHeight="1" x14ac:dyDescent="0.25">
      <c r="D470" s="251"/>
      <c r="E470" s="251"/>
      <c r="F470" s="251"/>
      <c r="G470" s="251"/>
      <c r="J470" s="251"/>
    </row>
    <row r="471" spans="4:10" ht="15.75" customHeight="1" x14ac:dyDescent="0.25">
      <c r="D471" s="251"/>
      <c r="E471" s="251"/>
      <c r="F471" s="251"/>
      <c r="G471" s="251"/>
      <c r="J471" s="251"/>
    </row>
    <row r="472" spans="4:10" ht="15.75" customHeight="1" x14ac:dyDescent="0.25">
      <c r="D472" s="251"/>
      <c r="E472" s="251"/>
      <c r="F472" s="251"/>
      <c r="G472" s="251"/>
      <c r="J472" s="251"/>
    </row>
    <row r="473" spans="4:10" ht="15.75" customHeight="1" x14ac:dyDescent="0.25">
      <c r="D473" s="251"/>
      <c r="E473" s="251"/>
      <c r="F473" s="251"/>
      <c r="G473" s="251"/>
      <c r="J473" s="251"/>
    </row>
    <row r="474" spans="4:10" ht="15.75" customHeight="1" x14ac:dyDescent="0.25">
      <c r="D474" s="251"/>
      <c r="E474" s="251"/>
      <c r="F474" s="251"/>
      <c r="G474" s="251"/>
      <c r="J474" s="251"/>
    </row>
    <row r="475" spans="4:10" ht="15.75" customHeight="1" x14ac:dyDescent="0.25">
      <c r="D475" s="251"/>
      <c r="E475" s="251"/>
      <c r="F475" s="251"/>
      <c r="G475" s="251"/>
      <c r="J475" s="251"/>
    </row>
    <row r="476" spans="4:10" ht="15.75" customHeight="1" x14ac:dyDescent="0.25">
      <c r="D476" s="251"/>
      <c r="E476" s="251"/>
      <c r="F476" s="251"/>
      <c r="G476" s="251"/>
      <c r="J476" s="251"/>
    </row>
    <row r="477" spans="4:10" ht="15.75" customHeight="1" x14ac:dyDescent="0.25">
      <c r="D477" s="251"/>
      <c r="E477" s="251"/>
      <c r="F477" s="251"/>
      <c r="G477" s="251"/>
      <c r="J477" s="251"/>
    </row>
    <row r="478" spans="4:10" ht="15.75" customHeight="1" x14ac:dyDescent="0.25">
      <c r="D478" s="251"/>
      <c r="E478" s="251"/>
      <c r="F478" s="251"/>
      <c r="G478" s="251"/>
      <c r="J478" s="251"/>
    </row>
    <row r="479" spans="4:10" ht="15.75" customHeight="1" x14ac:dyDescent="0.25">
      <c r="D479" s="251"/>
      <c r="E479" s="251"/>
      <c r="F479" s="251"/>
      <c r="G479" s="251"/>
      <c r="J479" s="251"/>
    </row>
    <row r="480" spans="4:10" ht="15.75" customHeight="1" x14ac:dyDescent="0.25">
      <c r="D480" s="251"/>
      <c r="E480" s="251"/>
      <c r="F480" s="251"/>
      <c r="G480" s="251"/>
      <c r="J480" s="251"/>
    </row>
    <row r="481" spans="4:10" ht="15.75" customHeight="1" x14ac:dyDescent="0.25">
      <c r="D481" s="251"/>
      <c r="E481" s="251"/>
      <c r="F481" s="251"/>
      <c r="G481" s="251"/>
      <c r="J481" s="251"/>
    </row>
    <row r="482" spans="4:10" ht="15.75" customHeight="1" x14ac:dyDescent="0.25">
      <c r="D482" s="251"/>
      <c r="E482" s="251"/>
      <c r="F482" s="251"/>
      <c r="G482" s="251"/>
      <c r="J482" s="251"/>
    </row>
    <row r="483" spans="4:10" ht="15.75" customHeight="1" x14ac:dyDescent="0.25">
      <c r="D483" s="251"/>
      <c r="E483" s="251"/>
      <c r="F483" s="251"/>
      <c r="G483" s="251"/>
      <c r="J483" s="251"/>
    </row>
    <row r="484" spans="4:10" ht="15.75" customHeight="1" x14ac:dyDescent="0.25">
      <c r="D484" s="251"/>
      <c r="E484" s="251"/>
      <c r="F484" s="251"/>
      <c r="G484" s="251"/>
      <c r="J484" s="251"/>
    </row>
    <row r="485" spans="4:10" ht="15.75" customHeight="1" x14ac:dyDescent="0.25">
      <c r="D485" s="251"/>
      <c r="E485" s="251"/>
      <c r="F485" s="251"/>
      <c r="G485" s="251"/>
      <c r="J485" s="251"/>
    </row>
    <row r="486" spans="4:10" ht="15.75" customHeight="1" x14ac:dyDescent="0.25">
      <c r="D486" s="251"/>
      <c r="E486" s="251"/>
      <c r="F486" s="251"/>
      <c r="G486" s="251"/>
      <c r="J486" s="251"/>
    </row>
    <row r="487" spans="4:10" ht="15.75" customHeight="1" x14ac:dyDescent="0.25">
      <c r="D487" s="251"/>
      <c r="E487" s="251"/>
      <c r="F487" s="251"/>
      <c r="G487" s="251"/>
      <c r="J487" s="251"/>
    </row>
    <row r="488" spans="4:10" ht="15.75" customHeight="1" x14ac:dyDescent="0.25">
      <c r="D488" s="251"/>
      <c r="E488" s="251"/>
      <c r="F488" s="251"/>
      <c r="G488" s="251"/>
      <c r="J488" s="251"/>
    </row>
    <row r="489" spans="4:10" ht="15.75" customHeight="1" x14ac:dyDescent="0.25">
      <c r="D489" s="251"/>
      <c r="E489" s="251"/>
      <c r="F489" s="251"/>
      <c r="G489" s="251"/>
      <c r="J489" s="251"/>
    </row>
    <row r="490" spans="4:10" ht="15.75" customHeight="1" x14ac:dyDescent="0.25">
      <c r="D490" s="251"/>
      <c r="E490" s="251"/>
      <c r="F490" s="251"/>
      <c r="G490" s="251"/>
      <c r="J490" s="251"/>
    </row>
    <row r="491" spans="4:10" ht="15.75" customHeight="1" x14ac:dyDescent="0.25">
      <c r="D491" s="251"/>
      <c r="E491" s="251"/>
      <c r="F491" s="251"/>
      <c r="G491" s="251"/>
      <c r="J491" s="251"/>
    </row>
    <row r="492" spans="4:10" ht="15.75" customHeight="1" x14ac:dyDescent="0.25">
      <c r="D492" s="251"/>
      <c r="E492" s="251"/>
      <c r="F492" s="251"/>
      <c r="G492" s="251"/>
      <c r="J492" s="251"/>
    </row>
    <row r="493" spans="4:10" ht="15.75" customHeight="1" x14ac:dyDescent="0.25">
      <c r="D493" s="251"/>
      <c r="E493" s="251"/>
      <c r="F493" s="251"/>
      <c r="G493" s="251"/>
      <c r="J493" s="251"/>
    </row>
    <row r="494" spans="4:10" ht="15.75" customHeight="1" x14ac:dyDescent="0.25">
      <c r="D494" s="251"/>
      <c r="E494" s="251"/>
      <c r="F494" s="251"/>
      <c r="G494" s="251"/>
      <c r="J494" s="251"/>
    </row>
    <row r="495" spans="4:10" ht="15.75" customHeight="1" x14ac:dyDescent="0.25">
      <c r="D495" s="251"/>
      <c r="E495" s="251"/>
      <c r="F495" s="251"/>
      <c r="G495" s="251"/>
      <c r="J495" s="251"/>
    </row>
    <row r="496" spans="4:10" ht="15.75" customHeight="1" x14ac:dyDescent="0.25">
      <c r="D496" s="251"/>
      <c r="E496" s="251"/>
      <c r="F496" s="251"/>
      <c r="G496" s="251"/>
      <c r="J496" s="251"/>
    </row>
    <row r="497" spans="4:10" ht="15.75" customHeight="1" x14ac:dyDescent="0.25">
      <c r="D497" s="251"/>
      <c r="E497" s="251"/>
      <c r="F497" s="251"/>
      <c r="G497" s="251"/>
      <c r="J497" s="251"/>
    </row>
    <row r="498" spans="4:10" ht="15.75" customHeight="1" x14ac:dyDescent="0.25">
      <c r="D498" s="251"/>
      <c r="E498" s="251"/>
      <c r="F498" s="251"/>
      <c r="G498" s="251"/>
      <c r="J498" s="251"/>
    </row>
    <row r="499" spans="4:10" ht="15.75" customHeight="1" x14ac:dyDescent="0.25">
      <c r="D499" s="251"/>
      <c r="E499" s="251"/>
      <c r="F499" s="251"/>
      <c r="G499" s="251"/>
      <c r="J499" s="251"/>
    </row>
    <row r="500" spans="4:10" ht="15.75" customHeight="1" x14ac:dyDescent="0.25">
      <c r="D500" s="251"/>
      <c r="E500" s="251"/>
      <c r="F500" s="251"/>
      <c r="G500" s="251"/>
      <c r="J500" s="251"/>
    </row>
    <row r="501" spans="4:10" ht="15.75" customHeight="1" x14ac:dyDescent="0.25">
      <c r="D501" s="251"/>
      <c r="E501" s="251"/>
      <c r="F501" s="251"/>
      <c r="G501" s="251"/>
      <c r="J501" s="251"/>
    </row>
    <row r="502" spans="4:10" ht="15.75" customHeight="1" x14ac:dyDescent="0.25">
      <c r="D502" s="251"/>
      <c r="E502" s="251"/>
      <c r="F502" s="251"/>
      <c r="G502" s="251"/>
      <c r="J502" s="251"/>
    </row>
    <row r="503" spans="4:10" ht="15.75" customHeight="1" x14ac:dyDescent="0.25">
      <c r="D503" s="251"/>
      <c r="E503" s="251"/>
      <c r="F503" s="251"/>
      <c r="G503" s="251"/>
      <c r="J503" s="251"/>
    </row>
    <row r="504" spans="4:10" ht="15.75" customHeight="1" x14ac:dyDescent="0.25">
      <c r="D504" s="251"/>
      <c r="E504" s="251"/>
      <c r="F504" s="251"/>
      <c r="G504" s="251"/>
      <c r="J504" s="251"/>
    </row>
    <row r="505" spans="4:10" ht="15.75" customHeight="1" x14ac:dyDescent="0.25">
      <c r="D505" s="251"/>
      <c r="E505" s="251"/>
      <c r="F505" s="251"/>
      <c r="G505" s="251"/>
      <c r="J505" s="251"/>
    </row>
    <row r="506" spans="4:10" ht="15.75" customHeight="1" x14ac:dyDescent="0.25">
      <c r="D506" s="251"/>
      <c r="E506" s="251"/>
      <c r="F506" s="251"/>
      <c r="G506" s="251"/>
      <c r="J506" s="251"/>
    </row>
    <row r="507" spans="4:10" ht="15.75" customHeight="1" x14ac:dyDescent="0.25">
      <c r="D507" s="251"/>
      <c r="E507" s="251"/>
      <c r="F507" s="251"/>
      <c r="G507" s="251"/>
      <c r="J507" s="251"/>
    </row>
    <row r="508" spans="4:10" ht="15.75" customHeight="1" x14ac:dyDescent="0.25">
      <c r="D508" s="251"/>
      <c r="E508" s="251"/>
      <c r="F508" s="251"/>
      <c r="G508" s="251"/>
      <c r="J508" s="251"/>
    </row>
    <row r="509" spans="4:10" ht="15.75" customHeight="1" x14ac:dyDescent="0.25">
      <c r="D509" s="251"/>
      <c r="E509" s="251"/>
      <c r="F509" s="251"/>
      <c r="G509" s="251"/>
      <c r="J509" s="251"/>
    </row>
    <row r="510" spans="4:10" ht="15.75" customHeight="1" x14ac:dyDescent="0.25">
      <c r="D510" s="251"/>
      <c r="E510" s="251"/>
      <c r="F510" s="251"/>
      <c r="G510" s="251"/>
      <c r="J510" s="251"/>
    </row>
    <row r="511" spans="4:10" ht="15.75" customHeight="1" x14ac:dyDescent="0.25">
      <c r="D511" s="251"/>
      <c r="E511" s="251"/>
      <c r="F511" s="251"/>
      <c r="G511" s="251"/>
      <c r="J511" s="251"/>
    </row>
    <row r="512" spans="4:10" ht="15.75" customHeight="1" x14ac:dyDescent="0.25">
      <c r="D512" s="251"/>
      <c r="E512" s="251"/>
      <c r="F512" s="251"/>
      <c r="G512" s="251"/>
      <c r="J512" s="251"/>
    </row>
    <row r="513" spans="4:10" ht="15.75" customHeight="1" x14ac:dyDescent="0.25">
      <c r="D513" s="251"/>
      <c r="E513" s="251"/>
      <c r="F513" s="251"/>
      <c r="G513" s="251"/>
      <c r="J513" s="251"/>
    </row>
    <row r="514" spans="4:10" ht="15.75" customHeight="1" x14ac:dyDescent="0.25">
      <c r="D514" s="251"/>
      <c r="E514" s="251"/>
      <c r="F514" s="251"/>
      <c r="G514" s="251"/>
      <c r="J514" s="251"/>
    </row>
    <row r="515" spans="4:10" ht="15.75" customHeight="1" x14ac:dyDescent="0.25">
      <c r="D515" s="251"/>
      <c r="E515" s="251"/>
      <c r="F515" s="251"/>
      <c r="G515" s="251"/>
      <c r="J515" s="251"/>
    </row>
    <row r="516" spans="4:10" ht="15.75" customHeight="1" x14ac:dyDescent="0.25">
      <c r="D516" s="251"/>
      <c r="E516" s="251"/>
      <c r="F516" s="251"/>
      <c r="G516" s="251"/>
      <c r="J516" s="251"/>
    </row>
    <row r="517" spans="4:10" ht="15.75" customHeight="1" x14ac:dyDescent="0.25">
      <c r="D517" s="251"/>
      <c r="E517" s="251"/>
      <c r="F517" s="251"/>
      <c r="G517" s="251"/>
      <c r="J517" s="251"/>
    </row>
    <row r="518" spans="4:10" ht="15.75" customHeight="1" x14ac:dyDescent="0.25">
      <c r="D518" s="251"/>
      <c r="E518" s="251"/>
      <c r="F518" s="251"/>
      <c r="G518" s="251"/>
      <c r="J518" s="251"/>
    </row>
    <row r="519" spans="4:10" ht="15.75" customHeight="1" x14ac:dyDescent="0.25">
      <c r="D519" s="251"/>
      <c r="E519" s="251"/>
      <c r="F519" s="251"/>
      <c r="G519" s="251"/>
      <c r="J519" s="251"/>
    </row>
    <row r="520" spans="4:10" ht="15.75" customHeight="1" x14ac:dyDescent="0.25">
      <c r="D520" s="251"/>
      <c r="E520" s="251"/>
      <c r="F520" s="251"/>
      <c r="G520" s="251"/>
      <c r="J520" s="251"/>
    </row>
    <row r="521" spans="4:10" ht="15.75" customHeight="1" x14ac:dyDescent="0.25">
      <c r="D521" s="251"/>
      <c r="E521" s="251"/>
      <c r="F521" s="251"/>
      <c r="G521" s="251"/>
      <c r="J521" s="251"/>
    </row>
    <row r="522" spans="4:10" ht="15.75" customHeight="1" x14ac:dyDescent="0.25">
      <c r="D522" s="251"/>
      <c r="E522" s="251"/>
      <c r="F522" s="251"/>
      <c r="G522" s="251"/>
      <c r="J522" s="251"/>
    </row>
    <row r="523" spans="4:10" ht="15.75" customHeight="1" x14ac:dyDescent="0.25">
      <c r="D523" s="251"/>
      <c r="E523" s="251"/>
      <c r="F523" s="251"/>
      <c r="G523" s="251"/>
      <c r="J523" s="251"/>
    </row>
    <row r="524" spans="4:10" ht="15.75" customHeight="1" x14ac:dyDescent="0.25">
      <c r="D524" s="251"/>
      <c r="E524" s="251"/>
      <c r="F524" s="251"/>
      <c r="G524" s="251"/>
      <c r="J524" s="251"/>
    </row>
    <row r="525" spans="4:10" ht="15.75" customHeight="1" x14ac:dyDescent="0.25">
      <c r="D525" s="251"/>
      <c r="E525" s="251"/>
      <c r="F525" s="251"/>
      <c r="G525" s="251"/>
      <c r="J525" s="251"/>
    </row>
    <row r="526" spans="4:10" ht="15.75" customHeight="1" x14ac:dyDescent="0.25">
      <c r="D526" s="251"/>
      <c r="E526" s="251"/>
      <c r="F526" s="251"/>
      <c r="G526" s="251"/>
      <c r="J526" s="251"/>
    </row>
    <row r="527" spans="4:10" ht="15.75" customHeight="1" x14ac:dyDescent="0.25">
      <c r="D527" s="251"/>
      <c r="E527" s="251"/>
      <c r="F527" s="251"/>
      <c r="G527" s="251"/>
      <c r="J527" s="251"/>
    </row>
    <row r="528" spans="4:10" ht="15.75" customHeight="1" x14ac:dyDescent="0.25">
      <c r="D528" s="251"/>
      <c r="E528" s="251"/>
      <c r="F528" s="251"/>
      <c r="G528" s="251"/>
      <c r="J528" s="251"/>
    </row>
    <row r="529" spans="4:10" ht="15.75" customHeight="1" x14ac:dyDescent="0.25">
      <c r="D529" s="251"/>
      <c r="E529" s="251"/>
      <c r="F529" s="251"/>
      <c r="G529" s="251"/>
      <c r="J529" s="251"/>
    </row>
    <row r="530" spans="4:10" ht="15.75" customHeight="1" x14ac:dyDescent="0.25">
      <c r="D530" s="251"/>
      <c r="E530" s="251"/>
      <c r="F530" s="251"/>
      <c r="G530" s="251"/>
      <c r="J530" s="251"/>
    </row>
    <row r="531" spans="4:10" ht="15.75" customHeight="1" x14ac:dyDescent="0.25">
      <c r="D531" s="251"/>
      <c r="E531" s="251"/>
      <c r="F531" s="251"/>
      <c r="G531" s="251"/>
      <c r="J531" s="251"/>
    </row>
    <row r="532" spans="4:10" ht="15.75" customHeight="1" x14ac:dyDescent="0.25">
      <c r="D532" s="251"/>
      <c r="E532" s="251"/>
      <c r="F532" s="251"/>
      <c r="G532" s="251"/>
      <c r="J532" s="251"/>
    </row>
    <row r="533" spans="4:10" ht="15.75" customHeight="1" x14ac:dyDescent="0.25">
      <c r="D533" s="251"/>
      <c r="E533" s="251"/>
      <c r="F533" s="251"/>
      <c r="G533" s="251"/>
      <c r="J533" s="251"/>
    </row>
    <row r="534" spans="4:10" ht="15.75" customHeight="1" x14ac:dyDescent="0.25">
      <c r="D534" s="251"/>
      <c r="E534" s="251"/>
      <c r="F534" s="251"/>
      <c r="G534" s="251"/>
      <c r="J534" s="251"/>
    </row>
    <row r="535" spans="4:10" ht="15.75" customHeight="1" x14ac:dyDescent="0.25">
      <c r="D535" s="251"/>
      <c r="E535" s="251"/>
      <c r="F535" s="251"/>
      <c r="G535" s="251"/>
      <c r="J535" s="251"/>
    </row>
    <row r="536" spans="4:10" ht="15.75" customHeight="1" x14ac:dyDescent="0.25">
      <c r="D536" s="251"/>
      <c r="E536" s="251"/>
      <c r="F536" s="251"/>
      <c r="G536" s="251"/>
      <c r="J536" s="251"/>
    </row>
    <row r="537" spans="4:10" ht="15.75" customHeight="1" x14ac:dyDescent="0.25">
      <c r="D537" s="251"/>
      <c r="E537" s="251"/>
      <c r="F537" s="251"/>
      <c r="G537" s="251"/>
      <c r="J537" s="251"/>
    </row>
    <row r="538" spans="4:10" ht="15.75" customHeight="1" x14ac:dyDescent="0.25">
      <c r="D538" s="251"/>
      <c r="E538" s="251"/>
      <c r="F538" s="251"/>
      <c r="G538" s="251"/>
      <c r="J538" s="251"/>
    </row>
    <row r="539" spans="4:10" ht="15.75" customHeight="1" x14ac:dyDescent="0.25">
      <c r="D539" s="251"/>
      <c r="E539" s="251"/>
      <c r="F539" s="251"/>
      <c r="G539" s="251"/>
      <c r="J539" s="251"/>
    </row>
    <row r="540" spans="4:10" ht="15.75" customHeight="1" x14ac:dyDescent="0.25">
      <c r="D540" s="251"/>
      <c r="E540" s="251"/>
      <c r="F540" s="251"/>
      <c r="G540" s="251"/>
      <c r="J540" s="251"/>
    </row>
    <row r="541" spans="4:10" ht="15.75" customHeight="1" x14ac:dyDescent="0.25">
      <c r="D541" s="251"/>
      <c r="E541" s="251"/>
      <c r="F541" s="251"/>
      <c r="G541" s="251"/>
      <c r="J541" s="251"/>
    </row>
    <row r="542" spans="4:10" ht="15.75" customHeight="1" x14ac:dyDescent="0.25">
      <c r="D542" s="251"/>
      <c r="E542" s="251"/>
      <c r="F542" s="251"/>
      <c r="G542" s="251"/>
      <c r="J542" s="251"/>
    </row>
    <row r="543" spans="4:10" ht="15.75" customHeight="1" x14ac:dyDescent="0.25">
      <c r="D543" s="251"/>
      <c r="E543" s="251"/>
      <c r="F543" s="251"/>
      <c r="G543" s="251"/>
      <c r="J543" s="251"/>
    </row>
    <row r="544" spans="4:10" ht="15.75" customHeight="1" x14ac:dyDescent="0.25">
      <c r="D544" s="251"/>
      <c r="E544" s="251"/>
      <c r="F544" s="251"/>
      <c r="G544" s="251"/>
      <c r="J544" s="251"/>
    </row>
    <row r="545" spans="4:10" ht="15.75" customHeight="1" x14ac:dyDescent="0.25">
      <c r="D545" s="251"/>
      <c r="E545" s="251"/>
      <c r="F545" s="251"/>
      <c r="G545" s="251"/>
      <c r="J545" s="251"/>
    </row>
    <row r="546" spans="4:10" ht="15.75" customHeight="1" x14ac:dyDescent="0.25">
      <c r="D546" s="251"/>
      <c r="E546" s="251"/>
      <c r="F546" s="251"/>
      <c r="G546" s="251"/>
      <c r="J546" s="251"/>
    </row>
    <row r="547" spans="4:10" ht="15.75" customHeight="1" x14ac:dyDescent="0.25">
      <c r="D547" s="251"/>
      <c r="E547" s="251"/>
      <c r="F547" s="251"/>
      <c r="G547" s="251"/>
      <c r="J547" s="251"/>
    </row>
    <row r="548" spans="4:10" ht="15.75" customHeight="1" x14ac:dyDescent="0.25">
      <c r="D548" s="251"/>
      <c r="E548" s="251"/>
      <c r="F548" s="251"/>
      <c r="G548" s="251"/>
      <c r="J548" s="251"/>
    </row>
    <row r="549" spans="4:10" ht="15.75" customHeight="1" x14ac:dyDescent="0.25">
      <c r="D549" s="251"/>
      <c r="E549" s="251"/>
      <c r="F549" s="251"/>
      <c r="G549" s="251"/>
      <c r="J549" s="251"/>
    </row>
    <row r="550" spans="4:10" ht="15.75" customHeight="1" x14ac:dyDescent="0.25">
      <c r="D550" s="251"/>
      <c r="E550" s="251"/>
      <c r="F550" s="251"/>
      <c r="G550" s="251"/>
      <c r="J550" s="251"/>
    </row>
    <row r="551" spans="4:10" ht="15.75" customHeight="1" x14ac:dyDescent="0.25">
      <c r="D551" s="251"/>
      <c r="E551" s="251"/>
      <c r="F551" s="251"/>
      <c r="G551" s="251"/>
      <c r="J551" s="251"/>
    </row>
    <row r="552" spans="4:10" ht="15.75" customHeight="1" x14ac:dyDescent="0.25">
      <c r="D552" s="251"/>
      <c r="E552" s="251"/>
      <c r="F552" s="251"/>
      <c r="G552" s="251"/>
      <c r="J552" s="251"/>
    </row>
    <row r="553" spans="4:10" ht="15.75" customHeight="1" x14ac:dyDescent="0.25">
      <c r="D553" s="251"/>
      <c r="E553" s="251"/>
      <c r="F553" s="251"/>
      <c r="G553" s="251"/>
      <c r="J553" s="251"/>
    </row>
    <row r="554" spans="4:10" ht="15.75" customHeight="1" x14ac:dyDescent="0.25">
      <c r="D554" s="251"/>
      <c r="E554" s="251"/>
      <c r="F554" s="251"/>
      <c r="G554" s="251"/>
      <c r="J554" s="251"/>
    </row>
    <row r="555" spans="4:10" ht="15.75" customHeight="1" x14ac:dyDescent="0.25">
      <c r="D555" s="251"/>
      <c r="E555" s="251"/>
      <c r="F555" s="251"/>
      <c r="G555" s="251"/>
      <c r="J555" s="251"/>
    </row>
    <row r="556" spans="4:10" ht="15.75" customHeight="1" x14ac:dyDescent="0.25">
      <c r="D556" s="251"/>
      <c r="E556" s="251"/>
      <c r="F556" s="251"/>
      <c r="G556" s="251"/>
      <c r="J556" s="251"/>
    </row>
    <row r="557" spans="4:10" ht="15.75" customHeight="1" x14ac:dyDescent="0.25">
      <c r="D557" s="251"/>
      <c r="E557" s="251"/>
      <c r="F557" s="251"/>
      <c r="G557" s="251"/>
      <c r="J557" s="251"/>
    </row>
    <row r="558" spans="4:10" ht="15.75" customHeight="1" x14ac:dyDescent="0.25">
      <c r="D558" s="251"/>
      <c r="E558" s="251"/>
      <c r="F558" s="251"/>
      <c r="G558" s="251"/>
      <c r="J558" s="251"/>
    </row>
    <row r="559" spans="4:10" ht="15.75" customHeight="1" x14ac:dyDescent="0.25">
      <c r="D559" s="251"/>
      <c r="E559" s="251"/>
      <c r="F559" s="251"/>
      <c r="G559" s="251"/>
      <c r="J559" s="251"/>
    </row>
    <row r="560" spans="4:10" ht="15.75" customHeight="1" x14ac:dyDescent="0.25">
      <c r="D560" s="251"/>
      <c r="E560" s="251"/>
      <c r="F560" s="251"/>
      <c r="G560" s="251"/>
      <c r="J560" s="251"/>
    </row>
    <row r="561" spans="4:10" ht="15.75" customHeight="1" x14ac:dyDescent="0.25">
      <c r="D561" s="251"/>
      <c r="E561" s="251"/>
      <c r="F561" s="251"/>
      <c r="G561" s="251"/>
      <c r="J561" s="251"/>
    </row>
    <row r="562" spans="4:10" ht="15.75" customHeight="1" x14ac:dyDescent="0.25">
      <c r="D562" s="251"/>
      <c r="E562" s="251"/>
      <c r="F562" s="251"/>
      <c r="G562" s="251"/>
      <c r="J562" s="251"/>
    </row>
    <row r="563" spans="4:10" ht="15.75" customHeight="1" x14ac:dyDescent="0.25">
      <c r="D563" s="251"/>
      <c r="E563" s="251"/>
      <c r="F563" s="251"/>
      <c r="G563" s="251"/>
      <c r="J563" s="251"/>
    </row>
    <row r="564" spans="4:10" ht="15.75" customHeight="1" x14ac:dyDescent="0.25">
      <c r="D564" s="251"/>
      <c r="E564" s="251"/>
      <c r="F564" s="251"/>
      <c r="G564" s="251"/>
      <c r="J564" s="251"/>
    </row>
    <row r="565" spans="4:10" ht="15.75" customHeight="1" x14ac:dyDescent="0.25">
      <c r="D565" s="251"/>
      <c r="E565" s="251"/>
      <c r="F565" s="251"/>
      <c r="G565" s="251"/>
      <c r="J565" s="251"/>
    </row>
    <row r="566" spans="4:10" ht="15.75" customHeight="1" x14ac:dyDescent="0.25">
      <c r="D566" s="251"/>
      <c r="E566" s="251"/>
      <c r="F566" s="251"/>
      <c r="G566" s="251"/>
      <c r="J566" s="251"/>
    </row>
    <row r="567" spans="4:10" ht="15.75" customHeight="1" x14ac:dyDescent="0.25">
      <c r="D567" s="251"/>
      <c r="E567" s="251"/>
      <c r="F567" s="251"/>
      <c r="G567" s="251"/>
      <c r="J567" s="251"/>
    </row>
    <row r="568" spans="4:10" ht="15.75" customHeight="1" x14ac:dyDescent="0.25">
      <c r="D568" s="251"/>
      <c r="E568" s="251"/>
      <c r="F568" s="251"/>
      <c r="G568" s="251"/>
      <c r="J568" s="251"/>
    </row>
    <row r="569" spans="4:10" ht="15.75" customHeight="1" x14ac:dyDescent="0.25">
      <c r="D569" s="251"/>
      <c r="E569" s="251"/>
      <c r="F569" s="251"/>
      <c r="G569" s="251"/>
      <c r="J569" s="251"/>
    </row>
    <row r="570" spans="4:10" ht="15.75" customHeight="1" x14ac:dyDescent="0.25">
      <c r="D570" s="251"/>
      <c r="E570" s="251"/>
      <c r="F570" s="251"/>
      <c r="G570" s="251"/>
      <c r="J570" s="251"/>
    </row>
    <row r="571" spans="4:10" ht="15.75" customHeight="1" x14ac:dyDescent="0.25">
      <c r="D571" s="251"/>
      <c r="E571" s="251"/>
      <c r="F571" s="251"/>
      <c r="G571" s="251"/>
      <c r="J571" s="251"/>
    </row>
    <row r="572" spans="4:10" ht="15.75" customHeight="1" x14ac:dyDescent="0.25">
      <c r="D572" s="251"/>
      <c r="E572" s="251"/>
      <c r="F572" s="251"/>
      <c r="G572" s="251"/>
      <c r="J572" s="251"/>
    </row>
    <row r="573" spans="4:10" ht="15.75" customHeight="1" x14ac:dyDescent="0.25">
      <c r="D573" s="251"/>
      <c r="E573" s="251"/>
      <c r="F573" s="251"/>
      <c r="G573" s="251"/>
      <c r="J573" s="251"/>
    </row>
    <row r="574" spans="4:10" ht="15.75" customHeight="1" x14ac:dyDescent="0.25">
      <c r="D574" s="251"/>
      <c r="E574" s="251"/>
      <c r="F574" s="251"/>
      <c r="G574" s="251"/>
      <c r="J574" s="251"/>
    </row>
    <row r="575" spans="4:10" ht="15.75" customHeight="1" x14ac:dyDescent="0.25">
      <c r="D575" s="251"/>
      <c r="E575" s="251"/>
      <c r="F575" s="251"/>
      <c r="G575" s="251"/>
      <c r="J575" s="251"/>
    </row>
    <row r="576" spans="4:10" ht="15.75" customHeight="1" x14ac:dyDescent="0.25">
      <c r="D576" s="251"/>
      <c r="E576" s="251"/>
      <c r="F576" s="251"/>
      <c r="G576" s="251"/>
      <c r="J576" s="251"/>
    </row>
    <row r="577" spans="4:10" ht="15.75" customHeight="1" x14ac:dyDescent="0.25">
      <c r="D577" s="251"/>
      <c r="E577" s="251"/>
      <c r="F577" s="251"/>
      <c r="G577" s="251"/>
      <c r="J577" s="251"/>
    </row>
    <row r="578" spans="4:10" ht="15.75" customHeight="1" x14ac:dyDescent="0.25">
      <c r="D578" s="251"/>
      <c r="E578" s="251"/>
      <c r="F578" s="251"/>
      <c r="G578" s="251"/>
      <c r="J578" s="251"/>
    </row>
    <row r="579" spans="4:10" ht="15.75" customHeight="1" x14ac:dyDescent="0.25">
      <c r="D579" s="251"/>
      <c r="E579" s="251"/>
      <c r="F579" s="251"/>
      <c r="G579" s="251"/>
      <c r="J579" s="251"/>
    </row>
    <row r="580" spans="4:10" ht="15.75" customHeight="1" x14ac:dyDescent="0.25">
      <c r="D580" s="251"/>
      <c r="E580" s="251"/>
      <c r="F580" s="251"/>
      <c r="G580" s="251"/>
      <c r="J580" s="251"/>
    </row>
    <row r="581" spans="4:10" ht="15.75" customHeight="1" x14ac:dyDescent="0.25">
      <c r="D581" s="251"/>
      <c r="E581" s="251"/>
      <c r="F581" s="251"/>
      <c r="G581" s="251"/>
      <c r="J581" s="251"/>
    </row>
    <row r="582" spans="4:10" ht="15.75" customHeight="1" x14ac:dyDescent="0.25">
      <c r="D582" s="251"/>
      <c r="E582" s="251"/>
      <c r="F582" s="251"/>
      <c r="G582" s="251"/>
      <c r="J582" s="251"/>
    </row>
    <row r="583" spans="4:10" ht="15.75" customHeight="1" x14ac:dyDescent="0.25">
      <c r="D583" s="251"/>
      <c r="E583" s="251"/>
      <c r="F583" s="251"/>
      <c r="G583" s="251"/>
      <c r="J583" s="251"/>
    </row>
    <row r="584" spans="4:10" ht="15.75" customHeight="1" x14ac:dyDescent="0.25">
      <c r="D584" s="251"/>
      <c r="E584" s="251"/>
      <c r="F584" s="251"/>
      <c r="G584" s="251"/>
      <c r="J584" s="251"/>
    </row>
    <row r="585" spans="4:10" ht="15.75" customHeight="1" x14ac:dyDescent="0.25">
      <c r="D585" s="251"/>
      <c r="E585" s="251"/>
      <c r="F585" s="251"/>
      <c r="G585" s="251"/>
      <c r="J585" s="251"/>
    </row>
    <row r="586" spans="4:10" ht="15.75" customHeight="1" x14ac:dyDescent="0.25">
      <c r="D586" s="251"/>
      <c r="E586" s="251"/>
      <c r="F586" s="251"/>
      <c r="G586" s="251"/>
      <c r="J586" s="251"/>
    </row>
    <row r="587" spans="4:10" ht="15.75" customHeight="1" x14ac:dyDescent="0.25">
      <c r="D587" s="251"/>
      <c r="E587" s="251"/>
      <c r="F587" s="251"/>
      <c r="G587" s="251"/>
      <c r="J587" s="251"/>
    </row>
    <row r="588" spans="4:10" ht="15.75" customHeight="1" x14ac:dyDescent="0.25">
      <c r="D588" s="251"/>
      <c r="E588" s="251"/>
      <c r="F588" s="251"/>
      <c r="G588" s="251"/>
      <c r="J588" s="251"/>
    </row>
    <row r="589" spans="4:10" ht="15.75" customHeight="1" x14ac:dyDescent="0.25">
      <c r="D589" s="251"/>
      <c r="E589" s="251"/>
      <c r="F589" s="251"/>
      <c r="G589" s="251"/>
      <c r="J589" s="251"/>
    </row>
    <row r="590" spans="4:10" ht="15.75" customHeight="1" x14ac:dyDescent="0.25">
      <c r="D590" s="251"/>
      <c r="E590" s="251"/>
      <c r="F590" s="251"/>
      <c r="G590" s="251"/>
      <c r="J590" s="251"/>
    </row>
    <row r="591" spans="4:10" ht="15.75" customHeight="1" x14ac:dyDescent="0.25">
      <c r="D591" s="251"/>
      <c r="E591" s="251"/>
      <c r="F591" s="251"/>
      <c r="G591" s="251"/>
      <c r="J591" s="251"/>
    </row>
    <row r="592" spans="4:10" ht="15.75" customHeight="1" x14ac:dyDescent="0.25">
      <c r="D592" s="251"/>
      <c r="E592" s="251"/>
      <c r="F592" s="251"/>
      <c r="G592" s="251"/>
      <c r="J592" s="251"/>
    </row>
    <row r="593" spans="4:10" ht="15.75" customHeight="1" x14ac:dyDescent="0.25">
      <c r="D593" s="251"/>
      <c r="E593" s="251"/>
      <c r="F593" s="251"/>
      <c r="G593" s="251"/>
      <c r="J593" s="251"/>
    </row>
    <row r="594" spans="4:10" ht="15.75" customHeight="1" x14ac:dyDescent="0.25">
      <c r="D594" s="251"/>
      <c r="E594" s="251"/>
      <c r="F594" s="251"/>
      <c r="G594" s="251"/>
      <c r="J594" s="251"/>
    </row>
    <row r="595" spans="4:10" ht="15.75" customHeight="1" x14ac:dyDescent="0.25">
      <c r="D595" s="251"/>
      <c r="E595" s="251"/>
      <c r="F595" s="251"/>
      <c r="G595" s="251"/>
      <c r="J595" s="251"/>
    </row>
    <row r="596" spans="4:10" ht="15.75" customHeight="1" x14ac:dyDescent="0.25">
      <c r="D596" s="251"/>
      <c r="E596" s="251"/>
      <c r="F596" s="251"/>
      <c r="G596" s="251"/>
      <c r="J596" s="251"/>
    </row>
    <row r="597" spans="4:10" ht="15.75" customHeight="1" x14ac:dyDescent="0.25">
      <c r="D597" s="251"/>
      <c r="E597" s="251"/>
      <c r="F597" s="251"/>
      <c r="G597" s="251"/>
      <c r="J597" s="251"/>
    </row>
    <row r="598" spans="4:10" ht="15.75" customHeight="1" x14ac:dyDescent="0.25">
      <c r="D598" s="251"/>
      <c r="E598" s="251"/>
      <c r="F598" s="251"/>
      <c r="G598" s="251"/>
      <c r="J598" s="251"/>
    </row>
    <row r="599" spans="4:10" ht="15.75" customHeight="1" x14ac:dyDescent="0.25">
      <c r="D599" s="251"/>
      <c r="E599" s="251"/>
      <c r="F599" s="251"/>
      <c r="G599" s="251"/>
      <c r="J599" s="251"/>
    </row>
    <row r="600" spans="4:10" ht="15.75" customHeight="1" x14ac:dyDescent="0.25">
      <c r="D600" s="251"/>
      <c r="E600" s="251"/>
      <c r="F600" s="251"/>
      <c r="G600" s="251"/>
      <c r="J600" s="251"/>
    </row>
    <row r="601" spans="4:10" ht="15.75" customHeight="1" x14ac:dyDescent="0.25">
      <c r="D601" s="251"/>
      <c r="E601" s="251"/>
      <c r="F601" s="251"/>
      <c r="G601" s="251"/>
      <c r="J601" s="251"/>
    </row>
    <row r="602" spans="4:10" ht="15.75" customHeight="1" x14ac:dyDescent="0.25">
      <c r="D602" s="251"/>
      <c r="E602" s="251"/>
      <c r="F602" s="251"/>
      <c r="G602" s="251"/>
      <c r="J602" s="251"/>
    </row>
    <row r="603" spans="4:10" ht="15.75" customHeight="1" x14ac:dyDescent="0.25">
      <c r="D603" s="251"/>
      <c r="E603" s="251"/>
      <c r="F603" s="251"/>
      <c r="G603" s="251"/>
      <c r="J603" s="251"/>
    </row>
    <row r="604" spans="4:10" ht="15.75" customHeight="1" x14ac:dyDescent="0.25">
      <c r="D604" s="251"/>
      <c r="E604" s="251"/>
      <c r="F604" s="251"/>
      <c r="G604" s="251"/>
      <c r="J604" s="251"/>
    </row>
    <row r="605" spans="4:10" ht="15.75" customHeight="1" x14ac:dyDescent="0.25">
      <c r="D605" s="251"/>
      <c r="E605" s="251"/>
      <c r="F605" s="251"/>
      <c r="G605" s="251"/>
      <c r="J605" s="251"/>
    </row>
    <row r="606" spans="4:10" ht="15.75" customHeight="1" x14ac:dyDescent="0.25">
      <c r="D606" s="251"/>
      <c r="E606" s="251"/>
      <c r="F606" s="251"/>
      <c r="G606" s="251"/>
      <c r="J606" s="251"/>
    </row>
    <row r="607" spans="4:10" ht="15.75" customHeight="1" x14ac:dyDescent="0.25">
      <c r="D607" s="251"/>
      <c r="E607" s="251"/>
      <c r="F607" s="251"/>
      <c r="G607" s="251"/>
      <c r="J607" s="251"/>
    </row>
    <row r="608" spans="4:10" ht="15.75" customHeight="1" x14ac:dyDescent="0.25">
      <c r="D608" s="251"/>
      <c r="E608" s="251"/>
      <c r="F608" s="251"/>
      <c r="G608" s="251"/>
      <c r="J608" s="251"/>
    </row>
    <row r="609" spans="4:10" ht="15.75" customHeight="1" x14ac:dyDescent="0.25">
      <c r="D609" s="251"/>
      <c r="E609" s="251"/>
      <c r="F609" s="251"/>
      <c r="G609" s="251"/>
      <c r="J609" s="251"/>
    </row>
    <row r="610" spans="4:10" ht="15.75" customHeight="1" x14ac:dyDescent="0.25">
      <c r="D610" s="251"/>
      <c r="E610" s="251"/>
      <c r="F610" s="251"/>
      <c r="G610" s="251"/>
      <c r="J610" s="251"/>
    </row>
    <row r="611" spans="4:10" ht="15.75" customHeight="1" x14ac:dyDescent="0.25">
      <c r="D611" s="251"/>
      <c r="E611" s="251"/>
      <c r="F611" s="251"/>
      <c r="G611" s="251"/>
      <c r="J611" s="251"/>
    </row>
    <row r="612" spans="4:10" ht="15.75" customHeight="1" x14ac:dyDescent="0.25">
      <c r="D612" s="251"/>
      <c r="E612" s="251"/>
      <c r="F612" s="251"/>
      <c r="G612" s="251"/>
      <c r="J612" s="251"/>
    </row>
    <row r="613" spans="4:10" ht="15.75" customHeight="1" x14ac:dyDescent="0.25">
      <c r="D613" s="251"/>
      <c r="E613" s="251"/>
      <c r="F613" s="251"/>
      <c r="G613" s="251"/>
      <c r="J613" s="251"/>
    </row>
    <row r="614" spans="4:10" ht="15.75" customHeight="1" x14ac:dyDescent="0.25">
      <c r="D614" s="251"/>
      <c r="E614" s="251"/>
      <c r="F614" s="251"/>
      <c r="G614" s="251"/>
      <c r="J614" s="251"/>
    </row>
    <row r="615" spans="4:10" ht="15.75" customHeight="1" x14ac:dyDescent="0.25">
      <c r="D615" s="251"/>
      <c r="E615" s="251"/>
      <c r="F615" s="251"/>
      <c r="G615" s="251"/>
      <c r="J615" s="251"/>
    </row>
    <row r="616" spans="4:10" ht="15.75" customHeight="1" x14ac:dyDescent="0.25">
      <c r="D616" s="251"/>
      <c r="E616" s="251"/>
      <c r="F616" s="251"/>
      <c r="G616" s="251"/>
      <c r="J616" s="251"/>
    </row>
    <row r="617" spans="4:10" ht="15.75" customHeight="1" x14ac:dyDescent="0.25">
      <c r="D617" s="251"/>
      <c r="E617" s="251"/>
      <c r="F617" s="251"/>
      <c r="G617" s="251"/>
      <c r="J617" s="251"/>
    </row>
    <row r="618" spans="4:10" ht="15.75" customHeight="1" x14ac:dyDescent="0.25">
      <c r="D618" s="251"/>
      <c r="E618" s="251"/>
      <c r="F618" s="251"/>
      <c r="G618" s="251"/>
      <c r="J618" s="251"/>
    </row>
    <row r="619" spans="4:10" ht="15.75" customHeight="1" x14ac:dyDescent="0.25">
      <c r="D619" s="251"/>
      <c r="E619" s="251"/>
      <c r="F619" s="251"/>
      <c r="G619" s="251"/>
      <c r="J619" s="251"/>
    </row>
    <row r="620" spans="4:10" ht="15.75" customHeight="1" x14ac:dyDescent="0.25">
      <c r="D620" s="251"/>
      <c r="E620" s="251"/>
      <c r="F620" s="251"/>
      <c r="G620" s="251"/>
      <c r="J620" s="251"/>
    </row>
    <row r="621" spans="4:10" ht="15.75" customHeight="1" x14ac:dyDescent="0.25">
      <c r="D621" s="251"/>
      <c r="E621" s="251"/>
      <c r="F621" s="251"/>
      <c r="G621" s="251"/>
      <c r="J621" s="251"/>
    </row>
    <row r="622" spans="4:10" ht="15.75" customHeight="1" x14ac:dyDescent="0.25">
      <c r="D622" s="251"/>
      <c r="E622" s="251"/>
      <c r="F622" s="251"/>
      <c r="G622" s="251"/>
      <c r="J622" s="251"/>
    </row>
    <row r="623" spans="4:10" ht="15.75" customHeight="1" x14ac:dyDescent="0.25">
      <c r="D623" s="251"/>
      <c r="E623" s="251"/>
      <c r="F623" s="251"/>
      <c r="G623" s="251"/>
      <c r="J623" s="251"/>
    </row>
    <row r="624" spans="4:10" ht="15.75" customHeight="1" x14ac:dyDescent="0.25">
      <c r="D624" s="251"/>
      <c r="E624" s="251"/>
      <c r="F624" s="251"/>
      <c r="G624" s="251"/>
      <c r="J624" s="251"/>
    </row>
    <row r="625" spans="4:10" ht="15.75" customHeight="1" x14ac:dyDescent="0.25">
      <c r="D625" s="251"/>
      <c r="E625" s="251"/>
      <c r="F625" s="251"/>
      <c r="G625" s="251"/>
      <c r="J625" s="251"/>
    </row>
    <row r="626" spans="4:10" ht="15.75" customHeight="1" x14ac:dyDescent="0.25">
      <c r="D626" s="251"/>
      <c r="E626" s="251"/>
      <c r="F626" s="251"/>
      <c r="G626" s="251"/>
      <c r="J626" s="251"/>
    </row>
    <row r="627" spans="4:10" ht="15.75" customHeight="1" x14ac:dyDescent="0.25">
      <c r="D627" s="251"/>
      <c r="E627" s="251"/>
      <c r="F627" s="251"/>
      <c r="G627" s="251"/>
      <c r="J627" s="251"/>
    </row>
    <row r="628" spans="4:10" ht="15.75" customHeight="1" x14ac:dyDescent="0.25">
      <c r="D628" s="251"/>
      <c r="E628" s="251"/>
      <c r="F628" s="251"/>
      <c r="G628" s="251"/>
      <c r="J628" s="251"/>
    </row>
    <row r="629" spans="4:10" ht="15.75" customHeight="1" x14ac:dyDescent="0.25">
      <c r="D629" s="251"/>
      <c r="E629" s="251"/>
      <c r="F629" s="251"/>
      <c r="G629" s="251"/>
      <c r="J629" s="251"/>
    </row>
    <row r="630" spans="4:10" ht="15.75" customHeight="1" x14ac:dyDescent="0.25">
      <c r="D630" s="251"/>
      <c r="E630" s="251"/>
      <c r="F630" s="251"/>
      <c r="G630" s="251"/>
      <c r="J630" s="251"/>
    </row>
    <row r="631" spans="4:10" ht="15.75" customHeight="1" x14ac:dyDescent="0.25">
      <c r="D631" s="251"/>
      <c r="E631" s="251"/>
      <c r="F631" s="251"/>
      <c r="G631" s="251"/>
      <c r="J631" s="251"/>
    </row>
    <row r="632" spans="4:10" ht="15.75" customHeight="1" x14ac:dyDescent="0.25">
      <c r="D632" s="251"/>
      <c r="E632" s="251"/>
      <c r="F632" s="251"/>
      <c r="G632" s="251"/>
      <c r="J632" s="251"/>
    </row>
    <row r="633" spans="4:10" ht="15.75" customHeight="1" x14ac:dyDescent="0.25">
      <c r="D633" s="251"/>
      <c r="E633" s="251"/>
      <c r="F633" s="251"/>
      <c r="G633" s="251"/>
      <c r="J633" s="251"/>
    </row>
    <row r="634" spans="4:10" ht="15.75" customHeight="1" x14ac:dyDescent="0.25">
      <c r="D634" s="251"/>
      <c r="E634" s="251"/>
      <c r="F634" s="251"/>
      <c r="G634" s="251"/>
      <c r="J634" s="251"/>
    </row>
    <row r="635" spans="4:10" ht="15.75" customHeight="1" x14ac:dyDescent="0.25">
      <c r="D635" s="251"/>
      <c r="E635" s="251"/>
      <c r="F635" s="251"/>
      <c r="G635" s="251"/>
      <c r="J635" s="251"/>
    </row>
    <row r="636" spans="4:10" ht="15.75" customHeight="1" x14ac:dyDescent="0.25">
      <c r="D636" s="251"/>
      <c r="E636" s="251"/>
      <c r="F636" s="251"/>
      <c r="G636" s="251"/>
      <c r="J636" s="251"/>
    </row>
    <row r="637" spans="4:10" ht="15.75" customHeight="1" x14ac:dyDescent="0.25">
      <c r="D637" s="251"/>
      <c r="E637" s="251"/>
      <c r="F637" s="251"/>
      <c r="G637" s="251"/>
      <c r="J637" s="251"/>
    </row>
    <row r="638" spans="4:10" ht="15.75" customHeight="1" x14ac:dyDescent="0.25">
      <c r="D638" s="251"/>
      <c r="E638" s="251"/>
      <c r="F638" s="251"/>
      <c r="G638" s="251"/>
      <c r="J638" s="251"/>
    </row>
    <row r="639" spans="4:10" ht="15.75" customHeight="1" x14ac:dyDescent="0.25">
      <c r="D639" s="251"/>
      <c r="E639" s="251"/>
      <c r="F639" s="251"/>
      <c r="G639" s="251"/>
      <c r="J639" s="251"/>
    </row>
    <row r="640" spans="4:10" ht="15.75" customHeight="1" x14ac:dyDescent="0.25">
      <c r="D640" s="251"/>
      <c r="E640" s="251"/>
      <c r="F640" s="251"/>
      <c r="G640" s="251"/>
      <c r="J640" s="251"/>
    </row>
    <row r="641" spans="4:10" ht="15.75" customHeight="1" x14ac:dyDescent="0.25">
      <c r="D641" s="251"/>
      <c r="E641" s="251"/>
      <c r="F641" s="251"/>
      <c r="G641" s="251"/>
      <c r="J641" s="251"/>
    </row>
    <row r="642" spans="4:10" ht="15.75" customHeight="1" x14ac:dyDescent="0.25">
      <c r="D642" s="251"/>
      <c r="E642" s="251"/>
      <c r="F642" s="251"/>
      <c r="G642" s="251"/>
      <c r="J642" s="251"/>
    </row>
    <row r="643" spans="4:10" ht="15.75" customHeight="1" x14ac:dyDescent="0.25">
      <c r="D643" s="251"/>
      <c r="E643" s="251"/>
      <c r="F643" s="251"/>
      <c r="G643" s="251"/>
      <c r="J643" s="251"/>
    </row>
    <row r="644" spans="4:10" ht="15.75" customHeight="1" x14ac:dyDescent="0.25">
      <c r="D644" s="251"/>
      <c r="E644" s="251"/>
      <c r="F644" s="251"/>
      <c r="G644" s="251"/>
      <c r="J644" s="251"/>
    </row>
    <row r="645" spans="4:10" ht="15.75" customHeight="1" x14ac:dyDescent="0.25">
      <c r="D645" s="251"/>
      <c r="E645" s="251"/>
      <c r="F645" s="251"/>
      <c r="G645" s="251"/>
      <c r="J645" s="251"/>
    </row>
    <row r="646" spans="4:10" ht="15.75" customHeight="1" x14ac:dyDescent="0.25">
      <c r="D646" s="251"/>
      <c r="E646" s="251"/>
      <c r="F646" s="251"/>
      <c r="G646" s="251"/>
      <c r="J646" s="251"/>
    </row>
    <row r="647" spans="4:10" ht="15.75" customHeight="1" x14ac:dyDescent="0.25">
      <c r="D647" s="251"/>
      <c r="E647" s="251"/>
      <c r="F647" s="251"/>
      <c r="G647" s="251"/>
      <c r="J647" s="251"/>
    </row>
    <row r="648" spans="4:10" ht="15.75" customHeight="1" x14ac:dyDescent="0.25">
      <c r="D648" s="251"/>
      <c r="E648" s="251"/>
      <c r="F648" s="251"/>
      <c r="G648" s="251"/>
      <c r="J648" s="251"/>
    </row>
    <row r="649" spans="4:10" ht="15.75" customHeight="1" x14ac:dyDescent="0.25">
      <c r="D649" s="251"/>
      <c r="E649" s="251"/>
      <c r="F649" s="251"/>
      <c r="G649" s="251"/>
      <c r="J649" s="251"/>
    </row>
    <row r="650" spans="4:10" ht="15.75" customHeight="1" x14ac:dyDescent="0.25">
      <c r="D650" s="251"/>
      <c r="E650" s="251"/>
      <c r="F650" s="251"/>
      <c r="G650" s="251"/>
      <c r="J650" s="251"/>
    </row>
    <row r="651" spans="4:10" ht="15.75" customHeight="1" x14ac:dyDescent="0.25">
      <c r="D651" s="251"/>
      <c r="E651" s="251"/>
      <c r="F651" s="251"/>
      <c r="G651" s="251"/>
      <c r="J651" s="251"/>
    </row>
    <row r="652" spans="4:10" ht="15.75" customHeight="1" x14ac:dyDescent="0.25">
      <c r="D652" s="251"/>
      <c r="E652" s="251"/>
      <c r="F652" s="251"/>
      <c r="G652" s="251"/>
      <c r="J652" s="251"/>
    </row>
    <row r="653" spans="4:10" ht="15.75" customHeight="1" x14ac:dyDescent="0.25">
      <c r="D653" s="251"/>
      <c r="E653" s="251"/>
      <c r="F653" s="251"/>
      <c r="G653" s="251"/>
      <c r="J653" s="251"/>
    </row>
    <row r="654" spans="4:10" ht="15.75" customHeight="1" x14ac:dyDescent="0.25">
      <c r="D654" s="251"/>
      <c r="E654" s="251"/>
      <c r="F654" s="251"/>
      <c r="G654" s="251"/>
      <c r="J654" s="251"/>
    </row>
    <row r="655" spans="4:10" ht="15.75" customHeight="1" x14ac:dyDescent="0.25">
      <c r="D655" s="251"/>
      <c r="E655" s="251"/>
      <c r="F655" s="251"/>
      <c r="G655" s="251"/>
      <c r="J655" s="251"/>
    </row>
    <row r="656" spans="4:10" ht="15.75" customHeight="1" x14ac:dyDescent="0.25">
      <c r="D656" s="251"/>
      <c r="E656" s="251"/>
      <c r="F656" s="251"/>
      <c r="G656" s="251"/>
      <c r="J656" s="251"/>
    </row>
    <row r="657" spans="4:10" ht="15.75" customHeight="1" x14ac:dyDescent="0.25">
      <c r="D657" s="251"/>
      <c r="E657" s="251"/>
      <c r="F657" s="251"/>
      <c r="G657" s="251"/>
      <c r="J657" s="251"/>
    </row>
    <row r="658" spans="4:10" ht="15.75" customHeight="1" x14ac:dyDescent="0.25">
      <c r="D658" s="251"/>
      <c r="E658" s="251"/>
      <c r="F658" s="251"/>
      <c r="G658" s="251"/>
      <c r="J658" s="251"/>
    </row>
    <row r="659" spans="4:10" ht="15.75" customHeight="1" x14ac:dyDescent="0.25">
      <c r="D659" s="251"/>
      <c r="E659" s="251"/>
      <c r="F659" s="251"/>
      <c r="G659" s="251"/>
      <c r="J659" s="251"/>
    </row>
    <row r="660" spans="4:10" ht="15.75" customHeight="1" x14ac:dyDescent="0.25">
      <c r="D660" s="251"/>
      <c r="E660" s="251"/>
      <c r="F660" s="251"/>
      <c r="G660" s="251"/>
      <c r="J660" s="251"/>
    </row>
    <row r="661" spans="4:10" ht="15.75" customHeight="1" x14ac:dyDescent="0.25">
      <c r="D661" s="251"/>
      <c r="E661" s="251"/>
      <c r="F661" s="251"/>
      <c r="G661" s="251"/>
      <c r="J661" s="251"/>
    </row>
    <row r="662" spans="4:10" ht="15.75" customHeight="1" x14ac:dyDescent="0.25">
      <c r="D662" s="251"/>
      <c r="E662" s="251"/>
      <c r="F662" s="251"/>
      <c r="G662" s="251"/>
      <c r="J662" s="251"/>
    </row>
    <row r="663" spans="4:10" ht="15.75" customHeight="1" x14ac:dyDescent="0.25">
      <c r="D663" s="251"/>
      <c r="E663" s="251"/>
      <c r="F663" s="251"/>
      <c r="G663" s="251"/>
      <c r="J663" s="251"/>
    </row>
    <row r="664" spans="4:10" ht="15.75" customHeight="1" x14ac:dyDescent="0.25">
      <c r="D664" s="251"/>
      <c r="E664" s="251"/>
      <c r="F664" s="251"/>
      <c r="G664" s="251"/>
      <c r="J664" s="251"/>
    </row>
    <row r="665" spans="4:10" ht="15.75" customHeight="1" x14ac:dyDescent="0.25">
      <c r="D665" s="251"/>
      <c r="E665" s="251"/>
      <c r="F665" s="251"/>
      <c r="G665" s="251"/>
      <c r="J665" s="251"/>
    </row>
    <row r="666" spans="4:10" ht="15.75" customHeight="1" x14ac:dyDescent="0.25">
      <c r="D666" s="251"/>
      <c r="E666" s="251"/>
      <c r="F666" s="251"/>
      <c r="G666" s="251"/>
      <c r="J666" s="251"/>
    </row>
    <row r="667" spans="4:10" ht="15.75" customHeight="1" x14ac:dyDescent="0.25">
      <c r="D667" s="251"/>
      <c r="E667" s="251"/>
      <c r="F667" s="251"/>
      <c r="G667" s="251"/>
      <c r="J667" s="251"/>
    </row>
    <row r="668" spans="4:10" ht="15.75" customHeight="1" x14ac:dyDescent="0.25">
      <c r="D668" s="251"/>
      <c r="E668" s="251"/>
      <c r="F668" s="251"/>
      <c r="G668" s="251"/>
      <c r="J668" s="251"/>
    </row>
    <row r="669" spans="4:10" ht="15.75" customHeight="1" x14ac:dyDescent="0.25">
      <c r="D669" s="251"/>
      <c r="E669" s="251"/>
      <c r="F669" s="251"/>
      <c r="G669" s="251"/>
      <c r="J669" s="251"/>
    </row>
    <row r="670" spans="4:10" ht="15.75" customHeight="1" x14ac:dyDescent="0.25">
      <c r="D670" s="251"/>
      <c r="E670" s="251"/>
      <c r="F670" s="251"/>
      <c r="G670" s="251"/>
      <c r="J670" s="251"/>
    </row>
    <row r="671" spans="4:10" ht="15.75" customHeight="1" x14ac:dyDescent="0.25">
      <c r="D671" s="251"/>
      <c r="E671" s="251"/>
      <c r="F671" s="251"/>
      <c r="G671" s="251"/>
      <c r="J671" s="251"/>
    </row>
    <row r="672" spans="4:10" ht="15.75" customHeight="1" x14ac:dyDescent="0.25">
      <c r="D672" s="251"/>
      <c r="E672" s="251"/>
      <c r="F672" s="251"/>
      <c r="G672" s="251"/>
      <c r="J672" s="251"/>
    </row>
    <row r="673" spans="4:10" ht="15.75" customHeight="1" x14ac:dyDescent="0.25">
      <c r="D673" s="251"/>
      <c r="E673" s="251"/>
      <c r="F673" s="251"/>
      <c r="G673" s="251"/>
      <c r="J673" s="251"/>
    </row>
    <row r="674" spans="4:10" ht="15.75" customHeight="1" x14ac:dyDescent="0.25">
      <c r="D674" s="251"/>
      <c r="E674" s="251"/>
      <c r="F674" s="251"/>
      <c r="G674" s="251"/>
      <c r="J674" s="251"/>
    </row>
    <row r="675" spans="4:10" ht="15.75" customHeight="1" x14ac:dyDescent="0.25">
      <c r="D675" s="251"/>
      <c r="E675" s="251"/>
      <c r="F675" s="251"/>
      <c r="G675" s="251"/>
      <c r="J675" s="251"/>
    </row>
    <row r="676" spans="4:10" ht="15.75" customHeight="1" x14ac:dyDescent="0.25">
      <c r="D676" s="251"/>
      <c r="E676" s="251"/>
      <c r="F676" s="251"/>
      <c r="G676" s="251"/>
      <c r="J676" s="251"/>
    </row>
    <row r="677" spans="4:10" ht="15.75" customHeight="1" x14ac:dyDescent="0.25">
      <c r="D677" s="251"/>
      <c r="E677" s="251"/>
      <c r="F677" s="251"/>
      <c r="G677" s="251"/>
      <c r="J677" s="251"/>
    </row>
    <row r="678" spans="4:10" ht="15.75" customHeight="1" x14ac:dyDescent="0.25">
      <c r="D678" s="251"/>
      <c r="E678" s="251"/>
      <c r="F678" s="251"/>
      <c r="G678" s="251"/>
      <c r="J678" s="251"/>
    </row>
    <row r="679" spans="4:10" ht="15.75" customHeight="1" x14ac:dyDescent="0.25">
      <c r="D679" s="251"/>
      <c r="E679" s="251"/>
      <c r="F679" s="251"/>
      <c r="G679" s="251"/>
      <c r="J679" s="251"/>
    </row>
    <row r="680" spans="4:10" ht="15.75" customHeight="1" x14ac:dyDescent="0.25">
      <c r="D680" s="251"/>
      <c r="E680" s="251"/>
      <c r="F680" s="251"/>
      <c r="G680" s="251"/>
      <c r="J680" s="251"/>
    </row>
    <row r="681" spans="4:10" ht="15.75" customHeight="1" x14ac:dyDescent="0.25">
      <c r="D681" s="251"/>
      <c r="E681" s="251"/>
      <c r="F681" s="251"/>
      <c r="G681" s="251"/>
      <c r="J681" s="251"/>
    </row>
    <row r="682" spans="4:10" ht="15.75" customHeight="1" x14ac:dyDescent="0.25">
      <c r="D682" s="251"/>
      <c r="E682" s="251"/>
      <c r="F682" s="251"/>
      <c r="G682" s="251"/>
      <c r="J682" s="251"/>
    </row>
    <row r="683" spans="4:10" ht="15.75" customHeight="1" x14ac:dyDescent="0.25">
      <c r="D683" s="251"/>
      <c r="E683" s="251"/>
      <c r="F683" s="251"/>
      <c r="G683" s="251"/>
      <c r="J683" s="251"/>
    </row>
    <row r="684" spans="4:10" ht="15.75" customHeight="1" x14ac:dyDescent="0.25">
      <c r="D684" s="251"/>
      <c r="E684" s="251"/>
      <c r="F684" s="251"/>
      <c r="G684" s="251"/>
      <c r="J684" s="251"/>
    </row>
    <row r="685" spans="4:10" ht="15.75" customHeight="1" x14ac:dyDescent="0.25">
      <c r="D685" s="251"/>
      <c r="E685" s="251"/>
      <c r="F685" s="251"/>
      <c r="G685" s="251"/>
      <c r="J685" s="251"/>
    </row>
    <row r="686" spans="4:10" ht="15.75" customHeight="1" x14ac:dyDescent="0.25">
      <c r="D686" s="251"/>
      <c r="E686" s="251"/>
      <c r="F686" s="251"/>
      <c r="G686" s="251"/>
      <c r="J686" s="251"/>
    </row>
    <row r="687" spans="4:10" ht="15.75" customHeight="1" x14ac:dyDescent="0.25">
      <c r="D687" s="251"/>
      <c r="E687" s="251"/>
      <c r="F687" s="251"/>
      <c r="G687" s="251"/>
      <c r="J687" s="251"/>
    </row>
    <row r="688" spans="4:10" ht="15.75" customHeight="1" x14ac:dyDescent="0.25">
      <c r="D688" s="251"/>
      <c r="E688" s="251"/>
      <c r="F688" s="251"/>
      <c r="G688" s="251"/>
      <c r="J688" s="251"/>
    </row>
    <row r="689" spans="4:10" ht="15.75" customHeight="1" x14ac:dyDescent="0.25">
      <c r="D689" s="251"/>
      <c r="E689" s="251"/>
      <c r="F689" s="251"/>
      <c r="G689" s="251"/>
      <c r="J689" s="251"/>
    </row>
    <row r="690" spans="4:10" ht="15.75" customHeight="1" x14ac:dyDescent="0.25">
      <c r="D690" s="251"/>
      <c r="E690" s="251"/>
      <c r="F690" s="251"/>
      <c r="G690" s="251"/>
      <c r="J690" s="251"/>
    </row>
    <row r="691" spans="4:10" ht="15.75" customHeight="1" x14ac:dyDescent="0.25">
      <c r="D691" s="251"/>
      <c r="E691" s="251"/>
      <c r="F691" s="251"/>
      <c r="G691" s="251"/>
      <c r="J691" s="251"/>
    </row>
    <row r="692" spans="4:10" ht="15.75" customHeight="1" x14ac:dyDescent="0.25">
      <c r="D692" s="251"/>
      <c r="E692" s="251"/>
      <c r="F692" s="251"/>
      <c r="G692" s="251"/>
      <c r="J692" s="251"/>
    </row>
    <row r="693" spans="4:10" ht="15.75" customHeight="1" x14ac:dyDescent="0.25">
      <c r="D693" s="251"/>
      <c r="E693" s="251"/>
      <c r="F693" s="251"/>
      <c r="G693" s="251"/>
      <c r="J693" s="251"/>
    </row>
    <row r="694" spans="4:10" ht="15.75" customHeight="1" x14ac:dyDescent="0.25">
      <c r="D694" s="251"/>
      <c r="E694" s="251"/>
      <c r="F694" s="251"/>
      <c r="G694" s="251"/>
      <c r="J694" s="251"/>
    </row>
    <row r="695" spans="4:10" ht="15.75" customHeight="1" x14ac:dyDescent="0.25">
      <c r="D695" s="251"/>
      <c r="E695" s="251"/>
      <c r="F695" s="251"/>
      <c r="G695" s="251"/>
      <c r="J695" s="251"/>
    </row>
    <row r="696" spans="4:10" ht="15.75" customHeight="1" x14ac:dyDescent="0.25">
      <c r="D696" s="251"/>
      <c r="E696" s="251"/>
      <c r="F696" s="251"/>
      <c r="G696" s="251"/>
      <c r="J696" s="251"/>
    </row>
    <row r="697" spans="4:10" ht="15.75" customHeight="1" x14ac:dyDescent="0.25">
      <c r="D697" s="251"/>
      <c r="E697" s="251"/>
      <c r="F697" s="251"/>
      <c r="G697" s="251"/>
      <c r="J697" s="251"/>
    </row>
    <row r="698" spans="4:10" ht="15.75" customHeight="1" x14ac:dyDescent="0.25">
      <c r="D698" s="251"/>
      <c r="E698" s="251"/>
      <c r="F698" s="251"/>
      <c r="G698" s="251"/>
      <c r="J698" s="251"/>
    </row>
    <row r="699" spans="4:10" ht="15.75" customHeight="1" x14ac:dyDescent="0.25">
      <c r="D699" s="251"/>
      <c r="E699" s="251"/>
      <c r="F699" s="251"/>
      <c r="G699" s="251"/>
      <c r="J699" s="251"/>
    </row>
    <row r="700" spans="4:10" ht="15.75" customHeight="1" x14ac:dyDescent="0.25">
      <c r="D700" s="251"/>
      <c r="E700" s="251"/>
      <c r="F700" s="251"/>
      <c r="G700" s="251"/>
      <c r="J700" s="251"/>
    </row>
    <row r="701" spans="4:10" ht="15.75" customHeight="1" x14ac:dyDescent="0.25">
      <c r="D701" s="251"/>
      <c r="E701" s="251"/>
      <c r="F701" s="251"/>
      <c r="G701" s="251"/>
      <c r="J701" s="251"/>
    </row>
    <row r="702" spans="4:10" ht="15.75" customHeight="1" x14ac:dyDescent="0.25">
      <c r="D702" s="251"/>
      <c r="E702" s="251"/>
      <c r="F702" s="251"/>
      <c r="G702" s="251"/>
      <c r="J702" s="251"/>
    </row>
    <row r="703" spans="4:10" ht="15.75" customHeight="1" x14ac:dyDescent="0.25">
      <c r="D703" s="251"/>
      <c r="E703" s="251"/>
      <c r="F703" s="251"/>
      <c r="G703" s="251"/>
      <c r="J703" s="251"/>
    </row>
    <row r="704" spans="4:10" ht="15.75" customHeight="1" x14ac:dyDescent="0.25">
      <c r="D704" s="251"/>
      <c r="E704" s="251"/>
      <c r="F704" s="251"/>
      <c r="G704" s="251"/>
      <c r="J704" s="251"/>
    </row>
    <row r="705" spans="4:10" ht="15.75" customHeight="1" x14ac:dyDescent="0.25">
      <c r="D705" s="251"/>
      <c r="E705" s="251"/>
      <c r="F705" s="251"/>
      <c r="G705" s="251"/>
      <c r="J705" s="251"/>
    </row>
    <row r="706" spans="4:10" ht="15.75" customHeight="1" x14ac:dyDescent="0.25">
      <c r="D706" s="251"/>
      <c r="E706" s="251"/>
      <c r="F706" s="251"/>
      <c r="G706" s="251"/>
      <c r="J706" s="251"/>
    </row>
    <row r="707" spans="4:10" ht="15.75" customHeight="1" x14ac:dyDescent="0.25">
      <c r="D707" s="251"/>
      <c r="E707" s="251"/>
      <c r="F707" s="251"/>
      <c r="G707" s="251"/>
      <c r="J707" s="251"/>
    </row>
    <row r="708" spans="4:10" ht="15.75" customHeight="1" x14ac:dyDescent="0.25">
      <c r="D708" s="251"/>
      <c r="E708" s="251"/>
      <c r="F708" s="251"/>
      <c r="G708" s="251"/>
      <c r="J708" s="251"/>
    </row>
    <row r="709" spans="4:10" ht="15.75" customHeight="1" x14ac:dyDescent="0.25">
      <c r="D709" s="251"/>
      <c r="E709" s="251"/>
      <c r="F709" s="251"/>
      <c r="G709" s="251"/>
      <c r="J709" s="251"/>
    </row>
    <row r="710" spans="4:10" ht="15.75" customHeight="1" x14ac:dyDescent="0.25">
      <c r="D710" s="251"/>
      <c r="E710" s="251"/>
      <c r="F710" s="251"/>
      <c r="G710" s="251"/>
      <c r="J710" s="251"/>
    </row>
    <row r="711" spans="4:10" ht="15.75" customHeight="1" x14ac:dyDescent="0.25">
      <c r="D711" s="251"/>
      <c r="E711" s="251"/>
      <c r="F711" s="251"/>
      <c r="G711" s="251"/>
      <c r="J711" s="251"/>
    </row>
    <row r="712" spans="4:10" ht="15.75" customHeight="1" x14ac:dyDescent="0.25">
      <c r="D712" s="251"/>
      <c r="E712" s="251"/>
      <c r="F712" s="251"/>
      <c r="G712" s="251"/>
      <c r="J712" s="251"/>
    </row>
    <row r="713" spans="4:10" ht="15.75" customHeight="1" x14ac:dyDescent="0.25">
      <c r="D713" s="251"/>
      <c r="E713" s="251"/>
      <c r="F713" s="251"/>
      <c r="G713" s="251"/>
      <c r="J713" s="251"/>
    </row>
    <row r="714" spans="4:10" ht="15.75" customHeight="1" x14ac:dyDescent="0.25">
      <c r="D714" s="251"/>
      <c r="E714" s="251"/>
      <c r="F714" s="251"/>
      <c r="G714" s="251"/>
      <c r="J714" s="251"/>
    </row>
    <row r="715" spans="4:10" ht="15.75" customHeight="1" x14ac:dyDescent="0.25">
      <c r="D715" s="251"/>
      <c r="E715" s="251"/>
      <c r="F715" s="251"/>
      <c r="G715" s="251"/>
      <c r="J715" s="251"/>
    </row>
    <row r="716" spans="4:10" ht="15.75" customHeight="1" x14ac:dyDescent="0.25">
      <c r="D716" s="251"/>
      <c r="E716" s="251"/>
      <c r="F716" s="251"/>
      <c r="G716" s="251"/>
      <c r="J716" s="251"/>
    </row>
    <row r="717" spans="4:10" ht="15.75" customHeight="1" x14ac:dyDescent="0.25">
      <c r="D717" s="251"/>
      <c r="E717" s="251"/>
      <c r="F717" s="251"/>
      <c r="G717" s="251"/>
      <c r="J717" s="251"/>
    </row>
    <row r="718" spans="4:10" ht="15.75" customHeight="1" x14ac:dyDescent="0.25">
      <c r="D718" s="251"/>
      <c r="E718" s="251"/>
      <c r="F718" s="251"/>
      <c r="G718" s="251"/>
      <c r="J718" s="251"/>
    </row>
    <row r="719" spans="4:10" ht="15.75" customHeight="1" x14ac:dyDescent="0.25">
      <c r="D719" s="251"/>
      <c r="E719" s="251"/>
      <c r="F719" s="251"/>
      <c r="G719" s="251"/>
      <c r="J719" s="251"/>
    </row>
    <row r="720" spans="4:10" ht="15.75" customHeight="1" x14ac:dyDescent="0.25">
      <c r="D720" s="251"/>
      <c r="E720" s="251"/>
      <c r="F720" s="251"/>
      <c r="G720" s="251"/>
      <c r="J720" s="251"/>
    </row>
    <row r="721" spans="4:10" ht="15.75" customHeight="1" x14ac:dyDescent="0.25">
      <c r="D721" s="251"/>
      <c r="E721" s="251"/>
      <c r="F721" s="251"/>
      <c r="G721" s="251"/>
      <c r="J721" s="251"/>
    </row>
    <row r="722" spans="4:10" ht="15.75" customHeight="1" x14ac:dyDescent="0.25">
      <c r="D722" s="251"/>
      <c r="E722" s="251"/>
      <c r="F722" s="251"/>
      <c r="G722" s="251"/>
      <c r="J722" s="251"/>
    </row>
    <row r="723" spans="4:10" ht="15.75" customHeight="1" x14ac:dyDescent="0.25">
      <c r="D723" s="251"/>
      <c r="E723" s="251"/>
      <c r="F723" s="251"/>
      <c r="G723" s="251"/>
      <c r="J723" s="251"/>
    </row>
    <row r="724" spans="4:10" ht="15.75" customHeight="1" x14ac:dyDescent="0.25">
      <c r="D724" s="251"/>
      <c r="E724" s="251"/>
      <c r="F724" s="251"/>
      <c r="G724" s="251"/>
      <c r="J724" s="251"/>
    </row>
    <row r="725" spans="4:10" ht="15.75" customHeight="1" x14ac:dyDescent="0.25">
      <c r="D725" s="251"/>
      <c r="E725" s="251"/>
      <c r="F725" s="251"/>
      <c r="G725" s="251"/>
      <c r="J725" s="251"/>
    </row>
    <row r="726" spans="4:10" ht="15.75" customHeight="1" x14ac:dyDescent="0.25">
      <c r="D726" s="251"/>
      <c r="E726" s="251"/>
      <c r="F726" s="251"/>
      <c r="G726" s="251"/>
      <c r="J726" s="251"/>
    </row>
    <row r="727" spans="4:10" ht="15.75" customHeight="1" x14ac:dyDescent="0.25">
      <c r="D727" s="251"/>
      <c r="E727" s="251"/>
      <c r="F727" s="251"/>
      <c r="G727" s="251"/>
      <c r="J727" s="251"/>
    </row>
    <row r="728" spans="4:10" ht="15.75" customHeight="1" x14ac:dyDescent="0.25">
      <c r="D728" s="251"/>
      <c r="E728" s="251"/>
      <c r="F728" s="251"/>
      <c r="G728" s="251"/>
      <c r="J728" s="251"/>
    </row>
    <row r="729" spans="4:10" ht="15.75" customHeight="1" x14ac:dyDescent="0.25">
      <c r="D729" s="251"/>
      <c r="E729" s="251"/>
      <c r="F729" s="251"/>
      <c r="G729" s="251"/>
      <c r="J729" s="251"/>
    </row>
    <row r="730" spans="4:10" ht="15.75" customHeight="1" x14ac:dyDescent="0.25">
      <c r="D730" s="251"/>
      <c r="E730" s="251"/>
      <c r="F730" s="251"/>
      <c r="G730" s="251"/>
      <c r="J730" s="251"/>
    </row>
    <row r="731" spans="4:10" ht="15.75" customHeight="1" x14ac:dyDescent="0.25">
      <c r="D731" s="251"/>
      <c r="E731" s="251"/>
      <c r="F731" s="251"/>
      <c r="G731" s="251"/>
      <c r="J731" s="251"/>
    </row>
    <row r="732" spans="4:10" ht="15.75" customHeight="1" x14ac:dyDescent="0.25">
      <c r="D732" s="251"/>
      <c r="E732" s="251"/>
      <c r="F732" s="251"/>
      <c r="G732" s="251"/>
      <c r="J732" s="251"/>
    </row>
    <row r="733" spans="4:10" ht="15.75" customHeight="1" x14ac:dyDescent="0.25">
      <c r="D733" s="251"/>
      <c r="E733" s="251"/>
      <c r="F733" s="251"/>
      <c r="G733" s="251"/>
      <c r="J733" s="251"/>
    </row>
    <row r="734" spans="4:10" ht="15.75" customHeight="1" x14ac:dyDescent="0.25">
      <c r="D734" s="251"/>
      <c r="E734" s="251"/>
      <c r="F734" s="251"/>
      <c r="G734" s="251"/>
      <c r="J734" s="251"/>
    </row>
    <row r="735" spans="4:10" ht="15.75" customHeight="1" x14ac:dyDescent="0.25">
      <c r="D735" s="251"/>
      <c r="E735" s="251"/>
      <c r="F735" s="251"/>
      <c r="G735" s="251"/>
      <c r="J735" s="251"/>
    </row>
    <row r="736" spans="4:10" ht="15.75" customHeight="1" x14ac:dyDescent="0.25">
      <c r="D736" s="251"/>
      <c r="E736" s="251"/>
      <c r="F736" s="251"/>
      <c r="G736" s="251"/>
      <c r="J736" s="251"/>
    </row>
    <row r="737" spans="4:10" ht="15.75" customHeight="1" x14ac:dyDescent="0.25">
      <c r="D737" s="251"/>
      <c r="E737" s="251"/>
      <c r="F737" s="251"/>
      <c r="G737" s="251"/>
      <c r="J737" s="251"/>
    </row>
    <row r="738" spans="4:10" ht="15.75" customHeight="1" x14ac:dyDescent="0.25">
      <c r="D738" s="251"/>
      <c r="E738" s="251"/>
      <c r="F738" s="251"/>
      <c r="G738" s="251"/>
      <c r="J738" s="251"/>
    </row>
    <row r="739" spans="4:10" ht="15.75" customHeight="1" x14ac:dyDescent="0.25">
      <c r="D739" s="251"/>
      <c r="E739" s="251"/>
      <c r="F739" s="251"/>
      <c r="G739" s="251"/>
      <c r="J739" s="251"/>
    </row>
    <row r="740" spans="4:10" ht="15.75" customHeight="1" x14ac:dyDescent="0.25">
      <c r="D740" s="251"/>
      <c r="E740" s="251"/>
      <c r="F740" s="251"/>
      <c r="G740" s="251"/>
      <c r="J740" s="251"/>
    </row>
    <row r="741" spans="4:10" ht="15.75" customHeight="1" x14ac:dyDescent="0.25">
      <c r="D741" s="251"/>
      <c r="E741" s="251"/>
      <c r="F741" s="251"/>
      <c r="G741" s="251"/>
      <c r="J741" s="251"/>
    </row>
    <row r="742" spans="4:10" ht="15.75" customHeight="1" x14ac:dyDescent="0.25">
      <c r="D742" s="251"/>
      <c r="E742" s="251"/>
      <c r="F742" s="251"/>
      <c r="G742" s="251"/>
      <c r="J742" s="251"/>
    </row>
    <row r="743" spans="4:10" ht="15.75" customHeight="1" x14ac:dyDescent="0.25">
      <c r="D743" s="251"/>
      <c r="E743" s="251"/>
      <c r="F743" s="251"/>
      <c r="G743" s="251"/>
      <c r="J743" s="251"/>
    </row>
    <row r="744" spans="4:10" ht="15.75" customHeight="1" x14ac:dyDescent="0.25">
      <c r="D744" s="251"/>
      <c r="E744" s="251"/>
      <c r="F744" s="251"/>
      <c r="G744" s="251"/>
      <c r="J744" s="251"/>
    </row>
    <row r="745" spans="4:10" ht="15.75" customHeight="1" x14ac:dyDescent="0.25">
      <c r="D745" s="251"/>
      <c r="E745" s="251"/>
      <c r="F745" s="251"/>
      <c r="G745" s="251"/>
      <c r="J745" s="251"/>
    </row>
    <row r="746" spans="4:10" ht="15.75" customHeight="1" x14ac:dyDescent="0.25">
      <c r="D746" s="251"/>
      <c r="E746" s="251"/>
      <c r="F746" s="251"/>
      <c r="G746" s="251"/>
      <c r="J746" s="251"/>
    </row>
    <row r="747" spans="4:10" ht="15.75" customHeight="1" x14ac:dyDescent="0.25">
      <c r="D747" s="251"/>
      <c r="E747" s="251"/>
      <c r="F747" s="251"/>
      <c r="G747" s="251"/>
      <c r="J747" s="251"/>
    </row>
    <row r="748" spans="4:10" ht="15.75" customHeight="1" x14ac:dyDescent="0.25">
      <c r="D748" s="251"/>
      <c r="E748" s="251"/>
      <c r="F748" s="251"/>
      <c r="G748" s="251"/>
      <c r="J748" s="251"/>
    </row>
    <row r="749" spans="4:10" ht="15.75" customHeight="1" x14ac:dyDescent="0.25">
      <c r="D749" s="251"/>
      <c r="E749" s="251"/>
      <c r="F749" s="251"/>
      <c r="G749" s="251"/>
      <c r="J749" s="251"/>
    </row>
    <row r="750" spans="4:10" ht="15.75" customHeight="1" x14ac:dyDescent="0.25">
      <c r="D750" s="251"/>
      <c r="E750" s="251"/>
      <c r="F750" s="251"/>
      <c r="G750" s="251"/>
      <c r="J750" s="251"/>
    </row>
    <row r="751" spans="4:10" ht="15.75" customHeight="1" x14ac:dyDescent="0.25">
      <c r="D751" s="251"/>
      <c r="E751" s="251"/>
      <c r="F751" s="251"/>
      <c r="G751" s="251"/>
      <c r="J751" s="251"/>
    </row>
    <row r="752" spans="4:10" ht="15.75" customHeight="1" x14ac:dyDescent="0.25">
      <c r="D752" s="251"/>
      <c r="E752" s="251"/>
      <c r="F752" s="251"/>
      <c r="G752" s="251"/>
      <c r="J752" s="251"/>
    </row>
    <row r="753" spans="4:10" ht="15.75" customHeight="1" x14ac:dyDescent="0.25">
      <c r="D753" s="251"/>
      <c r="E753" s="251"/>
      <c r="F753" s="251"/>
      <c r="G753" s="251"/>
      <c r="J753" s="251"/>
    </row>
    <row r="754" spans="4:10" ht="15.75" customHeight="1" x14ac:dyDescent="0.25">
      <c r="D754" s="251"/>
      <c r="E754" s="251"/>
      <c r="F754" s="251"/>
      <c r="G754" s="251"/>
      <c r="J754" s="251"/>
    </row>
    <row r="755" spans="4:10" ht="15.75" customHeight="1" x14ac:dyDescent="0.25">
      <c r="D755" s="251"/>
      <c r="E755" s="251"/>
      <c r="F755" s="251"/>
      <c r="G755" s="251"/>
      <c r="J755" s="251"/>
    </row>
    <row r="756" spans="4:10" ht="15.75" customHeight="1" x14ac:dyDescent="0.25">
      <c r="D756" s="251"/>
      <c r="E756" s="251"/>
      <c r="F756" s="251"/>
      <c r="G756" s="251"/>
      <c r="J756" s="251"/>
    </row>
    <row r="757" spans="4:10" ht="15.75" customHeight="1" x14ac:dyDescent="0.25">
      <c r="D757" s="251"/>
      <c r="E757" s="251"/>
      <c r="F757" s="251"/>
      <c r="G757" s="251"/>
      <c r="J757" s="251"/>
    </row>
    <row r="758" spans="4:10" ht="15.75" customHeight="1" x14ac:dyDescent="0.25">
      <c r="D758" s="251"/>
      <c r="E758" s="251"/>
      <c r="F758" s="251"/>
      <c r="G758" s="251"/>
      <c r="J758" s="251"/>
    </row>
    <row r="759" spans="4:10" ht="15.75" customHeight="1" x14ac:dyDescent="0.25">
      <c r="D759" s="251"/>
      <c r="E759" s="251"/>
      <c r="F759" s="251"/>
      <c r="G759" s="251"/>
      <c r="J759" s="251"/>
    </row>
    <row r="760" spans="4:10" ht="15.75" customHeight="1" x14ac:dyDescent="0.25">
      <c r="D760" s="251"/>
      <c r="E760" s="251"/>
      <c r="F760" s="251"/>
      <c r="G760" s="251"/>
      <c r="J760" s="251"/>
    </row>
    <row r="761" spans="4:10" ht="15.75" customHeight="1" x14ac:dyDescent="0.25">
      <c r="D761" s="251"/>
      <c r="E761" s="251"/>
      <c r="F761" s="251"/>
      <c r="G761" s="251"/>
      <c r="J761" s="251"/>
    </row>
    <row r="762" spans="4:10" ht="15.75" customHeight="1" x14ac:dyDescent="0.25">
      <c r="D762" s="251"/>
      <c r="E762" s="251"/>
      <c r="F762" s="251"/>
      <c r="G762" s="251"/>
      <c r="J762" s="251"/>
    </row>
    <row r="763" spans="4:10" ht="15.75" customHeight="1" x14ac:dyDescent="0.25">
      <c r="D763" s="251"/>
      <c r="E763" s="251"/>
      <c r="F763" s="251"/>
      <c r="G763" s="251"/>
      <c r="J763" s="251"/>
    </row>
    <row r="764" spans="4:10" ht="15.75" customHeight="1" x14ac:dyDescent="0.25">
      <c r="D764" s="251"/>
      <c r="E764" s="251"/>
      <c r="F764" s="251"/>
      <c r="G764" s="251"/>
      <c r="J764" s="251"/>
    </row>
    <row r="765" spans="4:10" ht="15.75" customHeight="1" x14ac:dyDescent="0.25">
      <c r="D765" s="251"/>
      <c r="E765" s="251"/>
      <c r="F765" s="251"/>
      <c r="G765" s="251"/>
      <c r="J765" s="251"/>
    </row>
    <row r="766" spans="4:10" ht="15.75" customHeight="1" x14ac:dyDescent="0.25">
      <c r="D766" s="251"/>
      <c r="E766" s="251"/>
      <c r="F766" s="251"/>
      <c r="G766" s="251"/>
      <c r="J766" s="251"/>
    </row>
    <row r="767" spans="4:10" ht="15.75" customHeight="1" x14ac:dyDescent="0.25">
      <c r="D767" s="251"/>
      <c r="E767" s="251"/>
      <c r="F767" s="251"/>
      <c r="G767" s="251"/>
      <c r="J767" s="251"/>
    </row>
    <row r="768" spans="4:10" ht="15.75" customHeight="1" x14ac:dyDescent="0.25">
      <c r="D768" s="251"/>
      <c r="E768" s="251"/>
      <c r="F768" s="251"/>
      <c r="G768" s="251"/>
      <c r="J768" s="251"/>
    </row>
    <row r="769" spans="4:10" ht="15.75" customHeight="1" x14ac:dyDescent="0.25">
      <c r="D769" s="251"/>
      <c r="E769" s="251"/>
      <c r="F769" s="251"/>
      <c r="G769" s="251"/>
      <c r="J769" s="251"/>
    </row>
    <row r="770" spans="4:10" ht="15.75" customHeight="1" x14ac:dyDescent="0.25">
      <c r="D770" s="251"/>
      <c r="E770" s="251"/>
      <c r="F770" s="251"/>
      <c r="G770" s="251"/>
      <c r="J770" s="251"/>
    </row>
    <row r="771" spans="4:10" ht="15.75" customHeight="1" x14ac:dyDescent="0.25">
      <c r="D771" s="251"/>
      <c r="E771" s="251"/>
      <c r="F771" s="251"/>
      <c r="G771" s="251"/>
      <c r="J771" s="251"/>
    </row>
    <row r="772" spans="4:10" ht="15.75" customHeight="1" x14ac:dyDescent="0.25">
      <c r="D772" s="251"/>
      <c r="E772" s="251"/>
      <c r="F772" s="251"/>
      <c r="G772" s="251"/>
      <c r="J772" s="251"/>
    </row>
    <row r="773" spans="4:10" ht="15.75" customHeight="1" x14ac:dyDescent="0.25">
      <c r="D773" s="251"/>
      <c r="E773" s="251"/>
      <c r="F773" s="251"/>
      <c r="G773" s="251"/>
      <c r="J773" s="251"/>
    </row>
    <row r="774" spans="4:10" ht="15.75" customHeight="1" x14ac:dyDescent="0.25">
      <c r="D774" s="251"/>
      <c r="E774" s="251"/>
      <c r="F774" s="251"/>
      <c r="G774" s="251"/>
      <c r="J774" s="251"/>
    </row>
    <row r="775" spans="4:10" ht="15.75" customHeight="1" x14ac:dyDescent="0.25">
      <c r="D775" s="251"/>
      <c r="E775" s="251"/>
      <c r="F775" s="251"/>
      <c r="G775" s="251"/>
      <c r="J775" s="251"/>
    </row>
    <row r="776" spans="4:10" ht="15.75" customHeight="1" x14ac:dyDescent="0.25">
      <c r="D776" s="251"/>
      <c r="E776" s="251"/>
      <c r="F776" s="251"/>
      <c r="G776" s="251"/>
      <c r="J776" s="251"/>
    </row>
    <row r="777" spans="4:10" ht="15.75" customHeight="1" x14ac:dyDescent="0.25">
      <c r="D777" s="251"/>
      <c r="E777" s="251"/>
      <c r="F777" s="251"/>
      <c r="G777" s="251"/>
      <c r="J777" s="251"/>
    </row>
    <row r="778" spans="4:10" ht="15.75" customHeight="1" x14ac:dyDescent="0.25">
      <c r="D778" s="251"/>
      <c r="E778" s="251"/>
      <c r="F778" s="251"/>
      <c r="G778" s="251"/>
      <c r="J778" s="251"/>
    </row>
    <row r="779" spans="4:10" ht="15.75" customHeight="1" x14ac:dyDescent="0.25">
      <c r="D779" s="251"/>
      <c r="E779" s="251"/>
      <c r="F779" s="251"/>
      <c r="G779" s="251"/>
      <c r="J779" s="251"/>
    </row>
    <row r="780" spans="4:10" ht="15.75" customHeight="1" x14ac:dyDescent="0.25">
      <c r="D780" s="251"/>
      <c r="E780" s="251"/>
      <c r="F780" s="251"/>
      <c r="G780" s="251"/>
      <c r="J780" s="251"/>
    </row>
    <row r="781" spans="4:10" ht="15.75" customHeight="1" x14ac:dyDescent="0.25">
      <c r="D781" s="251"/>
      <c r="E781" s="251"/>
      <c r="F781" s="251"/>
      <c r="G781" s="251"/>
      <c r="J781" s="251"/>
    </row>
    <row r="782" spans="4:10" ht="15.75" customHeight="1" x14ac:dyDescent="0.25">
      <c r="D782" s="251"/>
      <c r="E782" s="251"/>
      <c r="F782" s="251"/>
      <c r="G782" s="251"/>
      <c r="J782" s="251"/>
    </row>
    <row r="783" spans="4:10" ht="15.75" customHeight="1" x14ac:dyDescent="0.25">
      <c r="D783" s="251"/>
      <c r="E783" s="251"/>
      <c r="F783" s="251"/>
      <c r="G783" s="251"/>
      <c r="J783" s="251"/>
    </row>
    <row r="784" spans="4:10" ht="15.75" customHeight="1" x14ac:dyDescent="0.25">
      <c r="D784" s="251"/>
      <c r="E784" s="251"/>
      <c r="F784" s="251"/>
      <c r="G784" s="251"/>
      <c r="J784" s="251"/>
    </row>
    <row r="785" spans="4:10" ht="15.75" customHeight="1" x14ac:dyDescent="0.25">
      <c r="D785" s="251"/>
      <c r="E785" s="251"/>
      <c r="F785" s="251"/>
      <c r="G785" s="251"/>
      <c r="J785" s="251"/>
    </row>
    <row r="786" spans="4:10" ht="15.75" customHeight="1" x14ac:dyDescent="0.25">
      <c r="D786" s="251"/>
      <c r="E786" s="251"/>
      <c r="F786" s="251"/>
      <c r="G786" s="251"/>
      <c r="J786" s="251"/>
    </row>
    <row r="787" spans="4:10" ht="15.75" customHeight="1" x14ac:dyDescent="0.25">
      <c r="D787" s="251"/>
      <c r="E787" s="251"/>
      <c r="F787" s="251"/>
      <c r="G787" s="251"/>
      <c r="J787" s="251"/>
    </row>
    <row r="788" spans="4:10" ht="15.75" customHeight="1" x14ac:dyDescent="0.25">
      <c r="D788" s="251"/>
      <c r="E788" s="251"/>
      <c r="F788" s="251"/>
      <c r="G788" s="251"/>
      <c r="J788" s="251"/>
    </row>
    <row r="789" spans="4:10" ht="15.75" customHeight="1" x14ac:dyDescent="0.25">
      <c r="D789" s="251"/>
      <c r="E789" s="251"/>
      <c r="F789" s="251"/>
      <c r="G789" s="251"/>
      <c r="J789" s="251"/>
    </row>
    <row r="790" spans="4:10" ht="15.75" customHeight="1" x14ac:dyDescent="0.25">
      <c r="D790" s="251"/>
      <c r="E790" s="251"/>
      <c r="F790" s="251"/>
      <c r="G790" s="251"/>
      <c r="J790" s="251"/>
    </row>
    <row r="791" spans="4:10" ht="15.75" customHeight="1" x14ac:dyDescent="0.25">
      <c r="D791" s="251"/>
      <c r="E791" s="251"/>
      <c r="F791" s="251"/>
      <c r="G791" s="251"/>
      <c r="J791" s="251"/>
    </row>
    <row r="792" spans="4:10" ht="15.75" customHeight="1" x14ac:dyDescent="0.25">
      <c r="D792" s="251"/>
      <c r="E792" s="251"/>
      <c r="F792" s="251"/>
      <c r="G792" s="251"/>
      <c r="J792" s="251"/>
    </row>
    <row r="793" spans="4:10" ht="15.75" customHeight="1" x14ac:dyDescent="0.25">
      <c r="D793" s="251"/>
      <c r="E793" s="251"/>
      <c r="F793" s="251"/>
      <c r="G793" s="251"/>
      <c r="J793" s="251"/>
    </row>
    <row r="794" spans="4:10" ht="15.75" customHeight="1" x14ac:dyDescent="0.25">
      <c r="D794" s="251"/>
      <c r="E794" s="251"/>
      <c r="F794" s="251"/>
      <c r="G794" s="251"/>
      <c r="J794" s="251"/>
    </row>
    <row r="795" spans="4:10" ht="15.75" customHeight="1" x14ac:dyDescent="0.25">
      <c r="D795" s="251"/>
      <c r="E795" s="251"/>
      <c r="F795" s="251"/>
      <c r="G795" s="251"/>
      <c r="J795" s="251"/>
    </row>
  </sheetData>
  <mergeCells count="4">
    <mergeCell ref="A5:K5"/>
    <mergeCell ref="A7:K7"/>
    <mergeCell ref="B9:G9"/>
    <mergeCell ref="I9:J9"/>
  </mergeCells>
  <pageMargins left="0.511811024" right="0.511811024" top="0.78740157499999996" bottom="0.78740157499999996" header="0" footer="0"/>
  <pageSetup paperSize="9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496AD-B8ED-4C9E-881D-352895503F34}">
  <sheetPr>
    <tabColor rgb="FF0070C0"/>
  </sheetPr>
  <dimension ref="A1:U797"/>
  <sheetViews>
    <sheetView showGridLines="0" topLeftCell="A4" workbookViewId="0">
      <selection activeCell="G23" sqref="G23"/>
    </sheetView>
  </sheetViews>
  <sheetFormatPr defaultColWidth="14.42578125" defaultRowHeight="15" customHeight="1" x14ac:dyDescent="0.25"/>
  <cols>
    <col min="1" max="1" width="12.28515625" customWidth="1"/>
    <col min="2" max="2" width="30.28515625" customWidth="1"/>
    <col min="3" max="3" width="32.28515625" bestFit="1" customWidth="1"/>
    <col min="4" max="4" width="15.7109375" style="723" bestFit="1" customWidth="1"/>
    <col min="5" max="7" width="16.7109375" customWidth="1"/>
    <col min="8" max="8" width="14.28515625" customWidth="1"/>
    <col min="9" max="10" width="20.7109375" customWidth="1"/>
    <col min="11" max="11" width="27" customWidth="1"/>
    <col min="12" max="21" width="8.7109375" customWidth="1"/>
  </cols>
  <sheetData>
    <row r="1" spans="1:21" ht="15" customHeight="1" x14ac:dyDescent="0.25">
      <c r="A1" s="214" t="s">
        <v>0</v>
      </c>
      <c r="B1" s="712" t="str">
        <f>DADOS_INICIAIS!B1</f>
        <v>MONOLYT</v>
      </c>
      <c r="C1" s="400"/>
      <c r="D1" s="714"/>
      <c r="E1" s="401"/>
      <c r="F1" s="401"/>
      <c r="G1" s="401"/>
      <c r="H1" s="402"/>
      <c r="I1" s="402"/>
      <c r="J1" s="401"/>
      <c r="K1" s="403"/>
    </row>
    <row r="2" spans="1:21" ht="15" customHeight="1" x14ac:dyDescent="0.25">
      <c r="A2" s="219" t="s">
        <v>113</v>
      </c>
      <c r="B2" s="399" t="str">
        <f>DADOS_INICIAIS!B2</f>
        <v>BLUE HEAVEN</v>
      </c>
      <c r="C2" s="405"/>
      <c r="D2" s="715"/>
      <c r="E2" s="406"/>
      <c r="F2" s="406"/>
      <c r="G2" s="406"/>
      <c r="H2" s="407"/>
      <c r="I2" s="407"/>
      <c r="J2" s="406"/>
      <c r="K2" s="408"/>
    </row>
    <row r="3" spans="1:21" ht="15" customHeight="1" x14ac:dyDescent="0.25">
      <c r="A3" s="219" t="s">
        <v>1</v>
      </c>
      <c r="B3" s="404" t="s">
        <v>161</v>
      </c>
      <c r="C3" s="405"/>
      <c r="D3" s="715"/>
      <c r="E3" s="406"/>
      <c r="F3" s="406"/>
      <c r="G3" s="406"/>
      <c r="H3" s="407"/>
      <c r="I3" s="407"/>
      <c r="J3" s="406"/>
      <c r="K3" s="408"/>
    </row>
    <row r="4" spans="1:21" ht="15" customHeight="1" x14ac:dyDescent="0.25">
      <c r="A4" s="409" t="s">
        <v>160</v>
      </c>
      <c r="B4" s="713">
        <v>45447</v>
      </c>
      <c r="C4" s="405"/>
      <c r="D4" s="716"/>
      <c r="E4" s="411"/>
      <c r="F4" s="411"/>
      <c r="G4" s="411"/>
      <c r="H4" s="412"/>
      <c r="I4" s="412"/>
      <c r="J4" s="411"/>
      <c r="K4" s="408"/>
    </row>
    <row r="5" spans="1:21" ht="26.25" customHeight="1" x14ac:dyDescent="0.25">
      <c r="A5" s="1061" t="s">
        <v>283</v>
      </c>
      <c r="B5" s="1062"/>
      <c r="C5" s="1062"/>
      <c r="D5" s="1062"/>
      <c r="E5" s="1062"/>
      <c r="F5" s="1062"/>
      <c r="G5" s="1062"/>
      <c r="H5" s="1062"/>
      <c r="I5" s="1062"/>
      <c r="J5" s="1062"/>
      <c r="K5" s="1063"/>
    </row>
    <row r="6" spans="1:21" ht="14.25" customHeight="1" x14ac:dyDescent="0.25">
      <c r="A6" s="284"/>
      <c r="B6" s="289"/>
      <c r="C6" s="289"/>
      <c r="D6" s="717"/>
      <c r="E6" s="413"/>
      <c r="F6" s="413"/>
      <c r="G6" s="413"/>
      <c r="H6" s="289"/>
      <c r="I6" s="289"/>
      <c r="J6" s="413"/>
      <c r="K6" s="285"/>
    </row>
    <row r="7" spans="1:21" ht="26.25" customHeight="1" x14ac:dyDescent="0.25">
      <c r="A7" s="1064" t="s">
        <v>543</v>
      </c>
      <c r="B7" s="1062"/>
      <c r="C7" s="1062"/>
      <c r="D7" s="1062"/>
      <c r="E7" s="1062"/>
      <c r="F7" s="1062"/>
      <c r="G7" s="1062"/>
      <c r="H7" s="1062"/>
      <c r="I7" s="1062"/>
      <c r="J7" s="1062"/>
      <c r="K7" s="1063"/>
    </row>
    <row r="8" spans="1:21" ht="14.25" customHeight="1" thickBot="1" x14ac:dyDescent="0.3">
      <c r="A8" s="284"/>
      <c r="B8" s="289"/>
      <c r="C8" s="289"/>
      <c r="D8" s="717"/>
      <c r="E8" s="413"/>
      <c r="F8" s="413"/>
      <c r="G8" s="413"/>
      <c r="H8" s="289"/>
      <c r="I8" s="289"/>
      <c r="J8" s="413"/>
      <c r="K8" s="285"/>
      <c r="L8" s="289"/>
      <c r="M8" s="289"/>
      <c r="N8" s="289"/>
      <c r="O8" s="289"/>
      <c r="P8" s="289"/>
      <c r="Q8" s="289"/>
      <c r="R8" s="289"/>
      <c r="S8" s="289"/>
      <c r="T8" s="289"/>
      <c r="U8" s="289"/>
    </row>
    <row r="9" spans="1:21" s="189" customFormat="1" ht="14.25" customHeight="1" thickBot="1" x14ac:dyDescent="0.3">
      <c r="A9" s="724"/>
      <c r="B9" s="1125" t="s">
        <v>521</v>
      </c>
      <c r="C9" s="1126"/>
      <c r="D9" s="1126"/>
      <c r="E9" s="1126"/>
      <c r="F9" s="1126"/>
      <c r="G9" s="1127"/>
      <c r="H9" s="725"/>
      <c r="I9" s="1125" t="s">
        <v>543</v>
      </c>
      <c r="J9" s="1127"/>
      <c r="K9" s="726"/>
    </row>
    <row r="10" spans="1:21" ht="14.25" customHeight="1" x14ac:dyDescent="0.25">
      <c r="A10" s="284"/>
      <c r="B10" s="414" t="s">
        <v>522</v>
      </c>
      <c r="C10" s="415" t="s">
        <v>535</v>
      </c>
      <c r="D10" s="435" t="s">
        <v>1131</v>
      </c>
      <c r="E10" s="417" t="s">
        <v>524</v>
      </c>
      <c r="F10" s="727" t="s">
        <v>1124</v>
      </c>
      <c r="G10" s="418" t="s">
        <v>520</v>
      </c>
      <c r="H10" s="289"/>
      <c r="I10" s="234" t="s">
        <v>538</v>
      </c>
      <c r="J10" s="418" t="s">
        <v>520</v>
      </c>
      <c r="K10" s="285"/>
    </row>
    <row r="11" spans="1:21" ht="14.25" customHeight="1" x14ac:dyDescent="0.25">
      <c r="A11" s="284"/>
      <c r="B11" s="419" t="s">
        <v>1123</v>
      </c>
      <c r="C11" s="420" t="s">
        <v>1120</v>
      </c>
      <c r="D11" s="718">
        <f>318.04*1.1</f>
        <v>349.84400000000005</v>
      </c>
      <c r="E11" s="422">
        <v>1</v>
      </c>
      <c r="F11" s="729">
        <v>2100</v>
      </c>
      <c r="G11" s="423">
        <f>D11*E11*F11</f>
        <v>734672.40000000014</v>
      </c>
      <c r="H11" s="289" t="s">
        <v>1129</v>
      </c>
      <c r="I11" s="439" t="str" cm="1">
        <f t="array" ref="I11:I14">_xlfn.UNIQUE(C11:C17)</f>
        <v>GUARDA CORPO VIDRO H=1,10m</v>
      </c>
      <c r="J11" s="424">
        <f>SUMIF(C:C,I11,G:G)</f>
        <v>734672.40000000014</v>
      </c>
      <c r="K11" s="285"/>
    </row>
    <row r="12" spans="1:21" ht="14.25" customHeight="1" x14ac:dyDescent="0.25">
      <c r="A12" s="737"/>
      <c r="B12" s="758" t="s">
        <v>1122</v>
      </c>
      <c r="C12" s="759" t="s">
        <v>1121</v>
      </c>
      <c r="D12" s="760">
        <f>171.45*1.1*1.1</f>
        <v>207.45450000000002</v>
      </c>
      <c r="E12" s="761">
        <v>1</v>
      </c>
      <c r="F12" s="762">
        <v>2100</v>
      </c>
      <c r="G12" s="763">
        <f t="shared" ref="G12:G14" si="0">D12*E12*F12</f>
        <v>435654.45000000007</v>
      </c>
      <c r="H12" s="738"/>
      <c r="I12" s="442" t="str">
        <v>CORRIMÃO VIDRO+VERTICAL H=1,1m</v>
      </c>
      <c r="J12" s="429">
        <f>SUMIF(C:C,I12,G:G)</f>
        <v>435654.45000000007</v>
      </c>
      <c r="K12" s="285"/>
    </row>
    <row r="13" spans="1:21" ht="14.25" customHeight="1" x14ac:dyDescent="0.25">
      <c r="A13" s="284"/>
      <c r="B13" s="425" t="s">
        <v>1147</v>
      </c>
      <c r="C13" s="426" t="s">
        <v>1146</v>
      </c>
      <c r="D13" s="719">
        <v>121.23</v>
      </c>
      <c r="E13" s="428">
        <v>1</v>
      </c>
      <c r="F13" s="729">
        <v>150</v>
      </c>
      <c r="G13" s="429">
        <f t="shared" si="0"/>
        <v>18184.5</v>
      </c>
      <c r="H13" s="289" t="s">
        <v>1132</v>
      </c>
      <c r="I13" s="442" t="str">
        <v>CORRIMÃO ESCADAS</v>
      </c>
      <c r="J13" s="429">
        <f>SUMIF(C:C,I13,G:G)</f>
        <v>18184.5</v>
      </c>
      <c r="K13" s="285"/>
    </row>
    <row r="14" spans="1:21" ht="14.25" customHeight="1" x14ac:dyDescent="0.25">
      <c r="A14" s="284"/>
      <c r="B14" s="425"/>
      <c r="C14" s="426"/>
      <c r="D14" s="719"/>
      <c r="E14" s="428"/>
      <c r="F14" s="729"/>
      <c r="G14" s="429">
        <f t="shared" si="0"/>
        <v>0</v>
      </c>
      <c r="H14" s="289"/>
      <c r="I14" s="442">
        <v>0</v>
      </c>
      <c r="J14" s="429">
        <f>SUMIF(C:C,I14,G:G)</f>
        <v>0</v>
      </c>
      <c r="K14" s="285"/>
    </row>
    <row r="15" spans="1:21" ht="14.25" customHeight="1" x14ac:dyDescent="0.25">
      <c r="A15" s="284"/>
      <c r="B15" s="425"/>
      <c r="C15" s="426"/>
      <c r="D15" s="719"/>
      <c r="E15" s="428"/>
      <c r="F15" s="729"/>
      <c r="G15" s="429">
        <f t="shared" ref="G15:G17" si="1">D15*E15</f>
        <v>0</v>
      </c>
      <c r="H15" s="289"/>
      <c r="I15" s="442"/>
      <c r="J15" s="429"/>
      <c r="K15" s="285"/>
    </row>
    <row r="16" spans="1:21" ht="14.25" customHeight="1" x14ac:dyDescent="0.25">
      <c r="A16" s="284"/>
      <c r="B16" s="425"/>
      <c r="C16" s="426"/>
      <c r="D16" s="719"/>
      <c r="E16" s="428"/>
      <c r="F16" s="729"/>
      <c r="G16" s="429">
        <f t="shared" si="1"/>
        <v>0</v>
      </c>
      <c r="H16" s="289"/>
      <c r="I16" s="442"/>
      <c r="J16" s="429"/>
      <c r="K16" s="285"/>
    </row>
    <row r="17" spans="1:11" ht="14.25" customHeight="1" x14ac:dyDescent="0.25">
      <c r="A17" s="284"/>
      <c r="B17" s="432"/>
      <c r="C17" s="433"/>
      <c r="D17" s="720"/>
      <c r="E17" s="428"/>
      <c r="F17" s="729"/>
      <c r="G17" s="429">
        <f t="shared" si="1"/>
        <v>0</v>
      </c>
      <c r="H17" s="289"/>
      <c r="I17" s="442"/>
      <c r="J17" s="429"/>
      <c r="K17" s="285"/>
    </row>
    <row r="18" spans="1:11" ht="14.25" customHeight="1" x14ac:dyDescent="0.25">
      <c r="A18" s="284"/>
      <c r="B18" s="305"/>
      <c r="C18" s="305"/>
      <c r="D18" s="721"/>
      <c r="E18" s="251"/>
      <c r="F18" s="251"/>
      <c r="G18" s="251"/>
      <c r="H18" s="289"/>
      <c r="I18" s="305"/>
      <c r="J18" s="251"/>
      <c r="K18" s="285"/>
    </row>
    <row r="19" spans="1:11" ht="14.25" customHeight="1" x14ac:dyDescent="0.25">
      <c r="A19" s="284"/>
      <c r="B19" s="305"/>
      <c r="C19" s="305"/>
      <c r="D19" s="721"/>
      <c r="E19" s="251"/>
      <c r="F19" s="251"/>
      <c r="G19" s="251"/>
      <c r="H19" s="289"/>
      <c r="I19" s="305"/>
      <c r="J19" s="251">
        <f>SUM(J11:J17)*1.1</f>
        <v>1307362.4850000001</v>
      </c>
      <c r="K19" s="285"/>
    </row>
    <row r="20" spans="1:11" ht="14.25" customHeight="1" x14ac:dyDescent="0.25">
      <c r="A20" s="284"/>
      <c r="B20" s="305"/>
      <c r="C20" s="305"/>
      <c r="D20" s="721"/>
      <c r="E20" s="251"/>
      <c r="F20" s="251"/>
      <c r="G20" s="251"/>
      <c r="H20" s="289"/>
      <c r="I20" s="305"/>
      <c r="J20" s="251"/>
      <c r="K20" s="285"/>
    </row>
    <row r="21" spans="1:11" ht="14.25" customHeight="1" thickBot="1" x14ac:dyDescent="0.3">
      <c r="A21" s="297"/>
      <c r="B21" s="449"/>
      <c r="C21" s="449"/>
      <c r="D21" s="722"/>
      <c r="E21" s="450"/>
      <c r="F21" s="450"/>
      <c r="G21" s="450"/>
      <c r="H21" s="298"/>
      <c r="I21" s="449"/>
      <c r="J21" s="450"/>
      <c r="K21" s="299"/>
    </row>
    <row r="22" spans="1:11" ht="14.25" customHeight="1" x14ac:dyDescent="0.25">
      <c r="A22" s="289"/>
      <c r="D22" s="721"/>
      <c r="E22" s="251"/>
      <c r="F22" s="251"/>
      <c r="G22" s="251"/>
      <c r="H22" s="289"/>
      <c r="J22" s="251"/>
      <c r="K22" s="289"/>
    </row>
    <row r="23" spans="1:11" ht="14.25" customHeight="1" x14ac:dyDescent="0.25">
      <c r="A23" s="289"/>
      <c r="D23" s="721"/>
      <c r="E23" s="251"/>
      <c r="F23" s="251"/>
      <c r="G23" s="251"/>
      <c r="H23" s="289"/>
      <c r="J23" s="251"/>
      <c r="K23" s="289"/>
    </row>
    <row r="24" spans="1:11" ht="14.25" customHeight="1" x14ac:dyDescent="0.25">
      <c r="A24" s="289"/>
      <c r="D24" s="721"/>
      <c r="E24" s="251"/>
      <c r="F24" s="251"/>
      <c r="G24" s="251"/>
      <c r="H24" s="289"/>
      <c r="J24" s="251"/>
      <c r="K24" s="289"/>
    </row>
    <row r="25" spans="1:11" ht="14.25" customHeight="1" x14ac:dyDescent="0.25">
      <c r="A25" s="289"/>
      <c r="D25" s="721"/>
      <c r="E25" s="251"/>
      <c r="F25" s="251"/>
      <c r="G25" s="251"/>
      <c r="H25" s="289"/>
      <c r="J25" s="251"/>
      <c r="K25" s="289"/>
    </row>
    <row r="26" spans="1:11" ht="14.25" customHeight="1" x14ac:dyDescent="0.25">
      <c r="A26" s="289"/>
      <c r="D26" s="721"/>
      <c r="E26" s="251"/>
      <c r="F26" s="251"/>
      <c r="G26" s="251"/>
      <c r="H26" s="289"/>
      <c r="J26" s="251"/>
      <c r="K26" s="289"/>
    </row>
    <row r="27" spans="1:11" ht="14.25" customHeight="1" x14ac:dyDescent="0.25">
      <c r="A27" s="289"/>
      <c r="D27" s="721"/>
      <c r="E27" s="251"/>
      <c r="F27" s="251"/>
      <c r="G27" s="251"/>
      <c r="H27" s="289"/>
      <c r="J27" s="251"/>
      <c r="K27" s="289"/>
    </row>
    <row r="28" spans="1:11" ht="14.25" customHeight="1" x14ac:dyDescent="0.25">
      <c r="A28" s="289"/>
      <c r="D28" s="721"/>
      <c r="E28" s="251"/>
      <c r="F28" s="251"/>
      <c r="G28" s="251"/>
      <c r="H28" s="289"/>
      <c r="J28" s="251"/>
      <c r="K28" s="289"/>
    </row>
    <row r="29" spans="1:11" ht="14.25" customHeight="1" x14ac:dyDescent="0.25">
      <c r="A29" s="289"/>
      <c r="D29" s="721"/>
      <c r="E29" s="251"/>
      <c r="F29" s="251"/>
      <c r="G29" s="251"/>
      <c r="H29" s="289"/>
      <c r="J29" s="251"/>
      <c r="K29" s="289"/>
    </row>
    <row r="30" spans="1:11" ht="14.25" customHeight="1" x14ac:dyDescent="0.25">
      <c r="A30" s="289"/>
      <c r="D30" s="721"/>
      <c r="E30" s="251"/>
      <c r="F30" s="251"/>
      <c r="G30" s="251"/>
      <c r="H30" s="289"/>
      <c r="J30" s="251"/>
      <c r="K30" s="289"/>
    </row>
    <row r="31" spans="1:11" ht="14.25" customHeight="1" x14ac:dyDescent="0.25">
      <c r="A31" s="289"/>
      <c r="D31" s="721"/>
      <c r="E31" s="251"/>
      <c r="F31" s="251"/>
      <c r="G31" s="251"/>
      <c r="H31" s="289"/>
      <c r="J31" s="251"/>
      <c r="K31" s="289"/>
    </row>
    <row r="32" spans="1:11" ht="14.25" customHeight="1" x14ac:dyDescent="0.25">
      <c r="A32" s="289"/>
      <c r="D32" s="721"/>
      <c r="E32" s="251"/>
      <c r="F32" s="251"/>
      <c r="G32" s="251"/>
      <c r="H32" s="289"/>
      <c r="J32" s="251"/>
      <c r="K32" s="289"/>
    </row>
    <row r="33" spans="1:11" ht="14.25" customHeight="1" x14ac:dyDescent="0.25">
      <c r="A33" s="289"/>
      <c r="D33" s="721"/>
      <c r="E33" s="251"/>
      <c r="F33" s="251"/>
      <c r="G33" s="251"/>
      <c r="H33" s="289"/>
      <c r="J33" s="251"/>
      <c r="K33" s="289"/>
    </row>
    <row r="34" spans="1:11" ht="14.25" customHeight="1" x14ac:dyDescent="0.25">
      <c r="A34" s="289"/>
      <c r="D34" s="721"/>
      <c r="E34" s="251"/>
      <c r="F34" s="251"/>
      <c r="G34" s="251"/>
      <c r="H34" s="289"/>
      <c r="J34" s="251"/>
      <c r="K34" s="289"/>
    </row>
    <row r="35" spans="1:11" ht="14.25" customHeight="1" x14ac:dyDescent="0.25">
      <c r="A35" s="289"/>
      <c r="D35" s="721"/>
      <c r="E35" s="251"/>
      <c r="F35" s="251"/>
      <c r="G35" s="251"/>
      <c r="H35" s="289"/>
      <c r="J35" s="251"/>
      <c r="K35" s="289"/>
    </row>
    <row r="36" spans="1:11" ht="14.25" customHeight="1" x14ac:dyDescent="0.25">
      <c r="A36" s="289"/>
      <c r="D36" s="721"/>
      <c r="E36" s="251"/>
      <c r="F36" s="251"/>
      <c r="G36" s="251"/>
      <c r="H36" s="289"/>
      <c r="J36" s="251"/>
      <c r="K36" s="289"/>
    </row>
    <row r="37" spans="1:11" ht="14.25" customHeight="1" x14ac:dyDescent="0.25">
      <c r="A37" s="289"/>
      <c r="D37" s="721"/>
      <c r="E37" s="251"/>
      <c r="F37" s="251"/>
      <c r="G37" s="251"/>
      <c r="H37" s="289"/>
      <c r="J37" s="251"/>
      <c r="K37" s="289"/>
    </row>
    <row r="38" spans="1:11" ht="14.25" customHeight="1" x14ac:dyDescent="0.25">
      <c r="A38" s="289"/>
      <c r="D38" s="721"/>
      <c r="E38" s="251"/>
      <c r="F38" s="251"/>
      <c r="G38" s="251"/>
      <c r="H38" s="289"/>
      <c r="J38" s="251"/>
      <c r="K38" s="289"/>
    </row>
    <row r="39" spans="1:11" ht="14.25" customHeight="1" x14ac:dyDescent="0.25">
      <c r="A39" s="289"/>
      <c r="D39" s="721"/>
      <c r="E39" s="251"/>
      <c r="F39" s="251"/>
      <c r="G39" s="251"/>
      <c r="H39" s="289"/>
      <c r="J39" s="251"/>
      <c r="K39" s="289"/>
    </row>
    <row r="40" spans="1:11" ht="14.25" customHeight="1" x14ac:dyDescent="0.25">
      <c r="A40" s="289"/>
      <c r="D40" s="721"/>
      <c r="E40" s="251"/>
      <c r="F40" s="251"/>
      <c r="G40" s="251"/>
      <c r="H40" s="289"/>
      <c r="J40" s="251"/>
      <c r="K40" s="289"/>
    </row>
    <row r="41" spans="1:11" ht="14.25" customHeight="1" x14ac:dyDescent="0.25">
      <c r="A41" s="289"/>
      <c r="D41" s="721"/>
      <c r="E41" s="251"/>
      <c r="F41" s="251"/>
      <c r="G41" s="251"/>
      <c r="H41" s="289"/>
      <c r="J41" s="251"/>
      <c r="K41" s="289"/>
    </row>
    <row r="42" spans="1:11" ht="14.25" customHeight="1" x14ac:dyDescent="0.25">
      <c r="A42" s="289"/>
      <c r="D42" s="721"/>
      <c r="E42" s="251"/>
      <c r="F42" s="251"/>
      <c r="G42" s="251"/>
      <c r="H42" s="289"/>
      <c r="J42" s="251"/>
      <c r="K42" s="289"/>
    </row>
    <row r="43" spans="1:11" ht="14.25" customHeight="1" x14ac:dyDescent="0.25">
      <c r="A43" s="289"/>
      <c r="D43" s="721"/>
      <c r="E43" s="251"/>
      <c r="F43" s="251"/>
      <c r="G43" s="251"/>
      <c r="H43" s="289"/>
      <c r="J43" s="251"/>
      <c r="K43" s="289"/>
    </row>
    <row r="44" spans="1:11" ht="14.25" customHeight="1" x14ac:dyDescent="0.25">
      <c r="A44" s="289"/>
      <c r="D44" s="721"/>
      <c r="E44" s="251"/>
      <c r="F44" s="251"/>
      <c r="G44" s="251"/>
      <c r="H44" s="289"/>
      <c r="J44" s="251"/>
      <c r="K44" s="289"/>
    </row>
    <row r="45" spans="1:11" ht="14.25" customHeight="1" x14ac:dyDescent="0.25">
      <c r="A45" s="289"/>
      <c r="D45" s="721"/>
      <c r="E45" s="251"/>
      <c r="F45" s="251"/>
      <c r="G45" s="251"/>
      <c r="H45" s="289"/>
      <c r="J45" s="251"/>
      <c r="K45" s="289"/>
    </row>
    <row r="46" spans="1:11" ht="14.25" customHeight="1" x14ac:dyDescent="0.25">
      <c r="A46" s="289"/>
      <c r="D46" s="721"/>
      <c r="E46" s="251"/>
      <c r="F46" s="251"/>
      <c r="G46" s="251"/>
      <c r="H46" s="289"/>
      <c r="J46" s="251"/>
      <c r="K46" s="289"/>
    </row>
    <row r="47" spans="1:11" ht="14.25" customHeight="1" x14ac:dyDescent="0.25">
      <c r="A47" s="289"/>
      <c r="D47" s="721"/>
      <c r="E47" s="251"/>
      <c r="F47" s="251"/>
      <c r="G47" s="251"/>
      <c r="H47" s="289"/>
      <c r="J47" s="251"/>
      <c r="K47" s="289"/>
    </row>
    <row r="48" spans="1:11" ht="14.25" customHeight="1" x14ac:dyDescent="0.25">
      <c r="A48" s="289"/>
      <c r="D48" s="721"/>
      <c r="E48" s="251"/>
      <c r="F48" s="251"/>
      <c r="G48" s="251"/>
      <c r="H48" s="289"/>
      <c r="J48" s="251"/>
      <c r="K48" s="289"/>
    </row>
    <row r="49" spans="1:11" ht="14.25" customHeight="1" x14ac:dyDescent="0.25">
      <c r="A49" s="289"/>
      <c r="D49" s="721"/>
      <c r="E49" s="251"/>
      <c r="F49" s="251"/>
      <c r="G49" s="251"/>
      <c r="H49" s="289"/>
      <c r="J49" s="251"/>
      <c r="K49" s="289"/>
    </row>
    <row r="50" spans="1:11" ht="14.25" customHeight="1" x14ac:dyDescent="0.25">
      <c r="A50" s="289"/>
      <c r="D50" s="721"/>
      <c r="E50" s="251"/>
      <c r="F50" s="251"/>
      <c r="G50" s="251"/>
      <c r="H50" s="289"/>
      <c r="J50" s="251"/>
      <c r="K50" s="289"/>
    </row>
    <row r="51" spans="1:11" ht="14.25" customHeight="1" x14ac:dyDescent="0.25">
      <c r="A51" s="289"/>
      <c r="D51" s="721"/>
      <c r="E51" s="251"/>
      <c r="F51" s="251"/>
      <c r="G51" s="251"/>
      <c r="H51" s="289"/>
      <c r="J51" s="251"/>
      <c r="K51" s="289"/>
    </row>
    <row r="52" spans="1:11" ht="14.25" customHeight="1" x14ac:dyDescent="0.25">
      <c r="A52" s="289"/>
      <c r="D52" s="721"/>
      <c r="E52" s="251"/>
      <c r="F52" s="251"/>
      <c r="G52" s="251"/>
      <c r="H52" s="289"/>
      <c r="J52" s="251"/>
      <c r="K52" s="289"/>
    </row>
    <row r="53" spans="1:11" ht="14.25" customHeight="1" x14ac:dyDescent="0.25">
      <c r="A53" s="289"/>
      <c r="D53" s="721"/>
      <c r="E53" s="251"/>
      <c r="F53" s="251"/>
      <c r="G53" s="251"/>
      <c r="H53" s="289"/>
      <c r="J53" s="251"/>
      <c r="K53" s="289"/>
    </row>
    <row r="54" spans="1:11" ht="14.25" customHeight="1" x14ac:dyDescent="0.25">
      <c r="A54" s="289"/>
      <c r="D54" s="721"/>
      <c r="E54" s="251"/>
      <c r="F54" s="251"/>
      <c r="G54" s="251"/>
      <c r="H54" s="289"/>
      <c r="J54" s="251"/>
      <c r="K54" s="289"/>
    </row>
    <row r="55" spans="1:11" ht="14.25" customHeight="1" x14ac:dyDescent="0.25">
      <c r="A55" s="289"/>
      <c r="D55" s="721"/>
      <c r="E55" s="251"/>
      <c r="F55" s="251"/>
      <c r="G55" s="251"/>
      <c r="H55" s="289"/>
      <c r="J55" s="251"/>
      <c r="K55" s="289"/>
    </row>
    <row r="56" spans="1:11" ht="14.25" customHeight="1" x14ac:dyDescent="0.25">
      <c r="A56" s="289"/>
      <c r="D56" s="721"/>
      <c r="E56" s="251"/>
      <c r="F56" s="251"/>
      <c r="G56" s="251"/>
      <c r="H56" s="289"/>
      <c r="J56" s="251"/>
      <c r="K56" s="289"/>
    </row>
    <row r="57" spans="1:11" ht="14.25" customHeight="1" x14ac:dyDescent="0.25">
      <c r="A57" s="289"/>
      <c r="D57" s="721"/>
      <c r="E57" s="251"/>
      <c r="F57" s="251"/>
      <c r="G57" s="251"/>
      <c r="H57" s="289"/>
      <c r="J57" s="251"/>
      <c r="K57" s="289"/>
    </row>
    <row r="58" spans="1:11" ht="14.25" customHeight="1" x14ac:dyDescent="0.25">
      <c r="A58" s="289"/>
      <c r="D58" s="721"/>
      <c r="E58" s="251"/>
      <c r="F58" s="251"/>
      <c r="G58" s="251"/>
      <c r="H58" s="289"/>
      <c r="J58" s="251"/>
      <c r="K58" s="289"/>
    </row>
    <row r="59" spans="1:11" ht="14.25" customHeight="1" x14ac:dyDescent="0.25">
      <c r="A59" s="289"/>
      <c r="D59" s="721"/>
      <c r="E59" s="251"/>
      <c r="F59" s="251"/>
      <c r="G59" s="251"/>
      <c r="H59" s="289"/>
      <c r="J59" s="251"/>
      <c r="K59" s="289"/>
    </row>
    <row r="60" spans="1:11" ht="14.25" customHeight="1" x14ac:dyDescent="0.25">
      <c r="A60" s="289"/>
      <c r="D60" s="721"/>
      <c r="E60" s="251"/>
      <c r="F60" s="251"/>
      <c r="G60" s="251"/>
      <c r="H60" s="289"/>
      <c r="J60" s="251"/>
      <c r="K60" s="289"/>
    </row>
    <row r="61" spans="1:11" ht="14.25" customHeight="1" x14ac:dyDescent="0.25">
      <c r="A61" s="289"/>
      <c r="D61" s="721"/>
      <c r="E61" s="251"/>
      <c r="F61" s="251"/>
      <c r="G61" s="251"/>
      <c r="H61" s="289"/>
      <c r="J61" s="251"/>
      <c r="K61" s="289"/>
    </row>
    <row r="62" spans="1:11" ht="14.25" customHeight="1" x14ac:dyDescent="0.25">
      <c r="A62" s="289"/>
      <c r="D62" s="721"/>
      <c r="E62" s="251"/>
      <c r="F62" s="251"/>
      <c r="G62" s="251"/>
      <c r="H62" s="289"/>
      <c r="J62" s="251"/>
      <c r="K62" s="289"/>
    </row>
    <row r="63" spans="1:11" ht="14.25" customHeight="1" x14ac:dyDescent="0.25">
      <c r="A63" s="289"/>
      <c r="D63" s="721"/>
      <c r="E63" s="251"/>
      <c r="F63" s="251"/>
      <c r="G63" s="251"/>
      <c r="H63" s="289"/>
      <c r="J63" s="251"/>
      <c r="K63" s="289"/>
    </row>
    <row r="64" spans="1:11" ht="14.25" customHeight="1" x14ac:dyDescent="0.25">
      <c r="A64" s="289"/>
      <c r="D64" s="721"/>
      <c r="E64" s="251"/>
      <c r="F64" s="251"/>
      <c r="G64" s="251"/>
      <c r="H64" s="289"/>
      <c r="J64" s="251"/>
      <c r="K64" s="289"/>
    </row>
    <row r="65" spans="1:11" ht="14.25" customHeight="1" x14ac:dyDescent="0.25">
      <c r="A65" s="289"/>
      <c r="D65" s="721"/>
      <c r="E65" s="251"/>
      <c r="F65" s="251"/>
      <c r="G65" s="251"/>
      <c r="H65" s="289"/>
      <c r="J65" s="251"/>
      <c r="K65" s="289"/>
    </row>
    <row r="66" spans="1:11" ht="14.25" customHeight="1" x14ac:dyDescent="0.25">
      <c r="A66" s="289"/>
      <c r="D66" s="721"/>
      <c r="E66" s="251"/>
      <c r="F66" s="251"/>
      <c r="G66" s="251"/>
      <c r="H66" s="289"/>
      <c r="J66" s="251"/>
      <c r="K66" s="289"/>
    </row>
    <row r="67" spans="1:11" ht="14.25" customHeight="1" x14ac:dyDescent="0.25">
      <c r="A67" s="289"/>
      <c r="D67" s="721"/>
      <c r="E67" s="251"/>
      <c r="F67" s="251"/>
      <c r="G67" s="251"/>
      <c r="H67" s="289"/>
      <c r="J67" s="251"/>
      <c r="K67" s="289"/>
    </row>
    <row r="68" spans="1:11" ht="14.25" customHeight="1" x14ac:dyDescent="0.25">
      <c r="A68" s="289"/>
      <c r="D68" s="721"/>
      <c r="E68" s="251"/>
      <c r="F68" s="251"/>
      <c r="G68" s="251"/>
      <c r="H68" s="289"/>
      <c r="J68" s="251"/>
      <c r="K68" s="289"/>
    </row>
    <row r="69" spans="1:11" ht="14.25" customHeight="1" x14ac:dyDescent="0.25">
      <c r="A69" s="289"/>
      <c r="D69" s="721"/>
      <c r="E69" s="251"/>
      <c r="F69" s="251"/>
      <c r="G69" s="251"/>
      <c r="H69" s="289"/>
      <c r="J69" s="251"/>
      <c r="K69" s="289"/>
    </row>
    <row r="70" spans="1:11" ht="14.25" customHeight="1" x14ac:dyDescent="0.25">
      <c r="A70" s="289"/>
      <c r="D70" s="721"/>
      <c r="E70" s="251"/>
      <c r="F70" s="251"/>
      <c r="G70" s="251"/>
      <c r="H70" s="289"/>
      <c r="J70" s="251"/>
      <c r="K70" s="289"/>
    </row>
    <row r="71" spans="1:11" ht="14.25" customHeight="1" x14ac:dyDescent="0.25">
      <c r="A71" s="289"/>
      <c r="D71" s="721"/>
      <c r="E71" s="251"/>
      <c r="F71" s="251"/>
      <c r="G71" s="251"/>
      <c r="H71" s="289"/>
      <c r="J71" s="251"/>
      <c r="K71" s="289"/>
    </row>
    <row r="72" spans="1:11" ht="14.25" customHeight="1" x14ac:dyDescent="0.25">
      <c r="A72" s="289"/>
      <c r="D72" s="721"/>
      <c r="E72" s="251"/>
      <c r="F72" s="251"/>
      <c r="G72" s="251"/>
      <c r="H72" s="289"/>
      <c r="J72" s="251"/>
      <c r="K72" s="289"/>
    </row>
    <row r="73" spans="1:11" ht="14.25" customHeight="1" x14ac:dyDescent="0.25">
      <c r="A73" s="289"/>
      <c r="D73" s="721"/>
      <c r="E73" s="251"/>
      <c r="F73" s="251"/>
      <c r="G73" s="251"/>
      <c r="H73" s="289"/>
      <c r="J73" s="251"/>
      <c r="K73" s="289"/>
    </row>
    <row r="74" spans="1:11" ht="14.25" customHeight="1" x14ac:dyDescent="0.25">
      <c r="A74" s="289"/>
      <c r="D74" s="721"/>
      <c r="E74" s="251"/>
      <c r="F74" s="251"/>
      <c r="G74" s="251"/>
      <c r="H74" s="289"/>
      <c r="J74" s="251"/>
      <c r="K74" s="289"/>
    </row>
    <row r="75" spans="1:11" ht="14.25" customHeight="1" x14ac:dyDescent="0.25">
      <c r="A75" s="289"/>
      <c r="D75" s="721"/>
      <c r="E75" s="251"/>
      <c r="F75" s="251"/>
      <c r="G75" s="251"/>
      <c r="H75" s="289"/>
      <c r="J75" s="251"/>
      <c r="K75" s="289"/>
    </row>
    <row r="76" spans="1:11" ht="14.25" customHeight="1" x14ac:dyDescent="0.25">
      <c r="A76" s="289"/>
      <c r="D76" s="721"/>
      <c r="E76" s="251"/>
      <c r="F76" s="251"/>
      <c r="G76" s="251"/>
      <c r="H76" s="289"/>
      <c r="J76" s="251"/>
      <c r="K76" s="289"/>
    </row>
    <row r="77" spans="1:11" ht="14.25" customHeight="1" x14ac:dyDescent="0.25">
      <c r="A77" s="289"/>
      <c r="D77" s="721"/>
      <c r="E77" s="251"/>
      <c r="F77" s="251"/>
      <c r="G77" s="251"/>
      <c r="H77" s="289"/>
      <c r="J77" s="251"/>
      <c r="K77" s="289"/>
    </row>
    <row r="78" spans="1:11" ht="14.25" customHeight="1" x14ac:dyDescent="0.25">
      <c r="A78" s="289"/>
      <c r="D78" s="721"/>
      <c r="E78" s="251"/>
      <c r="F78" s="251"/>
      <c r="G78" s="251"/>
      <c r="H78" s="289"/>
      <c r="J78" s="251"/>
      <c r="K78" s="289"/>
    </row>
    <row r="79" spans="1:11" ht="14.25" customHeight="1" x14ac:dyDescent="0.25">
      <c r="A79" s="289"/>
      <c r="D79" s="721"/>
      <c r="E79" s="251"/>
      <c r="F79" s="251"/>
      <c r="G79" s="251"/>
      <c r="H79" s="289"/>
      <c r="J79" s="251"/>
      <c r="K79" s="289"/>
    </row>
    <row r="80" spans="1:11" ht="14.25" customHeight="1" x14ac:dyDescent="0.25">
      <c r="A80" s="289"/>
      <c r="D80" s="721"/>
      <c r="E80" s="251"/>
      <c r="F80" s="251"/>
      <c r="G80" s="251"/>
      <c r="H80" s="289"/>
      <c r="J80" s="251"/>
      <c r="K80" s="289"/>
    </row>
    <row r="81" spans="1:11" ht="14.25" customHeight="1" x14ac:dyDescent="0.25">
      <c r="A81" s="289"/>
      <c r="D81" s="721"/>
      <c r="E81" s="251"/>
      <c r="F81" s="251"/>
      <c r="G81" s="251"/>
      <c r="H81" s="289"/>
      <c r="J81" s="251"/>
      <c r="K81" s="289"/>
    </row>
    <row r="82" spans="1:11" ht="14.25" customHeight="1" x14ac:dyDescent="0.25">
      <c r="A82" s="289"/>
      <c r="D82" s="721"/>
      <c r="E82" s="251"/>
      <c r="F82" s="251"/>
      <c r="G82" s="251"/>
      <c r="H82" s="289"/>
      <c r="J82" s="251"/>
      <c r="K82" s="289"/>
    </row>
    <row r="83" spans="1:11" ht="14.25" customHeight="1" x14ac:dyDescent="0.25">
      <c r="A83" s="289"/>
      <c r="D83" s="721"/>
      <c r="E83" s="251"/>
      <c r="F83" s="251"/>
      <c r="G83" s="251"/>
      <c r="H83" s="289"/>
      <c r="J83" s="251"/>
      <c r="K83" s="289"/>
    </row>
    <row r="84" spans="1:11" ht="14.25" customHeight="1" x14ac:dyDescent="0.25">
      <c r="A84" s="289"/>
      <c r="D84" s="721"/>
      <c r="E84" s="251"/>
      <c r="F84" s="251"/>
      <c r="G84" s="251"/>
      <c r="H84" s="289"/>
      <c r="J84" s="251"/>
      <c r="K84" s="289"/>
    </row>
    <row r="85" spans="1:11" ht="14.25" customHeight="1" x14ac:dyDescent="0.25">
      <c r="A85" s="289"/>
      <c r="D85" s="721"/>
      <c r="E85" s="251"/>
      <c r="F85" s="251"/>
      <c r="G85" s="251"/>
      <c r="H85" s="289"/>
      <c r="J85" s="251"/>
      <c r="K85" s="289"/>
    </row>
    <row r="86" spans="1:11" ht="14.25" customHeight="1" x14ac:dyDescent="0.25">
      <c r="A86" s="289"/>
      <c r="D86" s="721"/>
      <c r="E86" s="251"/>
      <c r="F86" s="251"/>
      <c r="G86" s="251"/>
      <c r="H86" s="289"/>
      <c r="J86" s="251"/>
      <c r="K86" s="289"/>
    </row>
    <row r="87" spans="1:11" ht="14.25" customHeight="1" x14ac:dyDescent="0.25">
      <c r="A87" s="289"/>
      <c r="D87" s="721"/>
      <c r="E87" s="251"/>
      <c r="F87" s="251"/>
      <c r="G87" s="251"/>
      <c r="H87" s="289"/>
      <c r="J87" s="251"/>
      <c r="K87" s="289"/>
    </row>
    <row r="88" spans="1:11" ht="14.25" customHeight="1" x14ac:dyDescent="0.25">
      <c r="A88" s="289"/>
      <c r="D88" s="721"/>
      <c r="E88" s="251"/>
      <c r="F88" s="251"/>
      <c r="G88" s="251"/>
      <c r="H88" s="289"/>
      <c r="J88" s="251"/>
      <c r="K88" s="289"/>
    </row>
    <row r="89" spans="1:11" ht="14.25" customHeight="1" x14ac:dyDescent="0.25">
      <c r="A89" s="289"/>
      <c r="D89" s="721"/>
      <c r="E89" s="251"/>
      <c r="F89" s="251"/>
      <c r="G89" s="251"/>
      <c r="H89" s="289"/>
      <c r="J89" s="251"/>
      <c r="K89" s="289"/>
    </row>
    <row r="90" spans="1:11" ht="14.25" customHeight="1" x14ac:dyDescent="0.25">
      <c r="A90" s="289"/>
      <c r="D90" s="721"/>
      <c r="E90" s="251"/>
      <c r="F90" s="251"/>
      <c r="G90" s="251"/>
      <c r="H90" s="289"/>
      <c r="J90" s="251"/>
      <c r="K90" s="289"/>
    </row>
    <row r="91" spans="1:11" ht="14.25" customHeight="1" x14ac:dyDescent="0.25">
      <c r="A91" s="289"/>
      <c r="D91" s="721"/>
      <c r="E91" s="251"/>
      <c r="F91" s="251"/>
      <c r="G91" s="251"/>
      <c r="H91" s="289"/>
      <c r="J91" s="251"/>
      <c r="K91" s="289"/>
    </row>
    <row r="92" spans="1:11" ht="14.25" customHeight="1" x14ac:dyDescent="0.25">
      <c r="A92" s="289"/>
      <c r="D92" s="721"/>
      <c r="E92" s="251"/>
      <c r="F92" s="251"/>
      <c r="G92" s="251"/>
      <c r="H92" s="289"/>
      <c r="J92" s="251"/>
      <c r="K92" s="289"/>
    </row>
    <row r="93" spans="1:11" ht="14.25" customHeight="1" x14ac:dyDescent="0.25">
      <c r="A93" s="289"/>
      <c r="D93" s="721"/>
      <c r="E93" s="251"/>
      <c r="F93" s="251"/>
      <c r="G93" s="251"/>
      <c r="H93" s="289"/>
      <c r="J93" s="251"/>
      <c r="K93" s="289"/>
    </row>
    <row r="94" spans="1:11" ht="14.25" customHeight="1" x14ac:dyDescent="0.25">
      <c r="A94" s="289"/>
      <c r="D94" s="721"/>
      <c r="E94" s="251"/>
      <c r="F94" s="251"/>
      <c r="G94" s="251"/>
      <c r="H94" s="289"/>
      <c r="J94" s="251"/>
      <c r="K94" s="289"/>
    </row>
    <row r="95" spans="1:11" ht="14.25" customHeight="1" x14ac:dyDescent="0.25">
      <c r="A95" s="289"/>
      <c r="D95" s="721"/>
      <c r="E95" s="251"/>
      <c r="F95" s="251"/>
      <c r="G95" s="251"/>
      <c r="H95" s="289"/>
      <c r="J95" s="251"/>
      <c r="K95" s="289"/>
    </row>
    <row r="96" spans="1:11" ht="14.25" customHeight="1" x14ac:dyDescent="0.25">
      <c r="A96" s="289"/>
      <c r="D96" s="721"/>
      <c r="E96" s="251"/>
      <c r="F96" s="251"/>
      <c r="G96" s="251"/>
      <c r="H96" s="289"/>
      <c r="J96" s="251"/>
      <c r="K96" s="289"/>
    </row>
    <row r="97" spans="1:11" ht="14.25" customHeight="1" x14ac:dyDescent="0.25">
      <c r="A97" s="289"/>
      <c r="D97" s="721"/>
      <c r="E97" s="251"/>
      <c r="F97" s="251"/>
      <c r="G97" s="251"/>
      <c r="H97" s="289"/>
      <c r="J97" s="251"/>
      <c r="K97" s="289"/>
    </row>
    <row r="98" spans="1:11" ht="14.25" customHeight="1" x14ac:dyDescent="0.25">
      <c r="A98" s="289"/>
      <c r="D98" s="721"/>
      <c r="E98" s="251"/>
      <c r="F98" s="251"/>
      <c r="G98" s="251"/>
      <c r="H98" s="289"/>
      <c r="J98" s="251"/>
      <c r="K98" s="289"/>
    </row>
    <row r="99" spans="1:11" ht="14.25" customHeight="1" x14ac:dyDescent="0.25">
      <c r="A99" s="289"/>
      <c r="D99" s="721"/>
      <c r="E99" s="251"/>
      <c r="F99" s="251"/>
      <c r="G99" s="251"/>
      <c r="H99" s="289"/>
      <c r="J99" s="251"/>
      <c r="K99" s="289"/>
    </row>
    <row r="100" spans="1:11" ht="14.25" customHeight="1" x14ac:dyDescent="0.25">
      <c r="A100" s="289"/>
      <c r="D100" s="721"/>
      <c r="E100" s="251"/>
      <c r="F100" s="251"/>
      <c r="G100" s="251"/>
      <c r="H100" s="289"/>
      <c r="J100" s="251"/>
      <c r="K100" s="289"/>
    </row>
    <row r="101" spans="1:11" ht="14.25" customHeight="1" x14ac:dyDescent="0.25">
      <c r="A101" s="289"/>
      <c r="D101" s="721"/>
      <c r="E101" s="251"/>
      <c r="F101" s="251"/>
      <c r="G101" s="251"/>
      <c r="H101" s="289"/>
      <c r="J101" s="251"/>
      <c r="K101" s="289"/>
    </row>
    <row r="102" spans="1:11" ht="14.25" customHeight="1" x14ac:dyDescent="0.25">
      <c r="A102" s="289"/>
      <c r="D102" s="721"/>
      <c r="E102" s="251"/>
      <c r="F102" s="251"/>
      <c r="G102" s="251"/>
      <c r="H102" s="289"/>
      <c r="J102" s="251"/>
      <c r="K102" s="289"/>
    </row>
    <row r="103" spans="1:11" ht="14.25" customHeight="1" x14ac:dyDescent="0.25">
      <c r="A103" s="289"/>
      <c r="D103" s="721"/>
      <c r="E103" s="251"/>
      <c r="F103" s="251"/>
      <c r="G103" s="251"/>
      <c r="H103" s="289"/>
      <c r="J103" s="251"/>
      <c r="K103" s="289"/>
    </row>
    <row r="104" spans="1:11" ht="14.25" customHeight="1" x14ac:dyDescent="0.25">
      <c r="A104" s="289"/>
      <c r="D104" s="721"/>
      <c r="E104" s="251"/>
      <c r="F104" s="251"/>
      <c r="G104" s="251"/>
      <c r="H104" s="289"/>
      <c r="J104" s="251"/>
      <c r="K104" s="289"/>
    </row>
    <row r="105" spans="1:11" ht="14.25" customHeight="1" x14ac:dyDescent="0.25">
      <c r="A105" s="289"/>
      <c r="D105" s="721"/>
      <c r="E105" s="251"/>
      <c r="F105" s="251"/>
      <c r="G105" s="251"/>
      <c r="H105" s="289"/>
      <c r="J105" s="251"/>
      <c r="K105" s="289"/>
    </row>
    <row r="106" spans="1:11" ht="14.25" customHeight="1" x14ac:dyDescent="0.25">
      <c r="A106" s="289"/>
      <c r="D106" s="721"/>
      <c r="E106" s="251"/>
      <c r="F106" s="251"/>
      <c r="G106" s="251"/>
      <c r="H106" s="289"/>
      <c r="J106" s="251"/>
      <c r="K106" s="289"/>
    </row>
    <row r="107" spans="1:11" ht="14.25" customHeight="1" x14ac:dyDescent="0.25">
      <c r="A107" s="289"/>
      <c r="D107" s="721"/>
      <c r="E107" s="251"/>
      <c r="F107" s="251"/>
      <c r="G107" s="251"/>
      <c r="H107" s="289"/>
      <c r="J107" s="251"/>
      <c r="K107" s="289"/>
    </row>
    <row r="108" spans="1:11" ht="14.25" customHeight="1" x14ac:dyDescent="0.25">
      <c r="A108" s="289"/>
      <c r="D108" s="721"/>
      <c r="E108" s="251"/>
      <c r="F108" s="251"/>
      <c r="G108" s="251"/>
      <c r="H108" s="289"/>
      <c r="J108" s="251"/>
      <c r="K108" s="289"/>
    </row>
    <row r="109" spans="1:11" ht="14.25" customHeight="1" x14ac:dyDescent="0.25">
      <c r="A109" s="289"/>
      <c r="D109" s="721"/>
      <c r="E109" s="251"/>
      <c r="F109" s="251"/>
      <c r="G109" s="251"/>
      <c r="H109" s="289"/>
      <c r="J109" s="251"/>
      <c r="K109" s="289"/>
    </row>
    <row r="110" spans="1:11" ht="14.25" customHeight="1" x14ac:dyDescent="0.25">
      <c r="A110" s="289"/>
      <c r="D110" s="721"/>
      <c r="E110" s="251"/>
      <c r="F110" s="251"/>
      <c r="G110" s="251"/>
      <c r="H110" s="289"/>
      <c r="J110" s="251"/>
      <c r="K110" s="289"/>
    </row>
    <row r="111" spans="1:11" ht="14.25" customHeight="1" x14ac:dyDescent="0.25">
      <c r="A111" s="289"/>
      <c r="D111" s="721"/>
      <c r="E111" s="251"/>
      <c r="F111" s="251"/>
      <c r="G111" s="251"/>
      <c r="H111" s="289"/>
      <c r="J111" s="251"/>
      <c r="K111" s="289"/>
    </row>
    <row r="112" spans="1:11" ht="14.25" customHeight="1" x14ac:dyDescent="0.25">
      <c r="A112" s="289"/>
      <c r="D112" s="721"/>
      <c r="E112" s="251"/>
      <c r="F112" s="251"/>
      <c r="G112" s="251"/>
      <c r="H112" s="289"/>
      <c r="J112" s="251"/>
      <c r="K112" s="289"/>
    </row>
    <row r="113" spans="1:11" ht="14.25" customHeight="1" x14ac:dyDescent="0.25">
      <c r="A113" s="289"/>
      <c r="D113" s="721"/>
      <c r="E113" s="251"/>
      <c r="F113" s="251"/>
      <c r="G113" s="251"/>
      <c r="H113" s="289"/>
      <c r="J113" s="251"/>
      <c r="K113" s="289"/>
    </row>
    <row r="114" spans="1:11" ht="14.25" customHeight="1" x14ac:dyDescent="0.25">
      <c r="A114" s="289"/>
      <c r="D114" s="721"/>
      <c r="E114" s="251"/>
      <c r="F114" s="251"/>
      <c r="G114" s="251"/>
      <c r="H114" s="289"/>
      <c r="J114" s="251"/>
      <c r="K114" s="289"/>
    </row>
    <row r="115" spans="1:11" ht="14.25" customHeight="1" x14ac:dyDescent="0.25">
      <c r="A115" s="289"/>
      <c r="D115" s="721"/>
      <c r="E115" s="251"/>
      <c r="F115" s="251"/>
      <c r="G115" s="251"/>
      <c r="H115" s="289"/>
      <c r="J115" s="251"/>
      <c r="K115" s="289"/>
    </row>
    <row r="116" spans="1:11" ht="14.25" customHeight="1" x14ac:dyDescent="0.25">
      <c r="A116" s="289"/>
      <c r="D116" s="721"/>
      <c r="E116" s="251"/>
      <c r="F116" s="251"/>
      <c r="G116" s="251"/>
      <c r="H116" s="289"/>
      <c r="J116" s="251"/>
      <c r="K116" s="289"/>
    </row>
    <row r="117" spans="1:11" ht="14.25" customHeight="1" x14ac:dyDescent="0.25">
      <c r="A117" s="289"/>
      <c r="D117" s="721"/>
      <c r="E117" s="251"/>
      <c r="F117" s="251"/>
      <c r="G117" s="251"/>
      <c r="H117" s="289"/>
      <c r="J117" s="251"/>
      <c r="K117" s="289"/>
    </row>
    <row r="118" spans="1:11" ht="14.25" customHeight="1" x14ac:dyDescent="0.25">
      <c r="A118" s="289"/>
      <c r="D118" s="721"/>
      <c r="E118" s="251"/>
      <c r="F118" s="251"/>
      <c r="G118" s="251"/>
      <c r="H118" s="289"/>
      <c r="J118" s="251"/>
      <c r="K118" s="289"/>
    </row>
    <row r="119" spans="1:11" ht="14.25" customHeight="1" x14ac:dyDescent="0.25">
      <c r="A119" s="289"/>
      <c r="D119" s="721"/>
      <c r="E119" s="251"/>
      <c r="F119" s="251"/>
      <c r="G119" s="251"/>
      <c r="H119" s="289"/>
      <c r="J119" s="251"/>
      <c r="K119" s="289"/>
    </row>
    <row r="120" spans="1:11" ht="14.25" customHeight="1" x14ac:dyDescent="0.25">
      <c r="A120" s="289"/>
      <c r="D120" s="721"/>
      <c r="E120" s="251"/>
      <c r="F120" s="251"/>
      <c r="G120" s="251"/>
      <c r="H120" s="289"/>
      <c r="J120" s="251"/>
      <c r="K120" s="289"/>
    </row>
    <row r="121" spans="1:11" ht="14.25" customHeight="1" x14ac:dyDescent="0.25">
      <c r="A121" s="289"/>
      <c r="D121" s="721"/>
      <c r="E121" s="251"/>
      <c r="F121" s="251"/>
      <c r="G121" s="251"/>
      <c r="H121" s="289"/>
      <c r="J121" s="251"/>
      <c r="K121" s="289"/>
    </row>
    <row r="122" spans="1:11" ht="14.25" customHeight="1" x14ac:dyDescent="0.25">
      <c r="A122" s="289"/>
      <c r="D122" s="721"/>
      <c r="E122" s="251"/>
      <c r="F122" s="251"/>
      <c r="G122" s="251"/>
      <c r="H122" s="289"/>
      <c r="J122" s="251"/>
      <c r="K122" s="289"/>
    </row>
    <row r="123" spans="1:11" ht="14.25" customHeight="1" x14ac:dyDescent="0.25">
      <c r="A123" s="289"/>
      <c r="D123" s="721"/>
      <c r="E123" s="251"/>
      <c r="F123" s="251"/>
      <c r="G123" s="251"/>
      <c r="H123" s="289"/>
      <c r="J123" s="251"/>
      <c r="K123" s="289"/>
    </row>
    <row r="124" spans="1:11" ht="14.25" customHeight="1" x14ac:dyDescent="0.25">
      <c r="A124" s="289"/>
      <c r="D124" s="721"/>
      <c r="E124" s="251"/>
      <c r="F124" s="251"/>
      <c r="G124" s="251"/>
      <c r="H124" s="289"/>
      <c r="J124" s="251"/>
      <c r="K124" s="289"/>
    </row>
    <row r="125" spans="1:11" ht="14.25" customHeight="1" x14ac:dyDescent="0.25">
      <c r="A125" s="289"/>
      <c r="D125" s="721"/>
      <c r="E125" s="251"/>
      <c r="F125" s="251"/>
      <c r="G125" s="251"/>
      <c r="H125" s="289"/>
      <c r="J125" s="251"/>
      <c r="K125" s="289"/>
    </row>
    <row r="126" spans="1:11" ht="14.25" customHeight="1" x14ac:dyDescent="0.25">
      <c r="A126" s="289"/>
      <c r="D126" s="721"/>
      <c r="E126" s="251"/>
      <c r="F126" s="251"/>
      <c r="G126" s="251"/>
      <c r="H126" s="289"/>
      <c r="J126" s="251"/>
      <c r="K126" s="289"/>
    </row>
    <row r="127" spans="1:11" ht="14.25" customHeight="1" x14ac:dyDescent="0.25">
      <c r="A127" s="289"/>
      <c r="D127" s="721"/>
      <c r="E127" s="251"/>
      <c r="F127" s="251"/>
      <c r="G127" s="251"/>
      <c r="H127" s="289"/>
      <c r="J127" s="251"/>
      <c r="K127" s="289"/>
    </row>
    <row r="128" spans="1:11" ht="14.25" customHeight="1" x14ac:dyDescent="0.25">
      <c r="A128" s="289"/>
      <c r="D128" s="721"/>
      <c r="E128" s="251"/>
      <c r="F128" s="251"/>
      <c r="G128" s="251"/>
      <c r="H128" s="289"/>
      <c r="J128" s="251"/>
      <c r="K128" s="289"/>
    </row>
    <row r="129" spans="1:11" ht="14.25" customHeight="1" x14ac:dyDescent="0.25">
      <c r="A129" s="289"/>
      <c r="D129" s="721"/>
      <c r="E129" s="251"/>
      <c r="F129" s="251"/>
      <c r="G129" s="251"/>
      <c r="H129" s="289"/>
      <c r="J129" s="251"/>
      <c r="K129" s="289"/>
    </row>
    <row r="130" spans="1:11" ht="14.25" customHeight="1" x14ac:dyDescent="0.25">
      <c r="A130" s="289"/>
      <c r="D130" s="721"/>
      <c r="E130" s="251"/>
      <c r="F130" s="251"/>
      <c r="G130" s="251"/>
      <c r="H130" s="289"/>
      <c r="J130" s="251"/>
      <c r="K130" s="289"/>
    </row>
    <row r="131" spans="1:11" ht="14.25" customHeight="1" x14ac:dyDescent="0.25">
      <c r="A131" s="289"/>
      <c r="D131" s="721"/>
      <c r="E131" s="251"/>
      <c r="F131" s="251"/>
      <c r="G131" s="251"/>
      <c r="H131" s="289"/>
      <c r="J131" s="251"/>
      <c r="K131" s="289"/>
    </row>
    <row r="132" spans="1:11" ht="14.25" customHeight="1" x14ac:dyDescent="0.25">
      <c r="A132" s="289"/>
      <c r="D132" s="721"/>
      <c r="E132" s="251"/>
      <c r="F132" s="251"/>
      <c r="G132" s="251"/>
      <c r="H132" s="289"/>
      <c r="J132" s="251"/>
      <c r="K132" s="289"/>
    </row>
    <row r="133" spans="1:11" ht="14.25" customHeight="1" x14ac:dyDescent="0.25">
      <c r="A133" s="289"/>
      <c r="D133" s="721"/>
      <c r="E133" s="251"/>
      <c r="F133" s="251"/>
      <c r="G133" s="251"/>
      <c r="H133" s="289"/>
      <c r="J133" s="251"/>
      <c r="K133" s="289"/>
    </row>
    <row r="134" spans="1:11" ht="14.25" customHeight="1" x14ac:dyDescent="0.25">
      <c r="A134" s="289"/>
      <c r="D134" s="721"/>
      <c r="E134" s="251"/>
      <c r="F134" s="251"/>
      <c r="G134" s="251"/>
      <c r="H134" s="289"/>
      <c r="J134" s="251"/>
      <c r="K134" s="289"/>
    </row>
    <row r="135" spans="1:11" ht="14.25" customHeight="1" x14ac:dyDescent="0.25">
      <c r="A135" s="289"/>
      <c r="D135" s="721"/>
      <c r="E135" s="251"/>
      <c r="F135" s="251"/>
      <c r="G135" s="251"/>
      <c r="H135" s="289"/>
      <c r="J135" s="251"/>
      <c r="K135" s="289"/>
    </row>
    <row r="136" spans="1:11" ht="14.25" customHeight="1" x14ac:dyDescent="0.25">
      <c r="A136" s="289"/>
      <c r="D136" s="721"/>
      <c r="E136" s="251"/>
      <c r="F136" s="251"/>
      <c r="G136" s="251"/>
      <c r="H136" s="289"/>
      <c r="J136" s="251"/>
      <c r="K136" s="289"/>
    </row>
    <row r="137" spans="1:11" ht="14.25" customHeight="1" x14ac:dyDescent="0.25">
      <c r="A137" s="289"/>
      <c r="D137" s="721"/>
      <c r="E137" s="251"/>
      <c r="F137" s="251"/>
      <c r="G137" s="251"/>
      <c r="H137" s="289"/>
      <c r="J137" s="251"/>
      <c r="K137" s="289"/>
    </row>
    <row r="138" spans="1:11" ht="14.25" customHeight="1" x14ac:dyDescent="0.25">
      <c r="A138" s="289"/>
      <c r="D138" s="721"/>
      <c r="E138" s="251"/>
      <c r="F138" s="251"/>
      <c r="G138" s="251"/>
      <c r="H138" s="289"/>
      <c r="J138" s="251"/>
      <c r="K138" s="289"/>
    </row>
    <row r="139" spans="1:11" ht="14.25" customHeight="1" x14ac:dyDescent="0.25">
      <c r="A139" s="289"/>
      <c r="D139" s="721"/>
      <c r="E139" s="251"/>
      <c r="F139" s="251"/>
      <c r="G139" s="251"/>
      <c r="H139" s="289"/>
      <c r="J139" s="251"/>
      <c r="K139" s="289"/>
    </row>
    <row r="140" spans="1:11" ht="14.25" customHeight="1" x14ac:dyDescent="0.25">
      <c r="A140" s="289"/>
      <c r="D140" s="721"/>
      <c r="E140" s="251"/>
      <c r="F140" s="251"/>
      <c r="G140" s="251"/>
      <c r="H140" s="289"/>
      <c r="J140" s="251"/>
      <c r="K140" s="289"/>
    </row>
    <row r="141" spans="1:11" ht="14.25" customHeight="1" x14ac:dyDescent="0.25">
      <c r="A141" s="289"/>
      <c r="D141" s="721"/>
      <c r="E141" s="251"/>
      <c r="F141" s="251"/>
      <c r="G141" s="251"/>
      <c r="H141" s="289"/>
      <c r="J141" s="251"/>
      <c r="K141" s="289"/>
    </row>
    <row r="142" spans="1:11" ht="14.25" customHeight="1" x14ac:dyDescent="0.25">
      <c r="A142" s="289"/>
      <c r="D142" s="721"/>
      <c r="E142" s="251"/>
      <c r="F142" s="251"/>
      <c r="G142" s="251"/>
      <c r="H142" s="289"/>
      <c r="J142" s="251"/>
      <c r="K142" s="289"/>
    </row>
    <row r="143" spans="1:11" ht="14.25" customHeight="1" x14ac:dyDescent="0.25">
      <c r="A143" s="289"/>
      <c r="D143" s="721"/>
      <c r="E143" s="251"/>
      <c r="F143" s="251"/>
      <c r="G143" s="251"/>
      <c r="H143" s="289"/>
      <c r="J143" s="251"/>
      <c r="K143" s="289"/>
    </row>
    <row r="144" spans="1:11" ht="14.25" customHeight="1" x14ac:dyDescent="0.25">
      <c r="A144" s="289"/>
      <c r="D144" s="721"/>
      <c r="E144" s="251"/>
      <c r="F144" s="251"/>
      <c r="G144" s="251"/>
      <c r="H144" s="289"/>
      <c r="J144" s="251"/>
      <c r="K144" s="289"/>
    </row>
    <row r="145" spans="1:11" ht="14.25" customHeight="1" x14ac:dyDescent="0.25">
      <c r="A145" s="289"/>
      <c r="D145" s="721"/>
      <c r="E145" s="251"/>
      <c r="F145" s="251"/>
      <c r="G145" s="251"/>
      <c r="H145" s="289"/>
      <c r="J145" s="251"/>
      <c r="K145" s="289"/>
    </row>
    <row r="146" spans="1:11" ht="14.25" customHeight="1" x14ac:dyDescent="0.25">
      <c r="A146" s="289"/>
      <c r="D146" s="721"/>
      <c r="E146" s="251"/>
      <c r="F146" s="251"/>
      <c r="G146" s="251"/>
      <c r="H146" s="289"/>
      <c r="J146" s="251"/>
      <c r="K146" s="289"/>
    </row>
    <row r="147" spans="1:11" ht="14.25" customHeight="1" x14ac:dyDescent="0.25">
      <c r="A147" s="289"/>
      <c r="D147" s="721"/>
      <c r="E147" s="251"/>
      <c r="F147" s="251"/>
      <c r="G147" s="251"/>
      <c r="H147" s="289"/>
      <c r="J147" s="251"/>
      <c r="K147" s="289"/>
    </row>
    <row r="148" spans="1:11" ht="14.25" customHeight="1" x14ac:dyDescent="0.25">
      <c r="A148" s="289"/>
      <c r="D148" s="721"/>
      <c r="E148" s="251"/>
      <c r="F148" s="251"/>
      <c r="G148" s="251"/>
      <c r="H148" s="289"/>
      <c r="J148" s="251"/>
      <c r="K148" s="289"/>
    </row>
    <row r="149" spans="1:11" ht="14.25" customHeight="1" x14ac:dyDescent="0.25">
      <c r="A149" s="289"/>
      <c r="D149" s="721"/>
      <c r="E149" s="251"/>
      <c r="F149" s="251"/>
      <c r="G149" s="251"/>
      <c r="H149" s="289"/>
      <c r="J149" s="251"/>
      <c r="K149" s="289"/>
    </row>
    <row r="150" spans="1:11" ht="14.25" customHeight="1" x14ac:dyDescent="0.25">
      <c r="A150" s="289"/>
      <c r="D150" s="721"/>
      <c r="E150" s="251"/>
      <c r="F150" s="251"/>
      <c r="G150" s="251"/>
      <c r="H150" s="289"/>
      <c r="J150" s="251"/>
      <c r="K150" s="289"/>
    </row>
    <row r="151" spans="1:11" ht="14.25" customHeight="1" x14ac:dyDescent="0.25">
      <c r="A151" s="289"/>
      <c r="D151" s="721"/>
      <c r="E151" s="251"/>
      <c r="F151" s="251"/>
      <c r="G151" s="251"/>
      <c r="H151" s="289"/>
      <c r="J151" s="251"/>
      <c r="K151" s="289"/>
    </row>
    <row r="152" spans="1:11" ht="14.25" customHeight="1" x14ac:dyDescent="0.25">
      <c r="A152" s="289"/>
      <c r="D152" s="721"/>
      <c r="E152" s="251"/>
      <c r="F152" s="251"/>
      <c r="G152" s="251"/>
      <c r="H152" s="289"/>
      <c r="J152" s="251"/>
      <c r="K152" s="289"/>
    </row>
    <row r="153" spans="1:11" ht="14.25" customHeight="1" x14ac:dyDescent="0.25">
      <c r="A153" s="289"/>
      <c r="D153" s="721"/>
      <c r="E153" s="251"/>
      <c r="F153" s="251"/>
      <c r="G153" s="251"/>
      <c r="H153" s="289"/>
      <c r="J153" s="251"/>
      <c r="K153" s="289"/>
    </row>
    <row r="154" spans="1:11" ht="14.25" customHeight="1" x14ac:dyDescent="0.25">
      <c r="A154" s="289"/>
      <c r="D154" s="721"/>
      <c r="E154" s="251"/>
      <c r="F154" s="251"/>
      <c r="G154" s="251"/>
      <c r="H154" s="289"/>
      <c r="J154" s="251"/>
      <c r="K154" s="289"/>
    </row>
    <row r="155" spans="1:11" ht="14.25" customHeight="1" x14ac:dyDescent="0.25">
      <c r="A155" s="289"/>
      <c r="D155" s="721"/>
      <c r="E155" s="251"/>
      <c r="F155" s="251"/>
      <c r="G155" s="251"/>
      <c r="H155" s="289"/>
      <c r="J155" s="251"/>
      <c r="K155" s="289"/>
    </row>
    <row r="156" spans="1:11" ht="14.25" customHeight="1" x14ac:dyDescent="0.25">
      <c r="A156" s="289"/>
      <c r="D156" s="721"/>
      <c r="E156" s="251"/>
      <c r="F156" s="251"/>
      <c r="G156" s="251"/>
      <c r="H156" s="289"/>
      <c r="J156" s="251"/>
      <c r="K156" s="289"/>
    </row>
    <row r="157" spans="1:11" ht="14.25" customHeight="1" x14ac:dyDescent="0.25">
      <c r="A157" s="289"/>
      <c r="D157" s="721"/>
      <c r="E157" s="251"/>
      <c r="F157" s="251"/>
      <c r="G157" s="251"/>
      <c r="H157" s="289"/>
      <c r="J157" s="251"/>
      <c r="K157" s="289"/>
    </row>
    <row r="158" spans="1:11" ht="14.25" customHeight="1" x14ac:dyDescent="0.25">
      <c r="A158" s="289"/>
      <c r="D158" s="721"/>
      <c r="E158" s="251"/>
      <c r="F158" s="251"/>
      <c r="G158" s="251"/>
      <c r="H158" s="289"/>
      <c r="J158" s="251"/>
      <c r="K158" s="289"/>
    </row>
    <row r="159" spans="1:11" ht="14.25" customHeight="1" x14ac:dyDescent="0.25">
      <c r="A159" s="289"/>
      <c r="D159" s="721"/>
      <c r="E159" s="251"/>
      <c r="F159" s="251"/>
      <c r="G159" s="251"/>
      <c r="H159" s="289"/>
      <c r="J159" s="251"/>
      <c r="K159" s="289"/>
    </row>
    <row r="160" spans="1:11" ht="14.25" customHeight="1" x14ac:dyDescent="0.25">
      <c r="A160" s="289"/>
      <c r="D160" s="721"/>
      <c r="E160" s="251"/>
      <c r="F160" s="251"/>
      <c r="G160" s="251"/>
      <c r="H160" s="289"/>
      <c r="J160" s="251"/>
      <c r="K160" s="289"/>
    </row>
    <row r="161" spans="1:11" ht="14.25" customHeight="1" x14ac:dyDescent="0.25">
      <c r="A161" s="289"/>
      <c r="D161" s="721"/>
      <c r="E161" s="251"/>
      <c r="F161" s="251"/>
      <c r="G161" s="251"/>
      <c r="H161" s="289"/>
      <c r="J161" s="251"/>
      <c r="K161" s="289"/>
    </row>
    <row r="162" spans="1:11" ht="14.25" customHeight="1" x14ac:dyDescent="0.25">
      <c r="A162" s="289"/>
      <c r="D162" s="721"/>
      <c r="E162" s="251"/>
      <c r="F162" s="251"/>
      <c r="G162" s="251"/>
      <c r="H162" s="289"/>
      <c r="J162" s="251"/>
      <c r="K162" s="289"/>
    </row>
    <row r="163" spans="1:11" ht="14.25" customHeight="1" x14ac:dyDescent="0.25">
      <c r="A163" s="289"/>
      <c r="D163" s="721"/>
      <c r="E163" s="251"/>
      <c r="F163" s="251"/>
      <c r="G163" s="251"/>
      <c r="H163" s="289"/>
      <c r="J163" s="251"/>
      <c r="K163" s="289"/>
    </row>
    <row r="164" spans="1:11" ht="14.25" customHeight="1" x14ac:dyDescent="0.25">
      <c r="A164" s="289"/>
      <c r="D164" s="721"/>
      <c r="E164" s="251"/>
      <c r="F164" s="251"/>
      <c r="G164" s="251"/>
      <c r="H164" s="289"/>
      <c r="J164" s="251"/>
      <c r="K164" s="289"/>
    </row>
    <row r="165" spans="1:11" ht="14.25" customHeight="1" x14ac:dyDescent="0.25">
      <c r="A165" s="289"/>
      <c r="D165" s="721"/>
      <c r="E165" s="251"/>
      <c r="F165" s="251"/>
      <c r="G165" s="251"/>
      <c r="H165" s="289"/>
      <c r="J165" s="251"/>
      <c r="K165" s="289"/>
    </row>
    <row r="166" spans="1:11" ht="14.25" customHeight="1" x14ac:dyDescent="0.25">
      <c r="A166" s="289"/>
      <c r="D166" s="721"/>
      <c r="E166" s="251"/>
      <c r="F166" s="251"/>
      <c r="G166" s="251"/>
      <c r="H166" s="289"/>
      <c r="J166" s="251"/>
      <c r="K166" s="289"/>
    </row>
    <row r="167" spans="1:11" ht="14.25" customHeight="1" x14ac:dyDescent="0.25">
      <c r="A167" s="289"/>
      <c r="D167" s="721"/>
      <c r="E167" s="251"/>
      <c r="F167" s="251"/>
      <c r="G167" s="251"/>
      <c r="H167" s="289"/>
      <c r="J167" s="251"/>
      <c r="K167" s="289"/>
    </row>
    <row r="168" spans="1:11" ht="14.25" customHeight="1" x14ac:dyDescent="0.25">
      <c r="A168" s="289"/>
      <c r="D168" s="721"/>
      <c r="E168" s="251"/>
      <c r="F168" s="251"/>
      <c r="G168" s="251"/>
      <c r="H168" s="289"/>
      <c r="J168" s="251"/>
      <c r="K168" s="289"/>
    </row>
    <row r="169" spans="1:11" ht="14.25" customHeight="1" x14ac:dyDescent="0.25">
      <c r="A169" s="289"/>
      <c r="D169" s="721"/>
      <c r="E169" s="251"/>
      <c r="F169" s="251"/>
      <c r="G169" s="251"/>
      <c r="H169" s="289"/>
      <c r="J169" s="251"/>
      <c r="K169" s="289"/>
    </row>
    <row r="170" spans="1:11" ht="14.25" customHeight="1" x14ac:dyDescent="0.25">
      <c r="A170" s="289"/>
      <c r="D170" s="721"/>
      <c r="E170" s="251"/>
      <c r="F170" s="251"/>
      <c r="G170" s="251"/>
      <c r="H170" s="289"/>
      <c r="J170" s="251"/>
      <c r="K170" s="289"/>
    </row>
    <row r="171" spans="1:11" ht="14.25" customHeight="1" x14ac:dyDescent="0.25">
      <c r="A171" s="289"/>
      <c r="D171" s="721"/>
      <c r="E171" s="251"/>
      <c r="F171" s="251"/>
      <c r="G171" s="251"/>
      <c r="H171" s="289"/>
      <c r="J171" s="251"/>
      <c r="K171" s="289"/>
    </row>
    <row r="172" spans="1:11" ht="14.25" customHeight="1" x14ac:dyDescent="0.25">
      <c r="A172" s="289"/>
      <c r="D172" s="721"/>
      <c r="E172" s="251"/>
      <c r="F172" s="251"/>
      <c r="G172" s="251"/>
      <c r="H172" s="289"/>
      <c r="J172" s="251"/>
      <c r="K172" s="289"/>
    </row>
    <row r="173" spans="1:11" ht="14.25" customHeight="1" x14ac:dyDescent="0.25">
      <c r="A173" s="289"/>
      <c r="D173" s="721"/>
      <c r="E173" s="251"/>
      <c r="F173" s="251"/>
      <c r="G173" s="251"/>
      <c r="H173" s="289"/>
      <c r="J173" s="251"/>
      <c r="K173" s="289"/>
    </row>
    <row r="174" spans="1:11" ht="14.25" customHeight="1" x14ac:dyDescent="0.25">
      <c r="A174" s="289"/>
      <c r="D174" s="721"/>
      <c r="E174" s="251"/>
      <c r="F174" s="251"/>
      <c r="G174" s="251"/>
      <c r="H174" s="289"/>
      <c r="J174" s="251"/>
      <c r="K174" s="289"/>
    </row>
    <row r="175" spans="1:11" ht="14.25" customHeight="1" x14ac:dyDescent="0.25">
      <c r="A175" s="289"/>
      <c r="D175" s="721"/>
      <c r="E175" s="251"/>
      <c r="F175" s="251"/>
      <c r="G175" s="251"/>
      <c r="H175" s="289"/>
      <c r="J175" s="251"/>
      <c r="K175" s="289"/>
    </row>
    <row r="176" spans="1:11" ht="14.25" customHeight="1" x14ac:dyDescent="0.25">
      <c r="A176" s="289"/>
      <c r="D176" s="721"/>
      <c r="E176" s="251"/>
      <c r="F176" s="251"/>
      <c r="G176" s="251"/>
      <c r="H176" s="289"/>
      <c r="J176" s="251"/>
      <c r="K176" s="289"/>
    </row>
    <row r="177" spans="1:11" ht="14.25" customHeight="1" x14ac:dyDescent="0.25">
      <c r="A177" s="289"/>
      <c r="D177" s="721"/>
      <c r="E177" s="251"/>
      <c r="F177" s="251"/>
      <c r="G177" s="251"/>
      <c r="H177" s="289"/>
      <c r="J177" s="251"/>
      <c r="K177" s="289"/>
    </row>
    <row r="178" spans="1:11" ht="14.25" customHeight="1" x14ac:dyDescent="0.25">
      <c r="A178" s="289"/>
      <c r="D178" s="721"/>
      <c r="E178" s="251"/>
      <c r="F178" s="251"/>
      <c r="G178" s="251"/>
      <c r="H178" s="289"/>
      <c r="J178" s="251"/>
      <c r="K178" s="289"/>
    </row>
    <row r="179" spans="1:11" ht="14.25" customHeight="1" x14ac:dyDescent="0.25">
      <c r="A179" s="289"/>
      <c r="D179" s="721"/>
      <c r="E179" s="251"/>
      <c r="F179" s="251"/>
      <c r="G179" s="251"/>
      <c r="H179" s="289"/>
      <c r="J179" s="251"/>
      <c r="K179" s="289"/>
    </row>
    <row r="180" spans="1:11" ht="14.25" customHeight="1" x14ac:dyDescent="0.25">
      <c r="A180" s="289"/>
      <c r="D180" s="721"/>
      <c r="E180" s="251"/>
      <c r="F180" s="251"/>
      <c r="G180" s="251"/>
      <c r="H180" s="289"/>
      <c r="J180" s="251"/>
      <c r="K180" s="289"/>
    </row>
    <row r="181" spans="1:11" ht="14.25" customHeight="1" x14ac:dyDescent="0.25">
      <c r="A181" s="289"/>
      <c r="D181" s="721"/>
      <c r="E181" s="251"/>
      <c r="F181" s="251"/>
      <c r="G181" s="251"/>
      <c r="H181" s="289"/>
      <c r="J181" s="251"/>
      <c r="K181" s="289"/>
    </row>
    <row r="182" spans="1:11" ht="14.25" customHeight="1" x14ac:dyDescent="0.25">
      <c r="A182" s="289"/>
      <c r="D182" s="721"/>
      <c r="E182" s="251"/>
      <c r="F182" s="251"/>
      <c r="G182" s="251"/>
      <c r="H182" s="289"/>
      <c r="J182" s="251"/>
      <c r="K182" s="289"/>
    </row>
    <row r="183" spans="1:11" ht="14.25" customHeight="1" x14ac:dyDescent="0.25">
      <c r="A183" s="289"/>
      <c r="D183" s="721"/>
      <c r="E183" s="251"/>
      <c r="F183" s="251"/>
      <c r="G183" s="251"/>
      <c r="H183" s="289"/>
      <c r="J183" s="251"/>
      <c r="K183" s="289"/>
    </row>
    <row r="184" spans="1:11" ht="14.25" customHeight="1" x14ac:dyDescent="0.25">
      <c r="A184" s="289"/>
      <c r="D184" s="721"/>
      <c r="E184" s="251"/>
      <c r="F184" s="251"/>
      <c r="G184" s="251"/>
      <c r="H184" s="289"/>
      <c r="J184" s="251"/>
      <c r="K184" s="289"/>
    </row>
    <row r="185" spans="1:11" ht="14.25" customHeight="1" x14ac:dyDescent="0.25">
      <c r="A185" s="289"/>
      <c r="D185" s="721"/>
      <c r="E185" s="251"/>
      <c r="F185" s="251"/>
      <c r="G185" s="251"/>
      <c r="H185" s="289"/>
      <c r="J185" s="251"/>
      <c r="K185" s="289"/>
    </row>
    <row r="186" spans="1:11" ht="14.25" customHeight="1" x14ac:dyDescent="0.25">
      <c r="A186" s="289"/>
      <c r="D186" s="721"/>
      <c r="E186" s="251"/>
      <c r="F186" s="251"/>
      <c r="G186" s="251"/>
      <c r="H186" s="289"/>
      <c r="J186" s="251"/>
      <c r="K186" s="289"/>
    </row>
    <row r="187" spans="1:11" ht="14.25" customHeight="1" x14ac:dyDescent="0.25">
      <c r="A187" s="289"/>
      <c r="D187" s="721"/>
      <c r="E187" s="251"/>
      <c r="F187" s="251"/>
      <c r="G187" s="251"/>
      <c r="H187" s="289"/>
      <c r="J187" s="251"/>
      <c r="K187" s="289"/>
    </row>
    <row r="188" spans="1:11" ht="14.25" customHeight="1" x14ac:dyDescent="0.25">
      <c r="A188" s="289"/>
      <c r="D188" s="721"/>
      <c r="E188" s="251"/>
      <c r="F188" s="251"/>
      <c r="G188" s="251"/>
      <c r="H188" s="289"/>
      <c r="J188" s="251"/>
      <c r="K188" s="289"/>
    </row>
    <row r="189" spans="1:11" ht="14.25" customHeight="1" x14ac:dyDescent="0.25">
      <c r="A189" s="289"/>
      <c r="D189" s="721"/>
      <c r="E189" s="251"/>
      <c r="F189" s="251"/>
      <c r="G189" s="251"/>
      <c r="H189" s="289"/>
      <c r="J189" s="251"/>
      <c r="K189" s="289"/>
    </row>
    <row r="190" spans="1:11" ht="14.25" customHeight="1" x14ac:dyDescent="0.25">
      <c r="A190" s="289"/>
      <c r="D190" s="721"/>
      <c r="E190" s="251"/>
      <c r="F190" s="251"/>
      <c r="G190" s="251"/>
      <c r="H190" s="289"/>
      <c r="J190" s="251"/>
      <c r="K190" s="289"/>
    </row>
    <row r="191" spans="1:11" ht="14.25" customHeight="1" x14ac:dyDescent="0.25">
      <c r="A191" s="289"/>
      <c r="D191" s="721"/>
      <c r="E191" s="251"/>
      <c r="F191" s="251"/>
      <c r="G191" s="251"/>
      <c r="H191" s="289"/>
      <c r="J191" s="251"/>
      <c r="K191" s="289"/>
    </row>
    <row r="192" spans="1:11" ht="14.25" customHeight="1" x14ac:dyDescent="0.25">
      <c r="A192" s="289"/>
      <c r="D192" s="721"/>
      <c r="E192" s="251"/>
      <c r="F192" s="251"/>
      <c r="G192" s="251"/>
      <c r="H192" s="289"/>
      <c r="J192" s="251"/>
      <c r="K192" s="289"/>
    </row>
    <row r="193" spans="1:11" ht="14.25" customHeight="1" x14ac:dyDescent="0.25">
      <c r="A193" s="289"/>
      <c r="D193" s="721"/>
      <c r="E193" s="251"/>
      <c r="F193" s="251"/>
      <c r="G193" s="251"/>
      <c r="H193" s="289"/>
      <c r="J193" s="251"/>
      <c r="K193" s="289"/>
    </row>
    <row r="194" spans="1:11" ht="14.25" customHeight="1" x14ac:dyDescent="0.25">
      <c r="A194" s="289"/>
      <c r="D194" s="721"/>
      <c r="E194" s="251"/>
      <c r="F194" s="251"/>
      <c r="G194" s="251"/>
      <c r="H194" s="289"/>
      <c r="J194" s="251"/>
      <c r="K194" s="289"/>
    </row>
    <row r="195" spans="1:11" ht="14.25" customHeight="1" x14ac:dyDescent="0.25">
      <c r="A195" s="289"/>
      <c r="D195" s="721"/>
      <c r="E195" s="251"/>
      <c r="F195" s="251"/>
      <c r="G195" s="251"/>
      <c r="H195" s="289"/>
      <c r="J195" s="251"/>
      <c r="K195" s="289"/>
    </row>
    <row r="196" spans="1:11" ht="14.25" customHeight="1" x14ac:dyDescent="0.25">
      <c r="A196" s="289"/>
      <c r="D196" s="721"/>
      <c r="E196" s="251"/>
      <c r="F196" s="251"/>
      <c r="G196" s="251"/>
      <c r="H196" s="289"/>
      <c r="J196" s="251"/>
      <c r="K196" s="289"/>
    </row>
    <row r="197" spans="1:11" ht="14.25" customHeight="1" x14ac:dyDescent="0.25">
      <c r="A197" s="289"/>
      <c r="D197" s="721"/>
      <c r="E197" s="251"/>
      <c r="F197" s="251"/>
      <c r="G197" s="251"/>
      <c r="H197" s="289"/>
      <c r="J197" s="251"/>
      <c r="K197" s="289"/>
    </row>
    <row r="198" spans="1:11" ht="14.25" customHeight="1" x14ac:dyDescent="0.25">
      <c r="A198" s="289"/>
      <c r="D198" s="721"/>
      <c r="E198" s="251"/>
      <c r="F198" s="251"/>
      <c r="G198" s="251"/>
      <c r="H198" s="289"/>
      <c r="J198" s="251"/>
      <c r="K198" s="289"/>
    </row>
    <row r="199" spans="1:11" ht="14.25" customHeight="1" x14ac:dyDescent="0.25">
      <c r="A199" s="289"/>
      <c r="D199" s="721"/>
      <c r="E199" s="251"/>
      <c r="F199" s="251"/>
      <c r="G199" s="251"/>
      <c r="H199" s="289"/>
      <c r="J199" s="251"/>
      <c r="K199" s="289"/>
    </row>
    <row r="200" spans="1:11" ht="14.25" customHeight="1" x14ac:dyDescent="0.25">
      <c r="A200" s="289"/>
      <c r="D200" s="721"/>
      <c r="E200" s="251"/>
      <c r="F200" s="251"/>
      <c r="G200" s="251"/>
      <c r="H200" s="289"/>
      <c r="J200" s="251"/>
      <c r="K200" s="289"/>
    </row>
    <row r="201" spans="1:11" ht="14.25" customHeight="1" x14ac:dyDescent="0.25">
      <c r="A201" s="289"/>
      <c r="D201" s="721"/>
      <c r="E201" s="251"/>
      <c r="F201" s="251"/>
      <c r="G201" s="251"/>
      <c r="H201" s="289"/>
      <c r="J201" s="251"/>
      <c r="K201" s="289"/>
    </row>
    <row r="202" spans="1:11" ht="14.25" customHeight="1" x14ac:dyDescent="0.25">
      <c r="A202" s="289"/>
      <c r="D202" s="721"/>
      <c r="E202" s="251"/>
      <c r="F202" s="251"/>
      <c r="G202" s="251"/>
      <c r="H202" s="289"/>
      <c r="J202" s="251"/>
      <c r="K202" s="289"/>
    </row>
    <row r="203" spans="1:11" ht="14.25" customHeight="1" x14ac:dyDescent="0.25">
      <c r="A203" s="289"/>
      <c r="D203" s="721"/>
      <c r="E203" s="251"/>
      <c r="F203" s="251"/>
      <c r="G203" s="251"/>
      <c r="H203" s="289"/>
      <c r="J203" s="251"/>
      <c r="K203" s="289"/>
    </row>
    <row r="204" spans="1:11" ht="14.25" customHeight="1" x14ac:dyDescent="0.25">
      <c r="A204" s="289"/>
      <c r="D204" s="721"/>
      <c r="E204" s="251"/>
      <c r="F204" s="251"/>
      <c r="G204" s="251"/>
      <c r="H204" s="289"/>
      <c r="J204" s="251"/>
      <c r="K204" s="289"/>
    </row>
    <row r="205" spans="1:11" ht="14.25" customHeight="1" x14ac:dyDescent="0.25">
      <c r="A205" s="289"/>
      <c r="D205" s="721"/>
      <c r="E205" s="251"/>
      <c r="F205" s="251"/>
      <c r="G205" s="251"/>
      <c r="H205" s="289"/>
      <c r="J205" s="251"/>
      <c r="K205" s="289"/>
    </row>
    <row r="206" spans="1:11" ht="14.25" customHeight="1" x14ac:dyDescent="0.25">
      <c r="A206" s="289"/>
      <c r="D206" s="721"/>
      <c r="E206" s="251"/>
      <c r="F206" s="251"/>
      <c r="G206" s="251"/>
      <c r="H206" s="289"/>
      <c r="J206" s="251"/>
      <c r="K206" s="289"/>
    </row>
    <row r="207" spans="1:11" ht="14.25" customHeight="1" x14ac:dyDescent="0.25">
      <c r="A207" s="289"/>
      <c r="D207" s="721"/>
      <c r="E207" s="251"/>
      <c r="F207" s="251"/>
      <c r="G207" s="251"/>
      <c r="H207" s="289"/>
      <c r="J207" s="251"/>
      <c r="K207" s="289"/>
    </row>
    <row r="208" spans="1:11" ht="14.25" customHeight="1" x14ac:dyDescent="0.25">
      <c r="A208" s="289"/>
      <c r="D208" s="721"/>
      <c r="E208" s="251"/>
      <c r="F208" s="251"/>
      <c r="G208" s="251"/>
      <c r="H208" s="289"/>
      <c r="J208" s="251"/>
      <c r="K208" s="289"/>
    </row>
    <row r="209" spans="1:11" ht="14.25" customHeight="1" x14ac:dyDescent="0.25">
      <c r="A209" s="289"/>
      <c r="D209" s="721"/>
      <c r="E209" s="251"/>
      <c r="F209" s="251"/>
      <c r="G209" s="251"/>
      <c r="H209" s="289"/>
      <c r="J209" s="251"/>
      <c r="K209" s="289"/>
    </row>
    <row r="210" spans="1:11" ht="14.25" customHeight="1" x14ac:dyDescent="0.25">
      <c r="A210" s="289"/>
      <c r="D210" s="721"/>
      <c r="E210" s="251"/>
      <c r="F210" s="251"/>
      <c r="G210" s="251"/>
      <c r="H210" s="289"/>
      <c r="J210" s="251"/>
      <c r="K210" s="289"/>
    </row>
    <row r="211" spans="1:11" ht="14.25" customHeight="1" x14ac:dyDescent="0.25">
      <c r="A211" s="289"/>
      <c r="D211" s="721"/>
      <c r="E211" s="251"/>
      <c r="F211" s="251"/>
      <c r="G211" s="251"/>
      <c r="H211" s="289"/>
      <c r="J211" s="251"/>
      <c r="K211" s="289"/>
    </row>
    <row r="212" spans="1:11" ht="14.25" customHeight="1" x14ac:dyDescent="0.25">
      <c r="A212" s="289"/>
      <c r="D212" s="721"/>
      <c r="E212" s="251"/>
      <c r="F212" s="251"/>
      <c r="G212" s="251"/>
      <c r="H212" s="289"/>
      <c r="J212" s="251"/>
      <c r="K212" s="289"/>
    </row>
    <row r="213" spans="1:11" ht="14.25" customHeight="1" x14ac:dyDescent="0.25">
      <c r="A213" s="289"/>
      <c r="D213" s="721"/>
      <c r="E213" s="251"/>
      <c r="F213" s="251"/>
      <c r="G213" s="251"/>
      <c r="H213" s="289"/>
      <c r="J213" s="251"/>
      <c r="K213" s="289"/>
    </row>
    <row r="214" spans="1:11" ht="14.25" customHeight="1" x14ac:dyDescent="0.25">
      <c r="A214" s="289"/>
      <c r="D214" s="721"/>
      <c r="E214" s="251"/>
      <c r="F214" s="251"/>
      <c r="G214" s="251"/>
      <c r="H214" s="289"/>
      <c r="J214" s="251"/>
      <c r="K214" s="289"/>
    </row>
    <row r="215" spans="1:11" ht="14.25" customHeight="1" x14ac:dyDescent="0.25">
      <c r="A215" s="289"/>
      <c r="D215" s="721"/>
      <c r="E215" s="251"/>
      <c r="F215" s="251"/>
      <c r="G215" s="251"/>
      <c r="H215" s="289"/>
      <c r="J215" s="251"/>
      <c r="K215" s="289"/>
    </row>
    <row r="216" spans="1:11" ht="14.25" customHeight="1" x14ac:dyDescent="0.25">
      <c r="A216" s="289"/>
      <c r="D216" s="721"/>
      <c r="E216" s="251"/>
      <c r="F216" s="251"/>
      <c r="G216" s="251"/>
      <c r="H216" s="289"/>
      <c r="J216" s="251"/>
      <c r="K216" s="289"/>
    </row>
    <row r="217" spans="1:11" ht="14.25" customHeight="1" x14ac:dyDescent="0.25">
      <c r="A217" s="289"/>
      <c r="D217" s="721"/>
      <c r="E217" s="251"/>
      <c r="F217" s="251"/>
      <c r="G217" s="251"/>
      <c r="H217" s="289"/>
      <c r="J217" s="251"/>
      <c r="K217" s="289"/>
    </row>
    <row r="218" spans="1:11" ht="15.75" customHeight="1" x14ac:dyDescent="0.25">
      <c r="D218" s="721"/>
      <c r="E218" s="251"/>
      <c r="F218" s="251"/>
      <c r="G218" s="251"/>
      <c r="J218" s="251"/>
    </row>
    <row r="219" spans="1:11" ht="15.75" customHeight="1" x14ac:dyDescent="0.25">
      <c r="D219" s="721"/>
      <c r="E219" s="251"/>
      <c r="F219" s="251"/>
      <c r="G219" s="251"/>
      <c r="J219" s="251"/>
    </row>
    <row r="220" spans="1:11" ht="15.75" customHeight="1" x14ac:dyDescent="0.25">
      <c r="D220" s="721"/>
      <c r="E220" s="251"/>
      <c r="F220" s="251"/>
      <c r="G220" s="251"/>
      <c r="J220" s="251"/>
    </row>
    <row r="221" spans="1:11" ht="15.75" customHeight="1" x14ac:dyDescent="0.25">
      <c r="D221" s="721"/>
      <c r="E221" s="251"/>
      <c r="F221" s="251"/>
      <c r="G221" s="251"/>
      <c r="J221" s="251"/>
    </row>
    <row r="222" spans="1:11" ht="15.75" customHeight="1" x14ac:dyDescent="0.25">
      <c r="D222" s="721"/>
      <c r="E222" s="251"/>
      <c r="F222" s="251"/>
      <c r="G222" s="251"/>
      <c r="J222" s="251"/>
    </row>
    <row r="223" spans="1:11" ht="15.75" customHeight="1" x14ac:dyDescent="0.25">
      <c r="D223" s="721"/>
      <c r="E223" s="251"/>
      <c r="F223" s="251"/>
      <c r="G223" s="251"/>
      <c r="J223" s="251"/>
    </row>
    <row r="224" spans="1:11" ht="15.75" customHeight="1" x14ac:dyDescent="0.25">
      <c r="D224" s="721"/>
      <c r="E224" s="251"/>
      <c r="F224" s="251"/>
      <c r="G224" s="251"/>
      <c r="J224" s="251"/>
    </row>
    <row r="225" spans="4:10" ht="15.75" customHeight="1" x14ac:dyDescent="0.25">
      <c r="D225" s="721"/>
      <c r="E225" s="251"/>
      <c r="F225" s="251"/>
      <c r="G225" s="251"/>
      <c r="J225" s="251"/>
    </row>
    <row r="226" spans="4:10" ht="15.75" customHeight="1" x14ac:dyDescent="0.25">
      <c r="D226" s="721"/>
      <c r="E226" s="251"/>
      <c r="F226" s="251"/>
      <c r="G226" s="251"/>
      <c r="J226" s="251"/>
    </row>
    <row r="227" spans="4:10" ht="15.75" customHeight="1" x14ac:dyDescent="0.25">
      <c r="D227" s="721"/>
      <c r="E227" s="251"/>
      <c r="F227" s="251"/>
      <c r="G227" s="251"/>
      <c r="J227" s="251"/>
    </row>
    <row r="228" spans="4:10" ht="15.75" customHeight="1" x14ac:dyDescent="0.25">
      <c r="D228" s="721"/>
      <c r="E228" s="251"/>
      <c r="F228" s="251"/>
      <c r="G228" s="251"/>
      <c r="J228" s="251"/>
    </row>
    <row r="229" spans="4:10" ht="15.75" customHeight="1" x14ac:dyDescent="0.25">
      <c r="D229" s="721"/>
      <c r="E229" s="251"/>
      <c r="F229" s="251"/>
      <c r="G229" s="251"/>
      <c r="J229" s="251"/>
    </row>
    <row r="230" spans="4:10" ht="15.75" customHeight="1" x14ac:dyDescent="0.25">
      <c r="D230" s="721"/>
      <c r="E230" s="251"/>
      <c r="F230" s="251"/>
      <c r="G230" s="251"/>
      <c r="J230" s="251"/>
    </row>
    <row r="231" spans="4:10" ht="15.75" customHeight="1" x14ac:dyDescent="0.25">
      <c r="D231" s="721"/>
      <c r="E231" s="251"/>
      <c r="F231" s="251"/>
      <c r="G231" s="251"/>
      <c r="J231" s="251"/>
    </row>
    <row r="232" spans="4:10" ht="15.75" customHeight="1" x14ac:dyDescent="0.25">
      <c r="D232" s="721"/>
      <c r="E232" s="251"/>
      <c r="F232" s="251"/>
      <c r="G232" s="251"/>
      <c r="J232" s="251"/>
    </row>
    <row r="233" spans="4:10" ht="15.75" customHeight="1" x14ac:dyDescent="0.25">
      <c r="D233" s="721"/>
      <c r="E233" s="251"/>
      <c r="F233" s="251"/>
      <c r="G233" s="251"/>
      <c r="J233" s="251"/>
    </row>
    <row r="234" spans="4:10" ht="15.75" customHeight="1" x14ac:dyDescent="0.25">
      <c r="D234" s="721"/>
      <c r="E234" s="251"/>
      <c r="F234" s="251"/>
      <c r="G234" s="251"/>
      <c r="J234" s="251"/>
    </row>
    <row r="235" spans="4:10" ht="15.75" customHeight="1" x14ac:dyDescent="0.25">
      <c r="D235" s="721"/>
      <c r="E235" s="251"/>
      <c r="F235" s="251"/>
      <c r="G235" s="251"/>
      <c r="J235" s="251"/>
    </row>
    <row r="236" spans="4:10" ht="15.75" customHeight="1" x14ac:dyDescent="0.25">
      <c r="D236" s="721"/>
      <c r="E236" s="251"/>
      <c r="F236" s="251"/>
      <c r="G236" s="251"/>
      <c r="J236" s="251"/>
    </row>
    <row r="237" spans="4:10" ht="15.75" customHeight="1" x14ac:dyDescent="0.25">
      <c r="D237" s="721"/>
      <c r="E237" s="251"/>
      <c r="F237" s="251"/>
      <c r="G237" s="251"/>
      <c r="J237" s="251"/>
    </row>
    <row r="238" spans="4:10" ht="15.75" customHeight="1" x14ac:dyDescent="0.25">
      <c r="D238" s="721"/>
      <c r="E238" s="251"/>
      <c r="F238" s="251"/>
      <c r="G238" s="251"/>
      <c r="J238" s="251"/>
    </row>
    <row r="239" spans="4:10" ht="15.75" customHeight="1" x14ac:dyDescent="0.25">
      <c r="D239" s="721"/>
      <c r="E239" s="251"/>
      <c r="F239" s="251"/>
      <c r="G239" s="251"/>
      <c r="J239" s="251"/>
    </row>
    <row r="240" spans="4:10" ht="15.75" customHeight="1" x14ac:dyDescent="0.25">
      <c r="D240" s="721"/>
      <c r="E240" s="251"/>
      <c r="F240" s="251"/>
      <c r="G240" s="251"/>
      <c r="J240" s="251"/>
    </row>
    <row r="241" spans="4:10" ht="15.75" customHeight="1" x14ac:dyDescent="0.25">
      <c r="D241" s="721"/>
      <c r="E241" s="251"/>
      <c r="F241" s="251"/>
      <c r="G241" s="251"/>
      <c r="J241" s="251"/>
    </row>
    <row r="242" spans="4:10" ht="15.75" customHeight="1" x14ac:dyDescent="0.25">
      <c r="D242" s="721"/>
      <c r="E242" s="251"/>
      <c r="F242" s="251"/>
      <c r="G242" s="251"/>
      <c r="J242" s="251"/>
    </row>
    <row r="243" spans="4:10" ht="15.75" customHeight="1" x14ac:dyDescent="0.25">
      <c r="D243" s="721"/>
      <c r="E243" s="251"/>
      <c r="F243" s="251"/>
      <c r="G243" s="251"/>
      <c r="J243" s="251"/>
    </row>
    <row r="244" spans="4:10" ht="15.75" customHeight="1" x14ac:dyDescent="0.25">
      <c r="D244" s="721"/>
      <c r="E244" s="251"/>
      <c r="F244" s="251"/>
      <c r="G244" s="251"/>
      <c r="J244" s="251"/>
    </row>
    <row r="245" spans="4:10" ht="15.75" customHeight="1" x14ac:dyDescent="0.25">
      <c r="D245" s="721"/>
      <c r="E245" s="251"/>
      <c r="F245" s="251"/>
      <c r="G245" s="251"/>
      <c r="J245" s="251"/>
    </row>
    <row r="246" spans="4:10" ht="15.75" customHeight="1" x14ac:dyDescent="0.25">
      <c r="D246" s="721"/>
      <c r="E246" s="251"/>
      <c r="F246" s="251"/>
      <c r="G246" s="251"/>
      <c r="J246" s="251"/>
    </row>
    <row r="247" spans="4:10" ht="15.75" customHeight="1" x14ac:dyDescent="0.25">
      <c r="D247" s="721"/>
      <c r="E247" s="251"/>
      <c r="F247" s="251"/>
      <c r="G247" s="251"/>
      <c r="J247" s="251"/>
    </row>
    <row r="248" spans="4:10" ht="15.75" customHeight="1" x14ac:dyDescent="0.25">
      <c r="D248" s="721"/>
      <c r="E248" s="251"/>
      <c r="F248" s="251"/>
      <c r="G248" s="251"/>
      <c r="J248" s="251"/>
    </row>
    <row r="249" spans="4:10" ht="15.75" customHeight="1" x14ac:dyDescent="0.25">
      <c r="D249" s="721"/>
      <c r="E249" s="251"/>
      <c r="F249" s="251"/>
      <c r="G249" s="251"/>
      <c r="J249" s="251"/>
    </row>
    <row r="250" spans="4:10" ht="15.75" customHeight="1" x14ac:dyDescent="0.25">
      <c r="D250" s="721"/>
      <c r="E250" s="251"/>
      <c r="F250" s="251"/>
      <c r="G250" s="251"/>
      <c r="J250" s="251"/>
    </row>
    <row r="251" spans="4:10" ht="15.75" customHeight="1" x14ac:dyDescent="0.25">
      <c r="D251" s="721"/>
      <c r="E251" s="251"/>
      <c r="F251" s="251"/>
      <c r="G251" s="251"/>
      <c r="J251" s="251"/>
    </row>
    <row r="252" spans="4:10" ht="15.75" customHeight="1" x14ac:dyDescent="0.25">
      <c r="D252" s="721"/>
      <c r="E252" s="251"/>
      <c r="F252" s="251"/>
      <c r="G252" s="251"/>
      <c r="J252" s="251"/>
    </row>
    <row r="253" spans="4:10" ht="15.75" customHeight="1" x14ac:dyDescent="0.25">
      <c r="D253" s="721"/>
      <c r="E253" s="251"/>
      <c r="F253" s="251"/>
      <c r="G253" s="251"/>
      <c r="J253" s="251"/>
    </row>
    <row r="254" spans="4:10" ht="15.75" customHeight="1" x14ac:dyDescent="0.25">
      <c r="D254" s="721"/>
      <c r="E254" s="251"/>
      <c r="F254" s="251"/>
      <c r="G254" s="251"/>
      <c r="J254" s="251"/>
    </row>
    <row r="255" spans="4:10" ht="15.75" customHeight="1" x14ac:dyDescent="0.25">
      <c r="D255" s="721"/>
      <c r="E255" s="251"/>
      <c r="F255" s="251"/>
      <c r="G255" s="251"/>
      <c r="J255" s="251"/>
    </row>
    <row r="256" spans="4:10" ht="15.75" customHeight="1" x14ac:dyDescent="0.25">
      <c r="D256" s="721"/>
      <c r="E256" s="251"/>
      <c r="F256" s="251"/>
      <c r="G256" s="251"/>
      <c r="J256" s="251"/>
    </row>
    <row r="257" spans="4:10" ht="15.75" customHeight="1" x14ac:dyDescent="0.25">
      <c r="D257" s="721"/>
      <c r="E257" s="251"/>
      <c r="F257" s="251"/>
      <c r="G257" s="251"/>
      <c r="J257" s="251"/>
    </row>
    <row r="258" spans="4:10" ht="15.75" customHeight="1" x14ac:dyDescent="0.25">
      <c r="D258" s="721"/>
      <c r="E258" s="251"/>
      <c r="F258" s="251"/>
      <c r="G258" s="251"/>
      <c r="J258" s="251"/>
    </row>
    <row r="259" spans="4:10" ht="15.75" customHeight="1" x14ac:dyDescent="0.25">
      <c r="D259" s="721"/>
      <c r="E259" s="251"/>
      <c r="F259" s="251"/>
      <c r="G259" s="251"/>
      <c r="J259" s="251"/>
    </row>
    <row r="260" spans="4:10" ht="15.75" customHeight="1" x14ac:dyDescent="0.25">
      <c r="D260" s="721"/>
      <c r="E260" s="251"/>
      <c r="F260" s="251"/>
      <c r="G260" s="251"/>
      <c r="J260" s="251"/>
    </row>
    <row r="261" spans="4:10" ht="15.75" customHeight="1" x14ac:dyDescent="0.25">
      <c r="D261" s="721"/>
      <c r="E261" s="251"/>
      <c r="F261" s="251"/>
      <c r="G261" s="251"/>
      <c r="J261" s="251"/>
    </row>
    <row r="262" spans="4:10" ht="15.75" customHeight="1" x14ac:dyDescent="0.25">
      <c r="D262" s="721"/>
      <c r="E262" s="251"/>
      <c r="F262" s="251"/>
      <c r="G262" s="251"/>
      <c r="J262" s="251"/>
    </row>
    <row r="263" spans="4:10" ht="15.75" customHeight="1" x14ac:dyDescent="0.25">
      <c r="D263" s="721"/>
      <c r="E263" s="251"/>
      <c r="F263" s="251"/>
      <c r="G263" s="251"/>
      <c r="J263" s="251"/>
    </row>
    <row r="264" spans="4:10" ht="15.75" customHeight="1" x14ac:dyDescent="0.25">
      <c r="D264" s="721"/>
      <c r="E264" s="251"/>
      <c r="F264" s="251"/>
      <c r="G264" s="251"/>
      <c r="J264" s="251"/>
    </row>
    <row r="265" spans="4:10" ht="15.75" customHeight="1" x14ac:dyDescent="0.25">
      <c r="D265" s="721"/>
      <c r="E265" s="251"/>
      <c r="F265" s="251"/>
      <c r="G265" s="251"/>
      <c r="J265" s="251"/>
    </row>
    <row r="266" spans="4:10" ht="15.75" customHeight="1" x14ac:dyDescent="0.25">
      <c r="D266" s="721"/>
      <c r="E266" s="251"/>
      <c r="F266" s="251"/>
      <c r="G266" s="251"/>
      <c r="J266" s="251"/>
    </row>
    <row r="267" spans="4:10" ht="15.75" customHeight="1" x14ac:dyDescent="0.25">
      <c r="D267" s="721"/>
      <c r="E267" s="251"/>
      <c r="F267" s="251"/>
      <c r="G267" s="251"/>
      <c r="J267" s="251"/>
    </row>
    <row r="268" spans="4:10" ht="15.75" customHeight="1" x14ac:dyDescent="0.25">
      <c r="D268" s="721"/>
      <c r="E268" s="251"/>
      <c r="F268" s="251"/>
      <c r="G268" s="251"/>
      <c r="J268" s="251"/>
    </row>
    <row r="269" spans="4:10" ht="15.75" customHeight="1" x14ac:dyDescent="0.25">
      <c r="D269" s="721"/>
      <c r="E269" s="251"/>
      <c r="F269" s="251"/>
      <c r="G269" s="251"/>
      <c r="J269" s="251"/>
    </row>
    <row r="270" spans="4:10" ht="15.75" customHeight="1" x14ac:dyDescent="0.25">
      <c r="D270" s="721"/>
      <c r="E270" s="251"/>
      <c r="F270" s="251"/>
      <c r="G270" s="251"/>
      <c r="J270" s="251"/>
    </row>
    <row r="271" spans="4:10" ht="15.75" customHeight="1" x14ac:dyDescent="0.25">
      <c r="D271" s="721"/>
      <c r="E271" s="251"/>
      <c r="F271" s="251"/>
      <c r="G271" s="251"/>
      <c r="J271" s="251"/>
    </row>
    <row r="272" spans="4:10" ht="15.75" customHeight="1" x14ac:dyDescent="0.25">
      <c r="D272" s="721"/>
      <c r="E272" s="251"/>
      <c r="F272" s="251"/>
      <c r="G272" s="251"/>
      <c r="J272" s="251"/>
    </row>
    <row r="273" spans="4:10" ht="15.75" customHeight="1" x14ac:dyDescent="0.25">
      <c r="D273" s="721"/>
      <c r="E273" s="251"/>
      <c r="F273" s="251"/>
      <c r="G273" s="251"/>
      <c r="J273" s="251"/>
    </row>
    <row r="274" spans="4:10" ht="15.75" customHeight="1" x14ac:dyDescent="0.25">
      <c r="D274" s="721"/>
      <c r="E274" s="251"/>
      <c r="F274" s="251"/>
      <c r="G274" s="251"/>
      <c r="J274" s="251"/>
    </row>
    <row r="275" spans="4:10" ht="15.75" customHeight="1" x14ac:dyDescent="0.25">
      <c r="D275" s="721"/>
      <c r="E275" s="251"/>
      <c r="F275" s="251"/>
      <c r="G275" s="251"/>
      <c r="J275" s="251"/>
    </row>
    <row r="276" spans="4:10" ht="15.75" customHeight="1" x14ac:dyDescent="0.25">
      <c r="D276" s="721"/>
      <c r="E276" s="251"/>
      <c r="F276" s="251"/>
      <c r="G276" s="251"/>
      <c r="J276" s="251"/>
    </row>
    <row r="277" spans="4:10" ht="15.75" customHeight="1" x14ac:dyDescent="0.25">
      <c r="D277" s="721"/>
      <c r="E277" s="251"/>
      <c r="F277" s="251"/>
      <c r="G277" s="251"/>
      <c r="J277" s="251"/>
    </row>
    <row r="278" spans="4:10" ht="15.75" customHeight="1" x14ac:dyDescent="0.25">
      <c r="D278" s="721"/>
      <c r="E278" s="251"/>
      <c r="F278" s="251"/>
      <c r="G278" s="251"/>
      <c r="J278" s="251"/>
    </row>
    <row r="279" spans="4:10" ht="15.75" customHeight="1" x14ac:dyDescent="0.25">
      <c r="D279" s="721"/>
      <c r="E279" s="251"/>
      <c r="F279" s="251"/>
      <c r="G279" s="251"/>
      <c r="J279" s="251"/>
    </row>
    <row r="280" spans="4:10" ht="15.75" customHeight="1" x14ac:dyDescent="0.25">
      <c r="D280" s="721"/>
      <c r="E280" s="251"/>
      <c r="F280" s="251"/>
      <c r="G280" s="251"/>
      <c r="J280" s="251"/>
    </row>
    <row r="281" spans="4:10" ht="15.75" customHeight="1" x14ac:dyDescent="0.25">
      <c r="D281" s="721"/>
      <c r="E281" s="251"/>
      <c r="F281" s="251"/>
      <c r="G281" s="251"/>
      <c r="J281" s="251"/>
    </row>
    <row r="282" spans="4:10" ht="15.75" customHeight="1" x14ac:dyDescent="0.25">
      <c r="D282" s="721"/>
      <c r="E282" s="251"/>
      <c r="F282" s="251"/>
      <c r="G282" s="251"/>
      <c r="J282" s="251"/>
    </row>
    <row r="283" spans="4:10" ht="15.75" customHeight="1" x14ac:dyDescent="0.25">
      <c r="D283" s="721"/>
      <c r="E283" s="251"/>
      <c r="F283" s="251"/>
      <c r="G283" s="251"/>
      <c r="J283" s="251"/>
    </row>
    <row r="284" spans="4:10" ht="15.75" customHeight="1" x14ac:dyDescent="0.25">
      <c r="D284" s="721"/>
      <c r="E284" s="251"/>
      <c r="F284" s="251"/>
      <c r="G284" s="251"/>
      <c r="J284" s="251"/>
    </row>
    <row r="285" spans="4:10" ht="15.75" customHeight="1" x14ac:dyDescent="0.25">
      <c r="D285" s="721"/>
      <c r="E285" s="251"/>
      <c r="F285" s="251"/>
      <c r="G285" s="251"/>
      <c r="J285" s="251"/>
    </row>
    <row r="286" spans="4:10" ht="15.75" customHeight="1" x14ac:dyDescent="0.25">
      <c r="D286" s="721"/>
      <c r="E286" s="251"/>
      <c r="F286" s="251"/>
      <c r="G286" s="251"/>
      <c r="J286" s="251"/>
    </row>
    <row r="287" spans="4:10" ht="15.75" customHeight="1" x14ac:dyDescent="0.25">
      <c r="D287" s="721"/>
      <c r="E287" s="251"/>
      <c r="F287" s="251"/>
      <c r="G287" s="251"/>
      <c r="J287" s="251"/>
    </row>
    <row r="288" spans="4:10" ht="15.75" customHeight="1" x14ac:dyDescent="0.25">
      <c r="D288" s="721"/>
      <c r="E288" s="251"/>
      <c r="F288" s="251"/>
      <c r="G288" s="251"/>
      <c r="J288" s="251"/>
    </row>
    <row r="289" spans="4:10" ht="15.75" customHeight="1" x14ac:dyDescent="0.25">
      <c r="D289" s="721"/>
      <c r="E289" s="251"/>
      <c r="F289" s="251"/>
      <c r="G289" s="251"/>
      <c r="J289" s="251"/>
    </row>
    <row r="290" spans="4:10" ht="15.75" customHeight="1" x14ac:dyDescent="0.25">
      <c r="D290" s="721"/>
      <c r="E290" s="251"/>
      <c r="F290" s="251"/>
      <c r="G290" s="251"/>
      <c r="J290" s="251"/>
    </row>
    <row r="291" spans="4:10" ht="15.75" customHeight="1" x14ac:dyDescent="0.25">
      <c r="D291" s="721"/>
      <c r="E291" s="251"/>
      <c r="F291" s="251"/>
      <c r="G291" s="251"/>
      <c r="J291" s="251"/>
    </row>
    <row r="292" spans="4:10" ht="15.75" customHeight="1" x14ac:dyDescent="0.25">
      <c r="D292" s="721"/>
      <c r="E292" s="251"/>
      <c r="F292" s="251"/>
      <c r="G292" s="251"/>
      <c r="J292" s="251"/>
    </row>
    <row r="293" spans="4:10" ht="15.75" customHeight="1" x14ac:dyDescent="0.25">
      <c r="D293" s="721"/>
      <c r="E293" s="251"/>
      <c r="F293" s="251"/>
      <c r="G293" s="251"/>
      <c r="J293" s="251"/>
    </row>
    <row r="294" spans="4:10" ht="15.75" customHeight="1" x14ac:dyDescent="0.25">
      <c r="D294" s="721"/>
      <c r="E294" s="251"/>
      <c r="F294" s="251"/>
      <c r="G294" s="251"/>
      <c r="J294" s="251"/>
    </row>
    <row r="295" spans="4:10" ht="15.75" customHeight="1" x14ac:dyDescent="0.25">
      <c r="D295" s="721"/>
      <c r="E295" s="251"/>
      <c r="F295" s="251"/>
      <c r="G295" s="251"/>
      <c r="J295" s="251"/>
    </row>
    <row r="296" spans="4:10" ht="15.75" customHeight="1" x14ac:dyDescent="0.25">
      <c r="D296" s="721"/>
      <c r="E296" s="251"/>
      <c r="F296" s="251"/>
      <c r="G296" s="251"/>
      <c r="J296" s="251"/>
    </row>
    <row r="297" spans="4:10" ht="15.75" customHeight="1" x14ac:dyDescent="0.25">
      <c r="D297" s="721"/>
      <c r="E297" s="251"/>
      <c r="F297" s="251"/>
      <c r="G297" s="251"/>
      <c r="J297" s="251"/>
    </row>
    <row r="298" spans="4:10" ht="15.75" customHeight="1" x14ac:dyDescent="0.25">
      <c r="D298" s="721"/>
      <c r="E298" s="251"/>
      <c r="F298" s="251"/>
      <c r="G298" s="251"/>
      <c r="J298" s="251"/>
    </row>
    <row r="299" spans="4:10" ht="15.75" customHeight="1" x14ac:dyDescent="0.25">
      <c r="D299" s="721"/>
      <c r="E299" s="251"/>
      <c r="F299" s="251"/>
      <c r="G299" s="251"/>
      <c r="J299" s="251"/>
    </row>
    <row r="300" spans="4:10" ht="15.75" customHeight="1" x14ac:dyDescent="0.25">
      <c r="D300" s="721"/>
      <c r="E300" s="251"/>
      <c r="F300" s="251"/>
      <c r="G300" s="251"/>
      <c r="J300" s="251"/>
    </row>
    <row r="301" spans="4:10" ht="15.75" customHeight="1" x14ac:dyDescent="0.25">
      <c r="D301" s="721"/>
      <c r="E301" s="251"/>
      <c r="F301" s="251"/>
      <c r="G301" s="251"/>
      <c r="J301" s="251"/>
    </row>
    <row r="302" spans="4:10" ht="15.75" customHeight="1" x14ac:dyDescent="0.25">
      <c r="D302" s="721"/>
      <c r="E302" s="251"/>
      <c r="F302" s="251"/>
      <c r="G302" s="251"/>
      <c r="J302" s="251"/>
    </row>
    <row r="303" spans="4:10" ht="15.75" customHeight="1" x14ac:dyDescent="0.25">
      <c r="D303" s="721"/>
      <c r="E303" s="251"/>
      <c r="F303" s="251"/>
      <c r="G303" s="251"/>
      <c r="J303" s="251"/>
    </row>
    <row r="304" spans="4:10" ht="15.75" customHeight="1" x14ac:dyDescent="0.25">
      <c r="D304" s="721"/>
      <c r="E304" s="251"/>
      <c r="F304" s="251"/>
      <c r="G304" s="251"/>
      <c r="J304" s="251"/>
    </row>
    <row r="305" spans="4:10" ht="15.75" customHeight="1" x14ac:dyDescent="0.25">
      <c r="D305" s="721"/>
      <c r="E305" s="251"/>
      <c r="F305" s="251"/>
      <c r="G305" s="251"/>
      <c r="J305" s="251"/>
    </row>
    <row r="306" spans="4:10" ht="15.75" customHeight="1" x14ac:dyDescent="0.25">
      <c r="D306" s="721"/>
      <c r="E306" s="251"/>
      <c r="F306" s="251"/>
      <c r="G306" s="251"/>
      <c r="J306" s="251"/>
    </row>
    <row r="307" spans="4:10" ht="15.75" customHeight="1" x14ac:dyDescent="0.25">
      <c r="D307" s="721"/>
      <c r="E307" s="251"/>
      <c r="F307" s="251"/>
      <c r="G307" s="251"/>
      <c r="J307" s="251"/>
    </row>
    <row r="308" spans="4:10" ht="15.75" customHeight="1" x14ac:dyDescent="0.25">
      <c r="D308" s="721"/>
      <c r="E308" s="251"/>
      <c r="F308" s="251"/>
      <c r="G308" s="251"/>
      <c r="J308" s="251"/>
    </row>
    <row r="309" spans="4:10" ht="15.75" customHeight="1" x14ac:dyDescent="0.25">
      <c r="D309" s="721"/>
      <c r="E309" s="251"/>
      <c r="F309" s="251"/>
      <c r="G309" s="251"/>
      <c r="J309" s="251"/>
    </row>
    <row r="310" spans="4:10" ht="15.75" customHeight="1" x14ac:dyDescent="0.25">
      <c r="D310" s="721"/>
      <c r="E310" s="251"/>
      <c r="F310" s="251"/>
      <c r="G310" s="251"/>
      <c r="J310" s="251"/>
    </row>
    <row r="311" spans="4:10" ht="15.75" customHeight="1" x14ac:dyDescent="0.25">
      <c r="D311" s="721"/>
      <c r="E311" s="251"/>
      <c r="F311" s="251"/>
      <c r="G311" s="251"/>
      <c r="J311" s="251"/>
    </row>
    <row r="312" spans="4:10" ht="15.75" customHeight="1" x14ac:dyDescent="0.25">
      <c r="D312" s="721"/>
      <c r="E312" s="251"/>
      <c r="F312" s="251"/>
      <c r="G312" s="251"/>
      <c r="J312" s="251"/>
    </row>
    <row r="313" spans="4:10" ht="15.75" customHeight="1" x14ac:dyDescent="0.25">
      <c r="D313" s="721"/>
      <c r="E313" s="251"/>
      <c r="F313" s="251"/>
      <c r="G313" s="251"/>
      <c r="J313" s="251"/>
    </row>
    <row r="314" spans="4:10" ht="15.75" customHeight="1" x14ac:dyDescent="0.25">
      <c r="D314" s="721"/>
      <c r="E314" s="251"/>
      <c r="F314" s="251"/>
      <c r="G314" s="251"/>
      <c r="J314" s="251"/>
    </row>
    <row r="315" spans="4:10" ht="15.75" customHeight="1" x14ac:dyDescent="0.25">
      <c r="D315" s="721"/>
      <c r="E315" s="251"/>
      <c r="F315" s="251"/>
      <c r="G315" s="251"/>
      <c r="J315" s="251"/>
    </row>
    <row r="316" spans="4:10" ht="15.75" customHeight="1" x14ac:dyDescent="0.25">
      <c r="D316" s="721"/>
      <c r="E316" s="251"/>
      <c r="F316" s="251"/>
      <c r="G316" s="251"/>
      <c r="J316" s="251"/>
    </row>
    <row r="317" spans="4:10" ht="15.75" customHeight="1" x14ac:dyDescent="0.25">
      <c r="D317" s="721"/>
      <c r="E317" s="251"/>
      <c r="F317" s="251"/>
      <c r="G317" s="251"/>
      <c r="J317" s="251"/>
    </row>
    <row r="318" spans="4:10" ht="15.75" customHeight="1" x14ac:dyDescent="0.25">
      <c r="D318" s="721"/>
      <c r="E318" s="251"/>
      <c r="F318" s="251"/>
      <c r="G318" s="251"/>
      <c r="J318" s="251"/>
    </row>
    <row r="319" spans="4:10" ht="15.75" customHeight="1" x14ac:dyDescent="0.25">
      <c r="D319" s="721"/>
      <c r="E319" s="251"/>
      <c r="F319" s="251"/>
      <c r="G319" s="251"/>
      <c r="J319" s="251"/>
    </row>
    <row r="320" spans="4:10" ht="15.75" customHeight="1" x14ac:dyDescent="0.25">
      <c r="D320" s="721"/>
      <c r="E320" s="251"/>
      <c r="F320" s="251"/>
      <c r="G320" s="251"/>
      <c r="J320" s="251"/>
    </row>
    <row r="321" spans="4:10" ht="15.75" customHeight="1" x14ac:dyDescent="0.25">
      <c r="D321" s="721"/>
      <c r="E321" s="251"/>
      <c r="F321" s="251"/>
      <c r="G321" s="251"/>
      <c r="J321" s="251"/>
    </row>
    <row r="322" spans="4:10" ht="15.75" customHeight="1" x14ac:dyDescent="0.25">
      <c r="D322" s="721"/>
      <c r="E322" s="251"/>
      <c r="F322" s="251"/>
      <c r="G322" s="251"/>
      <c r="J322" s="251"/>
    </row>
    <row r="323" spans="4:10" ht="15.75" customHeight="1" x14ac:dyDescent="0.25">
      <c r="D323" s="721"/>
      <c r="E323" s="251"/>
      <c r="F323" s="251"/>
      <c r="G323" s="251"/>
      <c r="J323" s="251"/>
    </row>
    <row r="324" spans="4:10" ht="15.75" customHeight="1" x14ac:dyDescent="0.25">
      <c r="D324" s="721"/>
      <c r="E324" s="251"/>
      <c r="F324" s="251"/>
      <c r="G324" s="251"/>
      <c r="J324" s="251"/>
    </row>
    <row r="325" spans="4:10" ht="15.75" customHeight="1" x14ac:dyDescent="0.25">
      <c r="D325" s="721"/>
      <c r="E325" s="251"/>
      <c r="F325" s="251"/>
      <c r="G325" s="251"/>
      <c r="J325" s="251"/>
    </row>
    <row r="326" spans="4:10" ht="15.75" customHeight="1" x14ac:dyDescent="0.25">
      <c r="D326" s="721"/>
      <c r="E326" s="251"/>
      <c r="F326" s="251"/>
      <c r="G326" s="251"/>
      <c r="J326" s="251"/>
    </row>
    <row r="327" spans="4:10" ht="15.75" customHeight="1" x14ac:dyDescent="0.25">
      <c r="D327" s="721"/>
      <c r="E327" s="251"/>
      <c r="F327" s="251"/>
      <c r="G327" s="251"/>
      <c r="J327" s="251"/>
    </row>
    <row r="328" spans="4:10" ht="15.75" customHeight="1" x14ac:dyDescent="0.25">
      <c r="D328" s="721"/>
      <c r="E328" s="251"/>
      <c r="F328" s="251"/>
      <c r="G328" s="251"/>
      <c r="J328" s="251"/>
    </row>
    <row r="329" spans="4:10" ht="15.75" customHeight="1" x14ac:dyDescent="0.25">
      <c r="D329" s="721"/>
      <c r="E329" s="251"/>
      <c r="F329" s="251"/>
      <c r="G329" s="251"/>
      <c r="J329" s="251"/>
    </row>
    <row r="330" spans="4:10" ht="15.75" customHeight="1" x14ac:dyDescent="0.25">
      <c r="D330" s="721"/>
      <c r="E330" s="251"/>
      <c r="F330" s="251"/>
      <c r="G330" s="251"/>
      <c r="J330" s="251"/>
    </row>
    <row r="331" spans="4:10" ht="15.75" customHeight="1" x14ac:dyDescent="0.25">
      <c r="D331" s="721"/>
      <c r="E331" s="251"/>
      <c r="F331" s="251"/>
      <c r="G331" s="251"/>
      <c r="J331" s="251"/>
    </row>
    <row r="332" spans="4:10" ht="15.75" customHeight="1" x14ac:dyDescent="0.25">
      <c r="D332" s="721"/>
      <c r="E332" s="251"/>
      <c r="F332" s="251"/>
      <c r="G332" s="251"/>
      <c r="J332" s="251"/>
    </row>
    <row r="333" spans="4:10" ht="15.75" customHeight="1" x14ac:dyDescent="0.25">
      <c r="D333" s="721"/>
      <c r="E333" s="251"/>
      <c r="F333" s="251"/>
      <c r="G333" s="251"/>
      <c r="J333" s="251"/>
    </row>
    <row r="334" spans="4:10" ht="15.75" customHeight="1" x14ac:dyDescent="0.25">
      <c r="D334" s="721"/>
      <c r="E334" s="251"/>
      <c r="F334" s="251"/>
      <c r="G334" s="251"/>
      <c r="J334" s="251"/>
    </row>
    <row r="335" spans="4:10" ht="15.75" customHeight="1" x14ac:dyDescent="0.25">
      <c r="D335" s="721"/>
      <c r="E335" s="251"/>
      <c r="F335" s="251"/>
      <c r="G335" s="251"/>
      <c r="J335" s="251"/>
    </row>
    <row r="336" spans="4:10" ht="15.75" customHeight="1" x14ac:dyDescent="0.25">
      <c r="D336" s="721"/>
      <c r="E336" s="251"/>
      <c r="F336" s="251"/>
      <c r="G336" s="251"/>
      <c r="J336" s="251"/>
    </row>
    <row r="337" spans="4:10" ht="15.75" customHeight="1" x14ac:dyDescent="0.25">
      <c r="D337" s="721"/>
      <c r="E337" s="251"/>
      <c r="F337" s="251"/>
      <c r="G337" s="251"/>
      <c r="J337" s="251"/>
    </row>
    <row r="338" spans="4:10" ht="15.75" customHeight="1" x14ac:dyDescent="0.25">
      <c r="D338" s="721"/>
      <c r="E338" s="251"/>
      <c r="F338" s="251"/>
      <c r="G338" s="251"/>
      <c r="J338" s="251"/>
    </row>
    <row r="339" spans="4:10" ht="15.75" customHeight="1" x14ac:dyDescent="0.25">
      <c r="D339" s="721"/>
      <c r="E339" s="251"/>
      <c r="F339" s="251"/>
      <c r="G339" s="251"/>
      <c r="J339" s="251"/>
    </row>
    <row r="340" spans="4:10" ht="15.75" customHeight="1" x14ac:dyDescent="0.25">
      <c r="D340" s="721"/>
      <c r="E340" s="251"/>
      <c r="F340" s="251"/>
      <c r="G340" s="251"/>
      <c r="J340" s="251"/>
    </row>
    <row r="341" spans="4:10" ht="15.75" customHeight="1" x14ac:dyDescent="0.25">
      <c r="D341" s="721"/>
      <c r="E341" s="251"/>
      <c r="F341" s="251"/>
      <c r="G341" s="251"/>
      <c r="J341" s="251"/>
    </row>
    <row r="342" spans="4:10" ht="15.75" customHeight="1" x14ac:dyDescent="0.25">
      <c r="D342" s="721"/>
      <c r="E342" s="251"/>
      <c r="F342" s="251"/>
      <c r="G342" s="251"/>
      <c r="J342" s="251"/>
    </row>
    <row r="343" spans="4:10" ht="15.75" customHeight="1" x14ac:dyDescent="0.25">
      <c r="D343" s="721"/>
      <c r="E343" s="251"/>
      <c r="F343" s="251"/>
      <c r="G343" s="251"/>
      <c r="J343" s="251"/>
    </row>
    <row r="344" spans="4:10" ht="15.75" customHeight="1" x14ac:dyDescent="0.25">
      <c r="D344" s="721"/>
      <c r="E344" s="251"/>
      <c r="F344" s="251"/>
      <c r="G344" s="251"/>
      <c r="J344" s="251"/>
    </row>
    <row r="345" spans="4:10" ht="15.75" customHeight="1" x14ac:dyDescent="0.25">
      <c r="D345" s="721"/>
      <c r="E345" s="251"/>
      <c r="F345" s="251"/>
      <c r="G345" s="251"/>
      <c r="J345" s="251"/>
    </row>
    <row r="346" spans="4:10" ht="15.75" customHeight="1" x14ac:dyDescent="0.25">
      <c r="D346" s="721"/>
      <c r="E346" s="251"/>
      <c r="F346" s="251"/>
      <c r="G346" s="251"/>
      <c r="J346" s="251"/>
    </row>
    <row r="347" spans="4:10" ht="15.75" customHeight="1" x14ac:dyDescent="0.25">
      <c r="D347" s="721"/>
      <c r="E347" s="251"/>
      <c r="F347" s="251"/>
      <c r="G347" s="251"/>
      <c r="J347" s="251"/>
    </row>
    <row r="348" spans="4:10" ht="15.75" customHeight="1" x14ac:dyDescent="0.25">
      <c r="D348" s="721"/>
      <c r="E348" s="251"/>
      <c r="F348" s="251"/>
      <c r="G348" s="251"/>
      <c r="J348" s="251"/>
    </row>
    <row r="349" spans="4:10" ht="15.75" customHeight="1" x14ac:dyDescent="0.25">
      <c r="D349" s="721"/>
      <c r="E349" s="251"/>
      <c r="F349" s="251"/>
      <c r="G349" s="251"/>
      <c r="J349" s="251"/>
    </row>
    <row r="350" spans="4:10" ht="15.75" customHeight="1" x14ac:dyDescent="0.25">
      <c r="D350" s="721"/>
      <c r="E350" s="251"/>
      <c r="F350" s="251"/>
      <c r="G350" s="251"/>
      <c r="J350" s="251"/>
    </row>
    <row r="351" spans="4:10" ht="15.75" customHeight="1" x14ac:dyDescent="0.25">
      <c r="D351" s="721"/>
      <c r="E351" s="251"/>
      <c r="F351" s="251"/>
      <c r="G351" s="251"/>
      <c r="J351" s="251"/>
    </row>
    <row r="352" spans="4:10" ht="15.75" customHeight="1" x14ac:dyDescent="0.25">
      <c r="D352" s="721"/>
      <c r="E352" s="251"/>
      <c r="F352" s="251"/>
      <c r="G352" s="251"/>
      <c r="J352" s="251"/>
    </row>
    <row r="353" spans="4:10" ht="15.75" customHeight="1" x14ac:dyDescent="0.25">
      <c r="D353" s="721"/>
      <c r="E353" s="251"/>
      <c r="F353" s="251"/>
      <c r="G353" s="251"/>
      <c r="J353" s="251"/>
    </row>
    <row r="354" spans="4:10" ht="15.75" customHeight="1" x14ac:dyDescent="0.25">
      <c r="D354" s="721"/>
      <c r="E354" s="251"/>
      <c r="F354" s="251"/>
      <c r="G354" s="251"/>
      <c r="J354" s="251"/>
    </row>
    <row r="355" spans="4:10" ht="15.75" customHeight="1" x14ac:dyDescent="0.25">
      <c r="D355" s="721"/>
      <c r="E355" s="251"/>
      <c r="F355" s="251"/>
      <c r="G355" s="251"/>
      <c r="J355" s="251"/>
    </row>
    <row r="356" spans="4:10" ht="15.75" customHeight="1" x14ac:dyDescent="0.25">
      <c r="D356" s="721"/>
      <c r="E356" s="251"/>
      <c r="F356" s="251"/>
      <c r="G356" s="251"/>
      <c r="J356" s="251"/>
    </row>
    <row r="357" spans="4:10" ht="15.75" customHeight="1" x14ac:dyDescent="0.25">
      <c r="D357" s="721"/>
      <c r="E357" s="251"/>
      <c r="F357" s="251"/>
      <c r="G357" s="251"/>
      <c r="J357" s="251"/>
    </row>
    <row r="358" spans="4:10" ht="15.75" customHeight="1" x14ac:dyDescent="0.25">
      <c r="D358" s="721"/>
      <c r="E358" s="251"/>
      <c r="F358" s="251"/>
      <c r="G358" s="251"/>
      <c r="J358" s="251"/>
    </row>
    <row r="359" spans="4:10" ht="15.75" customHeight="1" x14ac:dyDescent="0.25">
      <c r="D359" s="721"/>
      <c r="E359" s="251"/>
      <c r="F359" s="251"/>
      <c r="G359" s="251"/>
      <c r="J359" s="251"/>
    </row>
    <row r="360" spans="4:10" ht="15.75" customHeight="1" x14ac:dyDescent="0.25">
      <c r="D360" s="721"/>
      <c r="E360" s="251"/>
      <c r="F360" s="251"/>
      <c r="G360" s="251"/>
      <c r="J360" s="251"/>
    </row>
    <row r="361" spans="4:10" ht="15.75" customHeight="1" x14ac:dyDescent="0.25">
      <c r="D361" s="721"/>
      <c r="E361" s="251"/>
      <c r="F361" s="251"/>
      <c r="G361" s="251"/>
      <c r="J361" s="251"/>
    </row>
    <row r="362" spans="4:10" ht="15.75" customHeight="1" x14ac:dyDescent="0.25">
      <c r="D362" s="721"/>
      <c r="E362" s="251"/>
      <c r="F362" s="251"/>
      <c r="G362" s="251"/>
      <c r="J362" s="251"/>
    </row>
    <row r="363" spans="4:10" ht="15.75" customHeight="1" x14ac:dyDescent="0.25">
      <c r="D363" s="721"/>
      <c r="E363" s="251"/>
      <c r="F363" s="251"/>
      <c r="G363" s="251"/>
      <c r="J363" s="251"/>
    </row>
    <row r="364" spans="4:10" ht="15.75" customHeight="1" x14ac:dyDescent="0.25">
      <c r="D364" s="721"/>
      <c r="E364" s="251"/>
      <c r="F364" s="251"/>
      <c r="G364" s="251"/>
      <c r="J364" s="251"/>
    </row>
    <row r="365" spans="4:10" ht="15.75" customHeight="1" x14ac:dyDescent="0.25">
      <c r="D365" s="721"/>
      <c r="E365" s="251"/>
      <c r="F365" s="251"/>
      <c r="G365" s="251"/>
      <c r="J365" s="251"/>
    </row>
    <row r="366" spans="4:10" ht="15.75" customHeight="1" x14ac:dyDescent="0.25">
      <c r="D366" s="721"/>
      <c r="E366" s="251"/>
      <c r="F366" s="251"/>
      <c r="G366" s="251"/>
      <c r="J366" s="251"/>
    </row>
    <row r="367" spans="4:10" ht="15.75" customHeight="1" x14ac:dyDescent="0.25">
      <c r="D367" s="721"/>
      <c r="E367" s="251"/>
      <c r="F367" s="251"/>
      <c r="G367" s="251"/>
      <c r="J367" s="251"/>
    </row>
    <row r="368" spans="4:10" ht="15.75" customHeight="1" x14ac:dyDescent="0.25">
      <c r="D368" s="721"/>
      <c r="E368" s="251"/>
      <c r="F368" s="251"/>
      <c r="G368" s="251"/>
      <c r="J368" s="251"/>
    </row>
    <row r="369" spans="4:10" ht="15.75" customHeight="1" x14ac:dyDescent="0.25">
      <c r="D369" s="721"/>
      <c r="E369" s="251"/>
      <c r="F369" s="251"/>
      <c r="G369" s="251"/>
      <c r="J369" s="251"/>
    </row>
    <row r="370" spans="4:10" ht="15.75" customHeight="1" x14ac:dyDescent="0.25">
      <c r="D370" s="721"/>
      <c r="E370" s="251"/>
      <c r="F370" s="251"/>
      <c r="G370" s="251"/>
      <c r="J370" s="251"/>
    </row>
    <row r="371" spans="4:10" ht="15.75" customHeight="1" x14ac:dyDescent="0.25">
      <c r="D371" s="721"/>
      <c r="E371" s="251"/>
      <c r="F371" s="251"/>
      <c r="G371" s="251"/>
      <c r="J371" s="251"/>
    </row>
    <row r="372" spans="4:10" ht="15.75" customHeight="1" x14ac:dyDescent="0.25">
      <c r="D372" s="721"/>
      <c r="E372" s="251"/>
      <c r="F372" s="251"/>
      <c r="G372" s="251"/>
      <c r="J372" s="251"/>
    </row>
    <row r="373" spans="4:10" ht="15.75" customHeight="1" x14ac:dyDescent="0.25">
      <c r="D373" s="721"/>
      <c r="E373" s="251"/>
      <c r="F373" s="251"/>
      <c r="G373" s="251"/>
      <c r="J373" s="251"/>
    </row>
    <row r="374" spans="4:10" ht="15.75" customHeight="1" x14ac:dyDescent="0.25">
      <c r="D374" s="721"/>
      <c r="E374" s="251"/>
      <c r="F374" s="251"/>
      <c r="G374" s="251"/>
      <c r="J374" s="251"/>
    </row>
    <row r="375" spans="4:10" ht="15.75" customHeight="1" x14ac:dyDescent="0.25">
      <c r="D375" s="721"/>
      <c r="E375" s="251"/>
      <c r="F375" s="251"/>
      <c r="G375" s="251"/>
      <c r="J375" s="251"/>
    </row>
    <row r="376" spans="4:10" ht="15.75" customHeight="1" x14ac:dyDescent="0.25">
      <c r="D376" s="721"/>
      <c r="E376" s="251"/>
      <c r="F376" s="251"/>
      <c r="G376" s="251"/>
      <c r="J376" s="251"/>
    </row>
    <row r="377" spans="4:10" ht="15.75" customHeight="1" x14ac:dyDescent="0.25">
      <c r="D377" s="721"/>
      <c r="E377" s="251"/>
      <c r="F377" s="251"/>
      <c r="G377" s="251"/>
      <c r="J377" s="251"/>
    </row>
    <row r="378" spans="4:10" ht="15.75" customHeight="1" x14ac:dyDescent="0.25">
      <c r="D378" s="721"/>
      <c r="E378" s="251"/>
      <c r="F378" s="251"/>
      <c r="G378" s="251"/>
      <c r="J378" s="251"/>
    </row>
    <row r="379" spans="4:10" ht="15.75" customHeight="1" x14ac:dyDescent="0.25">
      <c r="D379" s="721"/>
      <c r="E379" s="251"/>
      <c r="F379" s="251"/>
      <c r="G379" s="251"/>
      <c r="J379" s="251"/>
    </row>
    <row r="380" spans="4:10" ht="15.75" customHeight="1" x14ac:dyDescent="0.25">
      <c r="D380" s="721"/>
      <c r="E380" s="251"/>
      <c r="F380" s="251"/>
      <c r="G380" s="251"/>
      <c r="J380" s="251"/>
    </row>
    <row r="381" spans="4:10" ht="15.75" customHeight="1" x14ac:dyDescent="0.25">
      <c r="D381" s="721"/>
      <c r="E381" s="251"/>
      <c r="F381" s="251"/>
      <c r="G381" s="251"/>
      <c r="J381" s="251"/>
    </row>
    <row r="382" spans="4:10" ht="15.75" customHeight="1" x14ac:dyDescent="0.25">
      <c r="D382" s="721"/>
      <c r="E382" s="251"/>
      <c r="F382" s="251"/>
      <c r="G382" s="251"/>
      <c r="J382" s="251"/>
    </row>
    <row r="383" spans="4:10" ht="15.75" customHeight="1" x14ac:dyDescent="0.25">
      <c r="D383" s="721"/>
      <c r="E383" s="251"/>
      <c r="F383" s="251"/>
      <c r="G383" s="251"/>
      <c r="J383" s="251"/>
    </row>
    <row r="384" spans="4:10" ht="15.75" customHeight="1" x14ac:dyDescent="0.25">
      <c r="D384" s="721"/>
      <c r="E384" s="251"/>
      <c r="F384" s="251"/>
      <c r="G384" s="251"/>
      <c r="J384" s="251"/>
    </row>
    <row r="385" spans="4:10" ht="15.75" customHeight="1" x14ac:dyDescent="0.25">
      <c r="D385" s="721"/>
      <c r="E385" s="251"/>
      <c r="F385" s="251"/>
      <c r="G385" s="251"/>
      <c r="J385" s="251"/>
    </row>
    <row r="386" spans="4:10" ht="15.75" customHeight="1" x14ac:dyDescent="0.25">
      <c r="D386" s="721"/>
      <c r="E386" s="251"/>
      <c r="F386" s="251"/>
      <c r="G386" s="251"/>
      <c r="J386" s="251"/>
    </row>
    <row r="387" spans="4:10" ht="15.75" customHeight="1" x14ac:dyDescent="0.25">
      <c r="D387" s="721"/>
      <c r="E387" s="251"/>
      <c r="F387" s="251"/>
      <c r="G387" s="251"/>
      <c r="J387" s="251"/>
    </row>
    <row r="388" spans="4:10" ht="15.75" customHeight="1" x14ac:dyDescent="0.25">
      <c r="D388" s="721"/>
      <c r="E388" s="251"/>
      <c r="F388" s="251"/>
      <c r="G388" s="251"/>
      <c r="J388" s="251"/>
    </row>
    <row r="389" spans="4:10" ht="15.75" customHeight="1" x14ac:dyDescent="0.25">
      <c r="D389" s="721"/>
      <c r="E389" s="251"/>
      <c r="F389" s="251"/>
      <c r="G389" s="251"/>
      <c r="J389" s="251"/>
    </row>
    <row r="390" spans="4:10" ht="15.75" customHeight="1" x14ac:dyDescent="0.25">
      <c r="D390" s="721"/>
      <c r="E390" s="251"/>
      <c r="F390" s="251"/>
      <c r="G390" s="251"/>
      <c r="J390" s="251"/>
    </row>
    <row r="391" spans="4:10" ht="15.75" customHeight="1" x14ac:dyDescent="0.25">
      <c r="D391" s="721"/>
      <c r="E391" s="251"/>
      <c r="F391" s="251"/>
      <c r="G391" s="251"/>
      <c r="J391" s="251"/>
    </row>
    <row r="392" spans="4:10" ht="15.75" customHeight="1" x14ac:dyDescent="0.25">
      <c r="D392" s="721"/>
      <c r="E392" s="251"/>
      <c r="F392" s="251"/>
      <c r="G392" s="251"/>
      <c r="J392" s="251"/>
    </row>
    <row r="393" spans="4:10" ht="15.75" customHeight="1" x14ac:dyDescent="0.25">
      <c r="D393" s="721"/>
      <c r="E393" s="251"/>
      <c r="F393" s="251"/>
      <c r="G393" s="251"/>
      <c r="J393" s="251"/>
    </row>
    <row r="394" spans="4:10" ht="15.75" customHeight="1" x14ac:dyDescent="0.25">
      <c r="D394" s="721"/>
      <c r="E394" s="251"/>
      <c r="F394" s="251"/>
      <c r="G394" s="251"/>
      <c r="J394" s="251"/>
    </row>
    <row r="395" spans="4:10" ht="15.75" customHeight="1" x14ac:dyDescent="0.25">
      <c r="D395" s="721"/>
      <c r="E395" s="251"/>
      <c r="F395" s="251"/>
      <c r="G395" s="251"/>
      <c r="J395" s="251"/>
    </row>
    <row r="396" spans="4:10" ht="15.75" customHeight="1" x14ac:dyDescent="0.25">
      <c r="D396" s="721"/>
      <c r="E396" s="251"/>
      <c r="F396" s="251"/>
      <c r="G396" s="251"/>
      <c r="J396" s="251"/>
    </row>
    <row r="397" spans="4:10" ht="15.75" customHeight="1" x14ac:dyDescent="0.25">
      <c r="D397" s="721"/>
      <c r="E397" s="251"/>
      <c r="F397" s="251"/>
      <c r="G397" s="251"/>
      <c r="J397" s="251"/>
    </row>
    <row r="398" spans="4:10" ht="15.75" customHeight="1" x14ac:dyDescent="0.25">
      <c r="D398" s="721"/>
      <c r="E398" s="251"/>
      <c r="F398" s="251"/>
      <c r="G398" s="251"/>
      <c r="J398" s="251"/>
    </row>
    <row r="399" spans="4:10" ht="15.75" customHeight="1" x14ac:dyDescent="0.25">
      <c r="D399" s="721"/>
      <c r="E399" s="251"/>
      <c r="F399" s="251"/>
      <c r="G399" s="251"/>
      <c r="J399" s="251"/>
    </row>
    <row r="400" spans="4:10" ht="15.75" customHeight="1" x14ac:dyDescent="0.25">
      <c r="D400" s="721"/>
      <c r="E400" s="251"/>
      <c r="F400" s="251"/>
      <c r="G400" s="251"/>
      <c r="J400" s="251"/>
    </row>
    <row r="401" spans="4:10" ht="15.75" customHeight="1" x14ac:dyDescent="0.25">
      <c r="D401" s="721"/>
      <c r="E401" s="251"/>
      <c r="F401" s="251"/>
      <c r="G401" s="251"/>
      <c r="J401" s="251"/>
    </row>
    <row r="402" spans="4:10" ht="15.75" customHeight="1" x14ac:dyDescent="0.25">
      <c r="D402" s="721"/>
      <c r="E402" s="251"/>
      <c r="F402" s="251"/>
      <c r="G402" s="251"/>
      <c r="J402" s="251"/>
    </row>
    <row r="403" spans="4:10" ht="15.75" customHeight="1" x14ac:dyDescent="0.25">
      <c r="D403" s="721"/>
      <c r="E403" s="251"/>
      <c r="F403" s="251"/>
      <c r="G403" s="251"/>
      <c r="J403" s="251"/>
    </row>
    <row r="404" spans="4:10" ht="15.75" customHeight="1" x14ac:dyDescent="0.25">
      <c r="D404" s="721"/>
      <c r="E404" s="251"/>
      <c r="F404" s="251"/>
      <c r="G404" s="251"/>
      <c r="J404" s="251"/>
    </row>
    <row r="405" spans="4:10" ht="15.75" customHeight="1" x14ac:dyDescent="0.25">
      <c r="D405" s="721"/>
      <c r="E405" s="251"/>
      <c r="F405" s="251"/>
      <c r="G405" s="251"/>
      <c r="J405" s="251"/>
    </row>
    <row r="406" spans="4:10" ht="15.75" customHeight="1" x14ac:dyDescent="0.25">
      <c r="D406" s="721"/>
      <c r="E406" s="251"/>
      <c r="F406" s="251"/>
      <c r="G406" s="251"/>
      <c r="J406" s="251"/>
    </row>
    <row r="407" spans="4:10" ht="15.75" customHeight="1" x14ac:dyDescent="0.25">
      <c r="D407" s="721"/>
      <c r="E407" s="251"/>
      <c r="F407" s="251"/>
      <c r="G407" s="251"/>
      <c r="J407" s="251"/>
    </row>
    <row r="408" spans="4:10" ht="15.75" customHeight="1" x14ac:dyDescent="0.25">
      <c r="D408" s="721"/>
      <c r="E408" s="251"/>
      <c r="F408" s="251"/>
      <c r="G408" s="251"/>
      <c r="J408" s="251"/>
    </row>
    <row r="409" spans="4:10" ht="15.75" customHeight="1" x14ac:dyDescent="0.25">
      <c r="D409" s="721"/>
      <c r="E409" s="251"/>
      <c r="F409" s="251"/>
      <c r="G409" s="251"/>
      <c r="J409" s="251"/>
    </row>
    <row r="410" spans="4:10" ht="15.75" customHeight="1" x14ac:dyDescent="0.25">
      <c r="D410" s="721"/>
      <c r="E410" s="251"/>
      <c r="F410" s="251"/>
      <c r="G410" s="251"/>
      <c r="J410" s="251"/>
    </row>
    <row r="411" spans="4:10" ht="15.75" customHeight="1" x14ac:dyDescent="0.25">
      <c r="D411" s="721"/>
      <c r="E411" s="251"/>
      <c r="F411" s="251"/>
      <c r="G411" s="251"/>
      <c r="J411" s="251"/>
    </row>
    <row r="412" spans="4:10" ht="15.75" customHeight="1" x14ac:dyDescent="0.25">
      <c r="D412" s="721"/>
      <c r="E412" s="251"/>
      <c r="F412" s="251"/>
      <c r="G412" s="251"/>
      <c r="J412" s="251"/>
    </row>
    <row r="413" spans="4:10" ht="15.75" customHeight="1" x14ac:dyDescent="0.25">
      <c r="D413" s="721"/>
      <c r="E413" s="251"/>
      <c r="F413" s="251"/>
      <c r="G413" s="251"/>
      <c r="J413" s="251"/>
    </row>
    <row r="414" spans="4:10" ht="15.75" customHeight="1" x14ac:dyDescent="0.25">
      <c r="D414" s="721"/>
      <c r="E414" s="251"/>
      <c r="F414" s="251"/>
      <c r="G414" s="251"/>
      <c r="J414" s="251"/>
    </row>
    <row r="415" spans="4:10" ht="15.75" customHeight="1" x14ac:dyDescent="0.25">
      <c r="D415" s="721"/>
      <c r="E415" s="251"/>
      <c r="F415" s="251"/>
      <c r="G415" s="251"/>
      <c r="J415" s="251"/>
    </row>
    <row r="416" spans="4:10" ht="15.75" customHeight="1" x14ac:dyDescent="0.25">
      <c r="D416" s="721"/>
      <c r="E416" s="251"/>
      <c r="F416" s="251"/>
      <c r="G416" s="251"/>
      <c r="J416" s="251"/>
    </row>
    <row r="417" spans="4:10" ht="15.75" customHeight="1" x14ac:dyDescent="0.25">
      <c r="D417" s="721"/>
      <c r="E417" s="251"/>
      <c r="F417" s="251"/>
      <c r="G417" s="251"/>
      <c r="J417" s="251"/>
    </row>
    <row r="418" spans="4:10" ht="15.75" customHeight="1" x14ac:dyDescent="0.25">
      <c r="D418" s="721"/>
      <c r="E418" s="251"/>
      <c r="F418" s="251"/>
      <c r="G418" s="251"/>
      <c r="J418" s="251"/>
    </row>
    <row r="419" spans="4:10" ht="15.75" customHeight="1" x14ac:dyDescent="0.25">
      <c r="D419" s="721"/>
      <c r="E419" s="251"/>
      <c r="F419" s="251"/>
      <c r="G419" s="251"/>
      <c r="J419" s="251"/>
    </row>
    <row r="420" spans="4:10" ht="15.75" customHeight="1" x14ac:dyDescent="0.25">
      <c r="D420" s="721"/>
      <c r="E420" s="251"/>
      <c r="F420" s="251"/>
      <c r="G420" s="251"/>
      <c r="J420" s="251"/>
    </row>
    <row r="421" spans="4:10" ht="15.75" customHeight="1" x14ac:dyDescent="0.25">
      <c r="D421" s="721"/>
      <c r="E421" s="251"/>
      <c r="F421" s="251"/>
      <c r="G421" s="251"/>
      <c r="J421" s="251"/>
    </row>
    <row r="422" spans="4:10" ht="15.75" customHeight="1" x14ac:dyDescent="0.25">
      <c r="D422" s="721"/>
      <c r="E422" s="251"/>
      <c r="F422" s="251"/>
      <c r="G422" s="251"/>
      <c r="J422" s="251"/>
    </row>
    <row r="423" spans="4:10" ht="15.75" customHeight="1" x14ac:dyDescent="0.25">
      <c r="D423" s="721"/>
      <c r="E423" s="251"/>
      <c r="F423" s="251"/>
      <c r="G423" s="251"/>
      <c r="J423" s="251"/>
    </row>
    <row r="424" spans="4:10" ht="15.75" customHeight="1" x14ac:dyDescent="0.25">
      <c r="D424" s="721"/>
      <c r="E424" s="251"/>
      <c r="F424" s="251"/>
      <c r="G424" s="251"/>
      <c r="J424" s="251"/>
    </row>
    <row r="425" spans="4:10" ht="15.75" customHeight="1" x14ac:dyDescent="0.25">
      <c r="D425" s="721"/>
      <c r="E425" s="251"/>
      <c r="F425" s="251"/>
      <c r="G425" s="251"/>
      <c r="J425" s="251"/>
    </row>
    <row r="426" spans="4:10" ht="15.75" customHeight="1" x14ac:dyDescent="0.25">
      <c r="D426" s="721"/>
      <c r="E426" s="251"/>
      <c r="F426" s="251"/>
      <c r="G426" s="251"/>
      <c r="J426" s="251"/>
    </row>
    <row r="427" spans="4:10" ht="15.75" customHeight="1" x14ac:dyDescent="0.25">
      <c r="D427" s="721"/>
      <c r="E427" s="251"/>
      <c r="F427" s="251"/>
      <c r="G427" s="251"/>
      <c r="J427" s="251"/>
    </row>
    <row r="428" spans="4:10" ht="15.75" customHeight="1" x14ac:dyDescent="0.25">
      <c r="D428" s="721"/>
      <c r="E428" s="251"/>
      <c r="F428" s="251"/>
      <c r="G428" s="251"/>
      <c r="J428" s="251"/>
    </row>
    <row r="429" spans="4:10" ht="15.75" customHeight="1" x14ac:dyDescent="0.25">
      <c r="D429" s="721"/>
      <c r="E429" s="251"/>
      <c r="F429" s="251"/>
      <c r="G429" s="251"/>
      <c r="J429" s="251"/>
    </row>
    <row r="430" spans="4:10" ht="15.75" customHeight="1" x14ac:dyDescent="0.25">
      <c r="D430" s="721"/>
      <c r="E430" s="251"/>
      <c r="F430" s="251"/>
      <c r="G430" s="251"/>
      <c r="J430" s="251"/>
    </row>
    <row r="431" spans="4:10" ht="15.75" customHeight="1" x14ac:dyDescent="0.25">
      <c r="D431" s="721"/>
      <c r="E431" s="251"/>
      <c r="F431" s="251"/>
      <c r="G431" s="251"/>
      <c r="J431" s="251"/>
    </row>
    <row r="432" spans="4:10" ht="15.75" customHeight="1" x14ac:dyDescent="0.25">
      <c r="D432" s="721"/>
      <c r="E432" s="251"/>
      <c r="F432" s="251"/>
      <c r="G432" s="251"/>
      <c r="J432" s="251"/>
    </row>
    <row r="433" spans="4:10" ht="15.75" customHeight="1" x14ac:dyDescent="0.25">
      <c r="D433" s="721"/>
      <c r="E433" s="251"/>
      <c r="F433" s="251"/>
      <c r="G433" s="251"/>
      <c r="J433" s="251"/>
    </row>
    <row r="434" spans="4:10" ht="15.75" customHeight="1" x14ac:dyDescent="0.25">
      <c r="D434" s="721"/>
      <c r="E434" s="251"/>
      <c r="F434" s="251"/>
      <c r="G434" s="251"/>
      <c r="J434" s="251"/>
    </row>
    <row r="435" spans="4:10" ht="15.75" customHeight="1" x14ac:dyDescent="0.25">
      <c r="D435" s="721"/>
      <c r="E435" s="251"/>
      <c r="F435" s="251"/>
      <c r="G435" s="251"/>
      <c r="J435" s="251"/>
    </row>
    <row r="436" spans="4:10" ht="15.75" customHeight="1" x14ac:dyDescent="0.25">
      <c r="D436" s="721"/>
      <c r="E436" s="251"/>
      <c r="F436" s="251"/>
      <c r="G436" s="251"/>
      <c r="J436" s="251"/>
    </row>
    <row r="437" spans="4:10" ht="15.75" customHeight="1" x14ac:dyDescent="0.25">
      <c r="D437" s="721"/>
      <c r="E437" s="251"/>
      <c r="F437" s="251"/>
      <c r="G437" s="251"/>
      <c r="J437" s="251"/>
    </row>
    <row r="438" spans="4:10" ht="15.75" customHeight="1" x14ac:dyDescent="0.25">
      <c r="D438" s="721"/>
      <c r="E438" s="251"/>
      <c r="F438" s="251"/>
      <c r="G438" s="251"/>
      <c r="J438" s="251"/>
    </row>
    <row r="439" spans="4:10" ht="15.75" customHeight="1" x14ac:dyDescent="0.25">
      <c r="D439" s="721"/>
      <c r="E439" s="251"/>
      <c r="F439" s="251"/>
      <c r="G439" s="251"/>
      <c r="J439" s="251"/>
    </row>
    <row r="440" spans="4:10" ht="15.75" customHeight="1" x14ac:dyDescent="0.25">
      <c r="D440" s="721"/>
      <c r="E440" s="251"/>
      <c r="F440" s="251"/>
      <c r="G440" s="251"/>
      <c r="J440" s="251"/>
    </row>
    <row r="441" spans="4:10" ht="15.75" customHeight="1" x14ac:dyDescent="0.25">
      <c r="D441" s="721"/>
      <c r="E441" s="251"/>
      <c r="F441" s="251"/>
      <c r="G441" s="251"/>
      <c r="J441" s="251"/>
    </row>
    <row r="442" spans="4:10" ht="15.75" customHeight="1" x14ac:dyDescent="0.25">
      <c r="D442" s="721"/>
      <c r="E442" s="251"/>
      <c r="F442" s="251"/>
      <c r="G442" s="251"/>
      <c r="J442" s="251"/>
    </row>
    <row r="443" spans="4:10" ht="15.75" customHeight="1" x14ac:dyDescent="0.25">
      <c r="D443" s="721"/>
      <c r="E443" s="251"/>
      <c r="F443" s="251"/>
      <c r="G443" s="251"/>
      <c r="J443" s="251"/>
    </row>
    <row r="444" spans="4:10" ht="15.75" customHeight="1" x14ac:dyDescent="0.25">
      <c r="D444" s="721"/>
      <c r="E444" s="251"/>
      <c r="F444" s="251"/>
      <c r="G444" s="251"/>
      <c r="J444" s="251"/>
    </row>
    <row r="445" spans="4:10" ht="15.75" customHeight="1" x14ac:dyDescent="0.25">
      <c r="D445" s="721"/>
      <c r="E445" s="251"/>
      <c r="F445" s="251"/>
      <c r="G445" s="251"/>
      <c r="J445" s="251"/>
    </row>
    <row r="446" spans="4:10" ht="15.75" customHeight="1" x14ac:dyDescent="0.25">
      <c r="D446" s="721"/>
      <c r="E446" s="251"/>
      <c r="F446" s="251"/>
      <c r="G446" s="251"/>
      <c r="J446" s="251"/>
    </row>
    <row r="447" spans="4:10" ht="15.75" customHeight="1" x14ac:dyDescent="0.25">
      <c r="D447" s="721"/>
      <c r="E447" s="251"/>
      <c r="F447" s="251"/>
      <c r="G447" s="251"/>
      <c r="J447" s="251"/>
    </row>
    <row r="448" spans="4:10" ht="15.75" customHeight="1" x14ac:dyDescent="0.25">
      <c r="D448" s="721"/>
      <c r="E448" s="251"/>
      <c r="F448" s="251"/>
      <c r="G448" s="251"/>
      <c r="J448" s="251"/>
    </row>
    <row r="449" spans="4:10" ht="15.75" customHeight="1" x14ac:dyDescent="0.25">
      <c r="D449" s="721"/>
      <c r="E449" s="251"/>
      <c r="F449" s="251"/>
      <c r="G449" s="251"/>
      <c r="J449" s="251"/>
    </row>
    <row r="450" spans="4:10" ht="15.75" customHeight="1" x14ac:dyDescent="0.25">
      <c r="D450" s="721"/>
      <c r="E450" s="251"/>
      <c r="F450" s="251"/>
      <c r="G450" s="251"/>
      <c r="J450" s="251"/>
    </row>
    <row r="451" spans="4:10" ht="15.75" customHeight="1" x14ac:dyDescent="0.25">
      <c r="D451" s="721"/>
      <c r="E451" s="251"/>
      <c r="F451" s="251"/>
      <c r="G451" s="251"/>
      <c r="J451" s="251"/>
    </row>
    <row r="452" spans="4:10" ht="15.75" customHeight="1" x14ac:dyDescent="0.25">
      <c r="D452" s="721"/>
      <c r="E452" s="251"/>
      <c r="F452" s="251"/>
      <c r="G452" s="251"/>
      <c r="J452" s="251"/>
    </row>
    <row r="453" spans="4:10" ht="15.75" customHeight="1" x14ac:dyDescent="0.25">
      <c r="D453" s="721"/>
      <c r="E453" s="251"/>
      <c r="F453" s="251"/>
      <c r="G453" s="251"/>
      <c r="J453" s="251"/>
    </row>
    <row r="454" spans="4:10" ht="15.75" customHeight="1" x14ac:dyDescent="0.25">
      <c r="D454" s="721"/>
      <c r="E454" s="251"/>
      <c r="F454" s="251"/>
      <c r="G454" s="251"/>
      <c r="J454" s="251"/>
    </row>
    <row r="455" spans="4:10" ht="15.75" customHeight="1" x14ac:dyDescent="0.25">
      <c r="D455" s="721"/>
      <c r="E455" s="251"/>
      <c r="F455" s="251"/>
      <c r="G455" s="251"/>
      <c r="J455" s="251"/>
    </row>
    <row r="456" spans="4:10" ht="15.75" customHeight="1" x14ac:dyDescent="0.25">
      <c r="D456" s="721"/>
      <c r="E456" s="251"/>
      <c r="F456" s="251"/>
      <c r="G456" s="251"/>
      <c r="J456" s="251"/>
    </row>
    <row r="457" spans="4:10" ht="15.75" customHeight="1" x14ac:dyDescent="0.25">
      <c r="D457" s="721"/>
      <c r="E457" s="251"/>
      <c r="F457" s="251"/>
      <c r="G457" s="251"/>
      <c r="J457" s="251"/>
    </row>
    <row r="458" spans="4:10" ht="15.75" customHeight="1" x14ac:dyDescent="0.25">
      <c r="D458" s="721"/>
      <c r="E458" s="251"/>
      <c r="F458" s="251"/>
      <c r="G458" s="251"/>
      <c r="J458" s="251"/>
    </row>
    <row r="459" spans="4:10" ht="15.75" customHeight="1" x14ac:dyDescent="0.25">
      <c r="D459" s="721"/>
      <c r="E459" s="251"/>
      <c r="F459" s="251"/>
      <c r="G459" s="251"/>
      <c r="J459" s="251"/>
    </row>
    <row r="460" spans="4:10" ht="15.75" customHeight="1" x14ac:dyDescent="0.25">
      <c r="D460" s="721"/>
      <c r="E460" s="251"/>
      <c r="F460" s="251"/>
      <c r="G460" s="251"/>
      <c r="J460" s="251"/>
    </row>
    <row r="461" spans="4:10" ht="15.75" customHeight="1" x14ac:dyDescent="0.25">
      <c r="D461" s="721"/>
      <c r="E461" s="251"/>
      <c r="F461" s="251"/>
      <c r="G461" s="251"/>
      <c r="J461" s="251"/>
    </row>
    <row r="462" spans="4:10" ht="15.75" customHeight="1" x14ac:dyDescent="0.25">
      <c r="D462" s="721"/>
      <c r="E462" s="251"/>
      <c r="F462" s="251"/>
      <c r="G462" s="251"/>
      <c r="J462" s="251"/>
    </row>
    <row r="463" spans="4:10" ht="15.75" customHeight="1" x14ac:dyDescent="0.25">
      <c r="D463" s="721"/>
      <c r="E463" s="251"/>
      <c r="F463" s="251"/>
      <c r="G463" s="251"/>
      <c r="J463" s="251"/>
    </row>
    <row r="464" spans="4:10" ht="15.75" customHeight="1" x14ac:dyDescent="0.25">
      <c r="D464" s="721"/>
      <c r="E464" s="251"/>
      <c r="F464" s="251"/>
      <c r="G464" s="251"/>
      <c r="J464" s="251"/>
    </row>
    <row r="465" spans="4:10" ht="15.75" customHeight="1" x14ac:dyDescent="0.25">
      <c r="D465" s="721"/>
      <c r="E465" s="251"/>
      <c r="F465" s="251"/>
      <c r="G465" s="251"/>
      <c r="J465" s="251"/>
    </row>
    <row r="466" spans="4:10" ht="15.75" customHeight="1" x14ac:dyDescent="0.25">
      <c r="D466" s="721"/>
      <c r="E466" s="251"/>
      <c r="F466" s="251"/>
      <c r="G466" s="251"/>
      <c r="J466" s="251"/>
    </row>
    <row r="467" spans="4:10" ht="15.75" customHeight="1" x14ac:dyDescent="0.25">
      <c r="D467" s="721"/>
      <c r="E467" s="251"/>
      <c r="F467" s="251"/>
      <c r="G467" s="251"/>
      <c r="J467" s="251"/>
    </row>
    <row r="468" spans="4:10" ht="15.75" customHeight="1" x14ac:dyDescent="0.25">
      <c r="D468" s="721"/>
      <c r="E468" s="251"/>
      <c r="F468" s="251"/>
      <c r="G468" s="251"/>
      <c r="J468" s="251"/>
    </row>
    <row r="469" spans="4:10" ht="15.75" customHeight="1" x14ac:dyDescent="0.25">
      <c r="D469" s="721"/>
      <c r="E469" s="251"/>
      <c r="F469" s="251"/>
      <c r="G469" s="251"/>
      <c r="J469" s="251"/>
    </row>
    <row r="470" spans="4:10" ht="15.75" customHeight="1" x14ac:dyDescent="0.25">
      <c r="D470" s="721"/>
      <c r="E470" s="251"/>
      <c r="F470" s="251"/>
      <c r="G470" s="251"/>
      <c r="J470" s="251"/>
    </row>
    <row r="471" spans="4:10" ht="15.75" customHeight="1" x14ac:dyDescent="0.25">
      <c r="D471" s="721"/>
      <c r="E471" s="251"/>
      <c r="F471" s="251"/>
      <c r="G471" s="251"/>
      <c r="J471" s="251"/>
    </row>
    <row r="472" spans="4:10" ht="15.75" customHeight="1" x14ac:dyDescent="0.25">
      <c r="D472" s="721"/>
      <c r="E472" s="251"/>
      <c r="F472" s="251"/>
      <c r="G472" s="251"/>
      <c r="J472" s="251"/>
    </row>
    <row r="473" spans="4:10" ht="15.75" customHeight="1" x14ac:dyDescent="0.25">
      <c r="D473" s="721"/>
      <c r="E473" s="251"/>
      <c r="F473" s="251"/>
      <c r="G473" s="251"/>
      <c r="J473" s="251"/>
    </row>
    <row r="474" spans="4:10" ht="15.75" customHeight="1" x14ac:dyDescent="0.25">
      <c r="D474" s="721"/>
      <c r="E474" s="251"/>
      <c r="F474" s="251"/>
      <c r="G474" s="251"/>
      <c r="J474" s="251"/>
    </row>
    <row r="475" spans="4:10" ht="15.75" customHeight="1" x14ac:dyDescent="0.25">
      <c r="D475" s="721"/>
      <c r="E475" s="251"/>
      <c r="F475" s="251"/>
      <c r="G475" s="251"/>
      <c r="J475" s="251"/>
    </row>
    <row r="476" spans="4:10" ht="15.75" customHeight="1" x14ac:dyDescent="0.25">
      <c r="D476" s="721"/>
      <c r="E476" s="251"/>
      <c r="F476" s="251"/>
      <c r="G476" s="251"/>
      <c r="J476" s="251"/>
    </row>
    <row r="477" spans="4:10" ht="15.75" customHeight="1" x14ac:dyDescent="0.25">
      <c r="D477" s="721"/>
      <c r="E477" s="251"/>
      <c r="F477" s="251"/>
      <c r="G477" s="251"/>
      <c r="J477" s="251"/>
    </row>
    <row r="478" spans="4:10" ht="15.75" customHeight="1" x14ac:dyDescent="0.25">
      <c r="D478" s="721"/>
      <c r="E478" s="251"/>
      <c r="F478" s="251"/>
      <c r="G478" s="251"/>
      <c r="J478" s="251"/>
    </row>
    <row r="479" spans="4:10" ht="15.75" customHeight="1" x14ac:dyDescent="0.25">
      <c r="D479" s="721"/>
      <c r="E479" s="251"/>
      <c r="F479" s="251"/>
      <c r="G479" s="251"/>
      <c r="J479" s="251"/>
    </row>
    <row r="480" spans="4:10" ht="15.75" customHeight="1" x14ac:dyDescent="0.25">
      <c r="D480" s="721"/>
      <c r="E480" s="251"/>
      <c r="F480" s="251"/>
      <c r="G480" s="251"/>
      <c r="J480" s="251"/>
    </row>
    <row r="481" spans="4:10" ht="15.75" customHeight="1" x14ac:dyDescent="0.25">
      <c r="D481" s="721"/>
      <c r="E481" s="251"/>
      <c r="F481" s="251"/>
      <c r="G481" s="251"/>
      <c r="J481" s="251"/>
    </row>
    <row r="482" spans="4:10" ht="15.75" customHeight="1" x14ac:dyDescent="0.25">
      <c r="D482" s="721"/>
      <c r="E482" s="251"/>
      <c r="F482" s="251"/>
      <c r="G482" s="251"/>
      <c r="J482" s="251"/>
    </row>
    <row r="483" spans="4:10" ht="15.75" customHeight="1" x14ac:dyDescent="0.25">
      <c r="D483" s="721"/>
      <c r="E483" s="251"/>
      <c r="F483" s="251"/>
      <c r="G483" s="251"/>
      <c r="J483" s="251"/>
    </row>
    <row r="484" spans="4:10" ht="15.75" customHeight="1" x14ac:dyDescent="0.25">
      <c r="D484" s="721"/>
      <c r="E484" s="251"/>
      <c r="F484" s="251"/>
      <c r="G484" s="251"/>
      <c r="J484" s="251"/>
    </row>
    <row r="485" spans="4:10" ht="15.75" customHeight="1" x14ac:dyDescent="0.25">
      <c r="D485" s="721"/>
      <c r="E485" s="251"/>
      <c r="F485" s="251"/>
      <c r="G485" s="251"/>
      <c r="J485" s="251"/>
    </row>
    <row r="486" spans="4:10" ht="15.75" customHeight="1" x14ac:dyDescent="0.25">
      <c r="D486" s="721"/>
      <c r="E486" s="251"/>
      <c r="F486" s="251"/>
      <c r="G486" s="251"/>
      <c r="J486" s="251"/>
    </row>
    <row r="487" spans="4:10" ht="15.75" customHeight="1" x14ac:dyDescent="0.25">
      <c r="D487" s="721"/>
      <c r="E487" s="251"/>
      <c r="F487" s="251"/>
      <c r="G487" s="251"/>
      <c r="J487" s="251"/>
    </row>
    <row r="488" spans="4:10" ht="15.75" customHeight="1" x14ac:dyDescent="0.25">
      <c r="D488" s="721"/>
      <c r="E488" s="251"/>
      <c r="F488" s="251"/>
      <c r="G488" s="251"/>
      <c r="J488" s="251"/>
    </row>
    <row r="489" spans="4:10" ht="15.75" customHeight="1" x14ac:dyDescent="0.25">
      <c r="D489" s="721"/>
      <c r="E489" s="251"/>
      <c r="F489" s="251"/>
      <c r="G489" s="251"/>
      <c r="J489" s="251"/>
    </row>
    <row r="490" spans="4:10" ht="15.75" customHeight="1" x14ac:dyDescent="0.25">
      <c r="D490" s="721"/>
      <c r="E490" s="251"/>
      <c r="F490" s="251"/>
      <c r="G490" s="251"/>
      <c r="J490" s="251"/>
    </row>
    <row r="491" spans="4:10" ht="15.75" customHeight="1" x14ac:dyDescent="0.25">
      <c r="D491" s="721"/>
      <c r="E491" s="251"/>
      <c r="F491" s="251"/>
      <c r="G491" s="251"/>
      <c r="J491" s="251"/>
    </row>
    <row r="492" spans="4:10" ht="15.75" customHeight="1" x14ac:dyDescent="0.25">
      <c r="D492" s="721"/>
      <c r="E492" s="251"/>
      <c r="F492" s="251"/>
      <c r="G492" s="251"/>
      <c r="J492" s="251"/>
    </row>
    <row r="493" spans="4:10" ht="15.75" customHeight="1" x14ac:dyDescent="0.25">
      <c r="D493" s="721"/>
      <c r="E493" s="251"/>
      <c r="F493" s="251"/>
      <c r="G493" s="251"/>
      <c r="J493" s="251"/>
    </row>
    <row r="494" spans="4:10" ht="15.75" customHeight="1" x14ac:dyDescent="0.25">
      <c r="D494" s="721"/>
      <c r="E494" s="251"/>
      <c r="F494" s="251"/>
      <c r="G494" s="251"/>
      <c r="J494" s="251"/>
    </row>
    <row r="495" spans="4:10" ht="15.75" customHeight="1" x14ac:dyDescent="0.25">
      <c r="D495" s="721"/>
      <c r="E495" s="251"/>
      <c r="F495" s="251"/>
      <c r="G495" s="251"/>
      <c r="J495" s="251"/>
    </row>
    <row r="496" spans="4:10" ht="15.75" customHeight="1" x14ac:dyDescent="0.25">
      <c r="D496" s="721"/>
      <c r="E496" s="251"/>
      <c r="F496" s="251"/>
      <c r="G496" s="251"/>
      <c r="J496" s="251"/>
    </row>
    <row r="497" spans="4:10" ht="15.75" customHeight="1" x14ac:dyDescent="0.25">
      <c r="D497" s="721"/>
      <c r="E497" s="251"/>
      <c r="F497" s="251"/>
      <c r="G497" s="251"/>
      <c r="J497" s="251"/>
    </row>
    <row r="498" spans="4:10" ht="15.75" customHeight="1" x14ac:dyDescent="0.25">
      <c r="D498" s="721"/>
      <c r="E498" s="251"/>
      <c r="F498" s="251"/>
      <c r="G498" s="251"/>
      <c r="J498" s="251"/>
    </row>
    <row r="499" spans="4:10" ht="15.75" customHeight="1" x14ac:dyDescent="0.25">
      <c r="D499" s="721"/>
      <c r="E499" s="251"/>
      <c r="F499" s="251"/>
      <c r="G499" s="251"/>
      <c r="J499" s="251"/>
    </row>
    <row r="500" spans="4:10" ht="15.75" customHeight="1" x14ac:dyDescent="0.25">
      <c r="D500" s="721"/>
      <c r="E500" s="251"/>
      <c r="F500" s="251"/>
      <c r="G500" s="251"/>
      <c r="J500" s="251"/>
    </row>
    <row r="501" spans="4:10" ht="15.75" customHeight="1" x14ac:dyDescent="0.25">
      <c r="D501" s="721"/>
      <c r="E501" s="251"/>
      <c r="F501" s="251"/>
      <c r="G501" s="251"/>
      <c r="J501" s="251"/>
    </row>
    <row r="502" spans="4:10" ht="15.75" customHeight="1" x14ac:dyDescent="0.25">
      <c r="D502" s="721"/>
      <c r="E502" s="251"/>
      <c r="F502" s="251"/>
      <c r="G502" s="251"/>
      <c r="J502" s="251"/>
    </row>
    <row r="503" spans="4:10" ht="15.75" customHeight="1" x14ac:dyDescent="0.25">
      <c r="D503" s="721"/>
      <c r="E503" s="251"/>
      <c r="F503" s="251"/>
      <c r="G503" s="251"/>
      <c r="J503" s="251"/>
    </row>
    <row r="504" spans="4:10" ht="15.75" customHeight="1" x14ac:dyDescent="0.25">
      <c r="D504" s="721"/>
      <c r="E504" s="251"/>
      <c r="F504" s="251"/>
      <c r="G504" s="251"/>
      <c r="J504" s="251"/>
    </row>
    <row r="505" spans="4:10" ht="15.75" customHeight="1" x14ac:dyDescent="0.25">
      <c r="D505" s="721"/>
      <c r="E505" s="251"/>
      <c r="F505" s="251"/>
      <c r="G505" s="251"/>
      <c r="J505" s="251"/>
    </row>
    <row r="506" spans="4:10" ht="15.75" customHeight="1" x14ac:dyDescent="0.25">
      <c r="D506" s="721"/>
      <c r="E506" s="251"/>
      <c r="F506" s="251"/>
      <c r="G506" s="251"/>
      <c r="J506" s="251"/>
    </row>
    <row r="507" spans="4:10" ht="15.75" customHeight="1" x14ac:dyDescent="0.25">
      <c r="D507" s="721"/>
      <c r="E507" s="251"/>
      <c r="F507" s="251"/>
      <c r="G507" s="251"/>
      <c r="J507" s="251"/>
    </row>
    <row r="508" spans="4:10" ht="15.75" customHeight="1" x14ac:dyDescent="0.25">
      <c r="D508" s="721"/>
      <c r="E508" s="251"/>
      <c r="F508" s="251"/>
      <c r="G508" s="251"/>
      <c r="J508" s="251"/>
    </row>
    <row r="509" spans="4:10" ht="15.75" customHeight="1" x14ac:dyDescent="0.25">
      <c r="D509" s="721"/>
      <c r="E509" s="251"/>
      <c r="F509" s="251"/>
      <c r="G509" s="251"/>
      <c r="J509" s="251"/>
    </row>
    <row r="510" spans="4:10" ht="15.75" customHeight="1" x14ac:dyDescent="0.25">
      <c r="D510" s="721"/>
      <c r="E510" s="251"/>
      <c r="F510" s="251"/>
      <c r="G510" s="251"/>
      <c r="J510" s="251"/>
    </row>
    <row r="511" spans="4:10" ht="15.75" customHeight="1" x14ac:dyDescent="0.25">
      <c r="D511" s="721"/>
      <c r="E511" s="251"/>
      <c r="F511" s="251"/>
      <c r="G511" s="251"/>
      <c r="J511" s="251"/>
    </row>
    <row r="512" spans="4:10" ht="15.75" customHeight="1" x14ac:dyDescent="0.25">
      <c r="D512" s="721"/>
      <c r="E512" s="251"/>
      <c r="F512" s="251"/>
      <c r="G512" s="251"/>
      <c r="J512" s="251"/>
    </row>
    <row r="513" spans="4:10" ht="15.75" customHeight="1" x14ac:dyDescent="0.25">
      <c r="D513" s="721"/>
      <c r="E513" s="251"/>
      <c r="F513" s="251"/>
      <c r="G513" s="251"/>
      <c r="J513" s="251"/>
    </row>
    <row r="514" spans="4:10" ht="15.75" customHeight="1" x14ac:dyDescent="0.25">
      <c r="D514" s="721"/>
      <c r="E514" s="251"/>
      <c r="F514" s="251"/>
      <c r="G514" s="251"/>
      <c r="J514" s="251"/>
    </row>
    <row r="515" spans="4:10" ht="15.75" customHeight="1" x14ac:dyDescent="0.25">
      <c r="D515" s="721"/>
      <c r="E515" s="251"/>
      <c r="F515" s="251"/>
      <c r="G515" s="251"/>
      <c r="J515" s="251"/>
    </row>
    <row r="516" spans="4:10" ht="15.75" customHeight="1" x14ac:dyDescent="0.25">
      <c r="D516" s="721"/>
      <c r="E516" s="251"/>
      <c r="F516" s="251"/>
      <c r="G516" s="251"/>
      <c r="J516" s="251"/>
    </row>
    <row r="517" spans="4:10" ht="15.75" customHeight="1" x14ac:dyDescent="0.25">
      <c r="D517" s="721"/>
      <c r="E517" s="251"/>
      <c r="F517" s="251"/>
      <c r="G517" s="251"/>
      <c r="J517" s="251"/>
    </row>
    <row r="518" spans="4:10" ht="15.75" customHeight="1" x14ac:dyDescent="0.25">
      <c r="D518" s="721"/>
      <c r="E518" s="251"/>
      <c r="F518" s="251"/>
      <c r="G518" s="251"/>
      <c r="J518" s="251"/>
    </row>
    <row r="519" spans="4:10" ht="15.75" customHeight="1" x14ac:dyDescent="0.25">
      <c r="D519" s="721"/>
      <c r="E519" s="251"/>
      <c r="F519" s="251"/>
      <c r="G519" s="251"/>
      <c r="J519" s="251"/>
    </row>
    <row r="520" spans="4:10" ht="15.75" customHeight="1" x14ac:dyDescent="0.25">
      <c r="D520" s="721"/>
      <c r="E520" s="251"/>
      <c r="F520" s="251"/>
      <c r="G520" s="251"/>
      <c r="J520" s="251"/>
    </row>
    <row r="521" spans="4:10" ht="15.75" customHeight="1" x14ac:dyDescent="0.25">
      <c r="D521" s="721"/>
      <c r="E521" s="251"/>
      <c r="F521" s="251"/>
      <c r="G521" s="251"/>
      <c r="J521" s="251"/>
    </row>
    <row r="522" spans="4:10" ht="15.75" customHeight="1" x14ac:dyDescent="0.25">
      <c r="D522" s="721"/>
      <c r="E522" s="251"/>
      <c r="F522" s="251"/>
      <c r="G522" s="251"/>
      <c r="J522" s="251"/>
    </row>
    <row r="523" spans="4:10" ht="15.75" customHeight="1" x14ac:dyDescent="0.25">
      <c r="D523" s="721"/>
      <c r="E523" s="251"/>
      <c r="F523" s="251"/>
      <c r="G523" s="251"/>
      <c r="J523" s="251"/>
    </row>
    <row r="524" spans="4:10" ht="15.75" customHeight="1" x14ac:dyDescent="0.25">
      <c r="D524" s="721"/>
      <c r="E524" s="251"/>
      <c r="F524" s="251"/>
      <c r="G524" s="251"/>
      <c r="J524" s="251"/>
    </row>
    <row r="525" spans="4:10" ht="15.75" customHeight="1" x14ac:dyDescent="0.25">
      <c r="D525" s="721"/>
      <c r="E525" s="251"/>
      <c r="F525" s="251"/>
      <c r="G525" s="251"/>
      <c r="J525" s="251"/>
    </row>
    <row r="526" spans="4:10" ht="15.75" customHeight="1" x14ac:dyDescent="0.25">
      <c r="D526" s="721"/>
      <c r="E526" s="251"/>
      <c r="F526" s="251"/>
      <c r="G526" s="251"/>
      <c r="J526" s="251"/>
    </row>
    <row r="527" spans="4:10" ht="15.75" customHeight="1" x14ac:dyDescent="0.25">
      <c r="D527" s="721"/>
      <c r="E527" s="251"/>
      <c r="F527" s="251"/>
      <c r="G527" s="251"/>
      <c r="J527" s="251"/>
    </row>
    <row r="528" spans="4:10" ht="15.75" customHeight="1" x14ac:dyDescent="0.25">
      <c r="D528" s="721"/>
      <c r="E528" s="251"/>
      <c r="F528" s="251"/>
      <c r="G528" s="251"/>
      <c r="J528" s="251"/>
    </row>
    <row r="529" spans="4:10" ht="15.75" customHeight="1" x14ac:dyDescent="0.25">
      <c r="D529" s="721"/>
      <c r="E529" s="251"/>
      <c r="F529" s="251"/>
      <c r="G529" s="251"/>
      <c r="J529" s="251"/>
    </row>
    <row r="530" spans="4:10" ht="15.75" customHeight="1" x14ac:dyDescent="0.25">
      <c r="D530" s="721"/>
      <c r="E530" s="251"/>
      <c r="F530" s="251"/>
      <c r="G530" s="251"/>
      <c r="J530" s="251"/>
    </row>
    <row r="531" spans="4:10" ht="15.75" customHeight="1" x14ac:dyDescent="0.25">
      <c r="D531" s="721"/>
      <c r="E531" s="251"/>
      <c r="F531" s="251"/>
      <c r="G531" s="251"/>
      <c r="J531" s="251"/>
    </row>
    <row r="532" spans="4:10" ht="15.75" customHeight="1" x14ac:dyDescent="0.25">
      <c r="D532" s="721"/>
      <c r="E532" s="251"/>
      <c r="F532" s="251"/>
      <c r="G532" s="251"/>
      <c r="J532" s="251"/>
    </row>
    <row r="533" spans="4:10" ht="15.75" customHeight="1" x14ac:dyDescent="0.25">
      <c r="D533" s="721"/>
      <c r="E533" s="251"/>
      <c r="F533" s="251"/>
      <c r="G533" s="251"/>
      <c r="J533" s="251"/>
    </row>
    <row r="534" spans="4:10" ht="15.75" customHeight="1" x14ac:dyDescent="0.25">
      <c r="D534" s="721"/>
      <c r="E534" s="251"/>
      <c r="F534" s="251"/>
      <c r="G534" s="251"/>
      <c r="J534" s="251"/>
    </row>
    <row r="535" spans="4:10" ht="15.75" customHeight="1" x14ac:dyDescent="0.25">
      <c r="D535" s="721"/>
      <c r="E535" s="251"/>
      <c r="F535" s="251"/>
      <c r="G535" s="251"/>
      <c r="J535" s="251"/>
    </row>
    <row r="536" spans="4:10" ht="15.75" customHeight="1" x14ac:dyDescent="0.25">
      <c r="D536" s="721"/>
      <c r="E536" s="251"/>
      <c r="F536" s="251"/>
      <c r="G536" s="251"/>
      <c r="J536" s="251"/>
    </row>
    <row r="537" spans="4:10" ht="15.75" customHeight="1" x14ac:dyDescent="0.25">
      <c r="D537" s="721"/>
      <c r="E537" s="251"/>
      <c r="F537" s="251"/>
      <c r="G537" s="251"/>
      <c r="J537" s="251"/>
    </row>
    <row r="538" spans="4:10" ht="15.75" customHeight="1" x14ac:dyDescent="0.25">
      <c r="D538" s="721"/>
      <c r="E538" s="251"/>
      <c r="F538" s="251"/>
      <c r="G538" s="251"/>
      <c r="J538" s="251"/>
    </row>
    <row r="539" spans="4:10" ht="15.75" customHeight="1" x14ac:dyDescent="0.25">
      <c r="D539" s="721"/>
      <c r="E539" s="251"/>
      <c r="F539" s="251"/>
      <c r="G539" s="251"/>
      <c r="J539" s="251"/>
    </row>
    <row r="540" spans="4:10" ht="15.75" customHeight="1" x14ac:dyDescent="0.25">
      <c r="D540" s="721"/>
      <c r="E540" s="251"/>
      <c r="F540" s="251"/>
      <c r="G540" s="251"/>
      <c r="J540" s="251"/>
    </row>
    <row r="541" spans="4:10" ht="15.75" customHeight="1" x14ac:dyDescent="0.25">
      <c r="D541" s="721"/>
      <c r="E541" s="251"/>
      <c r="F541" s="251"/>
      <c r="G541" s="251"/>
      <c r="J541" s="251"/>
    </row>
    <row r="542" spans="4:10" ht="15.75" customHeight="1" x14ac:dyDescent="0.25">
      <c r="D542" s="721"/>
      <c r="E542" s="251"/>
      <c r="F542" s="251"/>
      <c r="G542" s="251"/>
      <c r="J542" s="251"/>
    </row>
    <row r="543" spans="4:10" ht="15.75" customHeight="1" x14ac:dyDescent="0.25">
      <c r="D543" s="721"/>
      <c r="E543" s="251"/>
      <c r="F543" s="251"/>
      <c r="G543" s="251"/>
      <c r="J543" s="251"/>
    </row>
    <row r="544" spans="4:10" ht="15.75" customHeight="1" x14ac:dyDescent="0.25">
      <c r="D544" s="721"/>
      <c r="E544" s="251"/>
      <c r="F544" s="251"/>
      <c r="G544" s="251"/>
      <c r="J544" s="251"/>
    </row>
    <row r="545" spans="4:10" ht="15.75" customHeight="1" x14ac:dyDescent="0.25">
      <c r="D545" s="721"/>
      <c r="E545" s="251"/>
      <c r="F545" s="251"/>
      <c r="G545" s="251"/>
      <c r="J545" s="251"/>
    </row>
    <row r="546" spans="4:10" ht="15.75" customHeight="1" x14ac:dyDescent="0.25">
      <c r="D546" s="721"/>
      <c r="E546" s="251"/>
      <c r="F546" s="251"/>
      <c r="G546" s="251"/>
      <c r="J546" s="251"/>
    </row>
    <row r="547" spans="4:10" ht="15.75" customHeight="1" x14ac:dyDescent="0.25">
      <c r="D547" s="721"/>
      <c r="E547" s="251"/>
      <c r="F547" s="251"/>
      <c r="G547" s="251"/>
      <c r="J547" s="251"/>
    </row>
    <row r="548" spans="4:10" ht="15.75" customHeight="1" x14ac:dyDescent="0.25">
      <c r="D548" s="721"/>
      <c r="E548" s="251"/>
      <c r="F548" s="251"/>
      <c r="G548" s="251"/>
      <c r="J548" s="251"/>
    </row>
    <row r="549" spans="4:10" ht="15.75" customHeight="1" x14ac:dyDescent="0.25">
      <c r="D549" s="721"/>
      <c r="E549" s="251"/>
      <c r="F549" s="251"/>
      <c r="G549" s="251"/>
      <c r="J549" s="251"/>
    </row>
    <row r="550" spans="4:10" ht="15.75" customHeight="1" x14ac:dyDescent="0.25">
      <c r="D550" s="721"/>
      <c r="E550" s="251"/>
      <c r="F550" s="251"/>
      <c r="G550" s="251"/>
      <c r="J550" s="251"/>
    </row>
    <row r="551" spans="4:10" ht="15.75" customHeight="1" x14ac:dyDescent="0.25">
      <c r="D551" s="721"/>
      <c r="E551" s="251"/>
      <c r="F551" s="251"/>
      <c r="G551" s="251"/>
      <c r="J551" s="251"/>
    </row>
    <row r="552" spans="4:10" ht="15.75" customHeight="1" x14ac:dyDescent="0.25">
      <c r="D552" s="721"/>
      <c r="E552" s="251"/>
      <c r="F552" s="251"/>
      <c r="G552" s="251"/>
      <c r="J552" s="251"/>
    </row>
    <row r="553" spans="4:10" ht="15.75" customHeight="1" x14ac:dyDescent="0.25">
      <c r="D553" s="721"/>
      <c r="E553" s="251"/>
      <c r="F553" s="251"/>
      <c r="G553" s="251"/>
      <c r="J553" s="251"/>
    </row>
    <row r="554" spans="4:10" ht="15.75" customHeight="1" x14ac:dyDescent="0.25">
      <c r="D554" s="721"/>
      <c r="E554" s="251"/>
      <c r="F554" s="251"/>
      <c r="G554" s="251"/>
      <c r="J554" s="251"/>
    </row>
    <row r="555" spans="4:10" ht="15.75" customHeight="1" x14ac:dyDescent="0.25">
      <c r="D555" s="721"/>
      <c r="E555" s="251"/>
      <c r="F555" s="251"/>
      <c r="G555" s="251"/>
      <c r="J555" s="251"/>
    </row>
    <row r="556" spans="4:10" ht="15.75" customHeight="1" x14ac:dyDescent="0.25">
      <c r="D556" s="721"/>
      <c r="E556" s="251"/>
      <c r="F556" s="251"/>
      <c r="G556" s="251"/>
      <c r="J556" s="251"/>
    </row>
    <row r="557" spans="4:10" ht="15.75" customHeight="1" x14ac:dyDescent="0.25">
      <c r="D557" s="721"/>
      <c r="E557" s="251"/>
      <c r="F557" s="251"/>
      <c r="G557" s="251"/>
      <c r="J557" s="251"/>
    </row>
    <row r="558" spans="4:10" ht="15.75" customHeight="1" x14ac:dyDescent="0.25">
      <c r="D558" s="721"/>
      <c r="E558" s="251"/>
      <c r="F558" s="251"/>
      <c r="G558" s="251"/>
      <c r="J558" s="251"/>
    </row>
    <row r="559" spans="4:10" ht="15.75" customHeight="1" x14ac:dyDescent="0.25">
      <c r="D559" s="721"/>
      <c r="E559" s="251"/>
      <c r="F559" s="251"/>
      <c r="G559" s="251"/>
      <c r="J559" s="251"/>
    </row>
    <row r="560" spans="4:10" ht="15.75" customHeight="1" x14ac:dyDescent="0.25">
      <c r="D560" s="721"/>
      <c r="E560" s="251"/>
      <c r="F560" s="251"/>
      <c r="G560" s="251"/>
      <c r="J560" s="251"/>
    </row>
    <row r="561" spans="4:10" ht="15.75" customHeight="1" x14ac:dyDescent="0.25">
      <c r="D561" s="721"/>
      <c r="E561" s="251"/>
      <c r="F561" s="251"/>
      <c r="G561" s="251"/>
      <c r="J561" s="251"/>
    </row>
    <row r="562" spans="4:10" ht="15.75" customHeight="1" x14ac:dyDescent="0.25">
      <c r="D562" s="721"/>
      <c r="E562" s="251"/>
      <c r="F562" s="251"/>
      <c r="G562" s="251"/>
      <c r="J562" s="251"/>
    </row>
    <row r="563" spans="4:10" ht="15.75" customHeight="1" x14ac:dyDescent="0.25">
      <c r="D563" s="721"/>
      <c r="E563" s="251"/>
      <c r="F563" s="251"/>
      <c r="G563" s="251"/>
      <c r="J563" s="251"/>
    </row>
    <row r="564" spans="4:10" ht="15.75" customHeight="1" x14ac:dyDescent="0.25">
      <c r="D564" s="721"/>
      <c r="E564" s="251"/>
      <c r="F564" s="251"/>
      <c r="G564" s="251"/>
      <c r="J564" s="251"/>
    </row>
    <row r="565" spans="4:10" ht="15.75" customHeight="1" x14ac:dyDescent="0.25">
      <c r="D565" s="721"/>
      <c r="E565" s="251"/>
      <c r="F565" s="251"/>
      <c r="G565" s="251"/>
      <c r="J565" s="251"/>
    </row>
    <row r="566" spans="4:10" ht="15.75" customHeight="1" x14ac:dyDescent="0.25">
      <c r="D566" s="721"/>
      <c r="E566" s="251"/>
      <c r="F566" s="251"/>
      <c r="G566" s="251"/>
      <c r="J566" s="251"/>
    </row>
    <row r="567" spans="4:10" ht="15.75" customHeight="1" x14ac:dyDescent="0.25">
      <c r="D567" s="721"/>
      <c r="E567" s="251"/>
      <c r="F567" s="251"/>
      <c r="G567" s="251"/>
      <c r="J567" s="251"/>
    </row>
    <row r="568" spans="4:10" ht="15.75" customHeight="1" x14ac:dyDescent="0.25">
      <c r="D568" s="721"/>
      <c r="E568" s="251"/>
      <c r="F568" s="251"/>
      <c r="G568" s="251"/>
      <c r="J568" s="251"/>
    </row>
    <row r="569" spans="4:10" ht="15.75" customHeight="1" x14ac:dyDescent="0.25">
      <c r="D569" s="721"/>
      <c r="E569" s="251"/>
      <c r="F569" s="251"/>
      <c r="G569" s="251"/>
      <c r="J569" s="251"/>
    </row>
    <row r="570" spans="4:10" ht="15.75" customHeight="1" x14ac:dyDescent="0.25">
      <c r="D570" s="721"/>
      <c r="E570" s="251"/>
      <c r="F570" s="251"/>
      <c r="G570" s="251"/>
      <c r="J570" s="251"/>
    </row>
    <row r="571" spans="4:10" ht="15.75" customHeight="1" x14ac:dyDescent="0.25">
      <c r="D571" s="721"/>
      <c r="E571" s="251"/>
      <c r="F571" s="251"/>
      <c r="G571" s="251"/>
      <c r="J571" s="251"/>
    </row>
    <row r="572" spans="4:10" ht="15.75" customHeight="1" x14ac:dyDescent="0.25">
      <c r="D572" s="721"/>
      <c r="E572" s="251"/>
      <c r="F572" s="251"/>
      <c r="G572" s="251"/>
      <c r="J572" s="251"/>
    </row>
    <row r="573" spans="4:10" ht="15.75" customHeight="1" x14ac:dyDescent="0.25">
      <c r="D573" s="721"/>
      <c r="E573" s="251"/>
      <c r="F573" s="251"/>
      <c r="G573" s="251"/>
      <c r="J573" s="251"/>
    </row>
    <row r="574" spans="4:10" ht="15.75" customHeight="1" x14ac:dyDescent="0.25">
      <c r="D574" s="721"/>
      <c r="E574" s="251"/>
      <c r="F574" s="251"/>
      <c r="G574" s="251"/>
      <c r="J574" s="251"/>
    </row>
    <row r="575" spans="4:10" ht="15.75" customHeight="1" x14ac:dyDescent="0.25">
      <c r="D575" s="721"/>
      <c r="E575" s="251"/>
      <c r="F575" s="251"/>
      <c r="G575" s="251"/>
      <c r="J575" s="251"/>
    </row>
    <row r="576" spans="4:10" ht="15.75" customHeight="1" x14ac:dyDescent="0.25">
      <c r="D576" s="721"/>
      <c r="E576" s="251"/>
      <c r="F576" s="251"/>
      <c r="G576" s="251"/>
      <c r="J576" s="251"/>
    </row>
    <row r="577" spans="4:10" ht="15.75" customHeight="1" x14ac:dyDescent="0.25">
      <c r="D577" s="721"/>
      <c r="E577" s="251"/>
      <c r="F577" s="251"/>
      <c r="G577" s="251"/>
      <c r="J577" s="251"/>
    </row>
    <row r="578" spans="4:10" ht="15.75" customHeight="1" x14ac:dyDescent="0.25">
      <c r="D578" s="721"/>
      <c r="E578" s="251"/>
      <c r="F578" s="251"/>
      <c r="G578" s="251"/>
      <c r="J578" s="251"/>
    </row>
    <row r="579" spans="4:10" ht="15.75" customHeight="1" x14ac:dyDescent="0.25">
      <c r="D579" s="721"/>
      <c r="E579" s="251"/>
      <c r="F579" s="251"/>
      <c r="G579" s="251"/>
      <c r="J579" s="251"/>
    </row>
    <row r="580" spans="4:10" ht="15.75" customHeight="1" x14ac:dyDescent="0.25">
      <c r="D580" s="721"/>
      <c r="E580" s="251"/>
      <c r="F580" s="251"/>
      <c r="G580" s="251"/>
      <c r="J580" s="251"/>
    </row>
    <row r="581" spans="4:10" ht="15.75" customHeight="1" x14ac:dyDescent="0.25">
      <c r="D581" s="721"/>
      <c r="E581" s="251"/>
      <c r="F581" s="251"/>
      <c r="G581" s="251"/>
      <c r="J581" s="251"/>
    </row>
    <row r="582" spans="4:10" ht="15.75" customHeight="1" x14ac:dyDescent="0.25">
      <c r="D582" s="721"/>
      <c r="E582" s="251"/>
      <c r="F582" s="251"/>
      <c r="G582" s="251"/>
      <c r="J582" s="251"/>
    </row>
    <row r="583" spans="4:10" ht="15.75" customHeight="1" x14ac:dyDescent="0.25">
      <c r="D583" s="721"/>
      <c r="E583" s="251"/>
      <c r="F583" s="251"/>
      <c r="G583" s="251"/>
      <c r="J583" s="251"/>
    </row>
    <row r="584" spans="4:10" ht="15.75" customHeight="1" x14ac:dyDescent="0.25">
      <c r="D584" s="721"/>
      <c r="E584" s="251"/>
      <c r="F584" s="251"/>
      <c r="G584" s="251"/>
      <c r="J584" s="251"/>
    </row>
    <row r="585" spans="4:10" ht="15.75" customHeight="1" x14ac:dyDescent="0.25">
      <c r="D585" s="721"/>
      <c r="E585" s="251"/>
      <c r="F585" s="251"/>
      <c r="G585" s="251"/>
      <c r="J585" s="251"/>
    </row>
    <row r="586" spans="4:10" ht="15.75" customHeight="1" x14ac:dyDescent="0.25">
      <c r="D586" s="721"/>
      <c r="E586" s="251"/>
      <c r="F586" s="251"/>
      <c r="G586" s="251"/>
      <c r="J586" s="251"/>
    </row>
    <row r="587" spans="4:10" ht="15.75" customHeight="1" x14ac:dyDescent="0.25">
      <c r="D587" s="721"/>
      <c r="E587" s="251"/>
      <c r="F587" s="251"/>
      <c r="G587" s="251"/>
      <c r="J587" s="251"/>
    </row>
    <row r="588" spans="4:10" ht="15.75" customHeight="1" x14ac:dyDescent="0.25">
      <c r="D588" s="721"/>
      <c r="E588" s="251"/>
      <c r="F588" s="251"/>
      <c r="G588" s="251"/>
      <c r="J588" s="251"/>
    </row>
    <row r="589" spans="4:10" ht="15.75" customHeight="1" x14ac:dyDescent="0.25">
      <c r="D589" s="721"/>
      <c r="E589" s="251"/>
      <c r="F589" s="251"/>
      <c r="G589" s="251"/>
      <c r="J589" s="251"/>
    </row>
    <row r="590" spans="4:10" ht="15.75" customHeight="1" x14ac:dyDescent="0.25">
      <c r="D590" s="721"/>
      <c r="E590" s="251"/>
      <c r="F590" s="251"/>
      <c r="G590" s="251"/>
      <c r="J590" s="251"/>
    </row>
    <row r="591" spans="4:10" ht="15.75" customHeight="1" x14ac:dyDescent="0.25">
      <c r="D591" s="721"/>
      <c r="E591" s="251"/>
      <c r="F591" s="251"/>
      <c r="G591" s="251"/>
      <c r="J591" s="251"/>
    </row>
    <row r="592" spans="4:10" ht="15.75" customHeight="1" x14ac:dyDescent="0.25">
      <c r="D592" s="721"/>
      <c r="E592" s="251"/>
      <c r="F592" s="251"/>
      <c r="G592" s="251"/>
      <c r="J592" s="251"/>
    </row>
    <row r="593" spans="4:10" ht="15.75" customHeight="1" x14ac:dyDescent="0.25">
      <c r="D593" s="721"/>
      <c r="E593" s="251"/>
      <c r="F593" s="251"/>
      <c r="G593" s="251"/>
      <c r="J593" s="251"/>
    </row>
    <row r="594" spans="4:10" ht="15.75" customHeight="1" x14ac:dyDescent="0.25">
      <c r="D594" s="721"/>
      <c r="E594" s="251"/>
      <c r="F594" s="251"/>
      <c r="G594" s="251"/>
      <c r="J594" s="251"/>
    </row>
    <row r="595" spans="4:10" ht="15.75" customHeight="1" x14ac:dyDescent="0.25">
      <c r="D595" s="721"/>
      <c r="E595" s="251"/>
      <c r="F595" s="251"/>
      <c r="G595" s="251"/>
      <c r="J595" s="251"/>
    </row>
    <row r="596" spans="4:10" ht="15.75" customHeight="1" x14ac:dyDescent="0.25">
      <c r="D596" s="721"/>
      <c r="E596" s="251"/>
      <c r="F596" s="251"/>
      <c r="G596" s="251"/>
      <c r="J596" s="251"/>
    </row>
    <row r="597" spans="4:10" ht="15.75" customHeight="1" x14ac:dyDescent="0.25">
      <c r="D597" s="721"/>
      <c r="E597" s="251"/>
      <c r="F597" s="251"/>
      <c r="G597" s="251"/>
      <c r="J597" s="251"/>
    </row>
    <row r="598" spans="4:10" ht="15.75" customHeight="1" x14ac:dyDescent="0.25">
      <c r="D598" s="721"/>
      <c r="E598" s="251"/>
      <c r="F598" s="251"/>
      <c r="G598" s="251"/>
      <c r="J598" s="251"/>
    </row>
    <row r="599" spans="4:10" ht="15.75" customHeight="1" x14ac:dyDescent="0.25">
      <c r="D599" s="721"/>
      <c r="E599" s="251"/>
      <c r="F599" s="251"/>
      <c r="G599" s="251"/>
      <c r="J599" s="251"/>
    </row>
    <row r="600" spans="4:10" ht="15.75" customHeight="1" x14ac:dyDescent="0.25">
      <c r="D600" s="721"/>
      <c r="E600" s="251"/>
      <c r="F600" s="251"/>
      <c r="G600" s="251"/>
      <c r="J600" s="251"/>
    </row>
    <row r="601" spans="4:10" ht="15.75" customHeight="1" x14ac:dyDescent="0.25">
      <c r="D601" s="721"/>
      <c r="E601" s="251"/>
      <c r="F601" s="251"/>
      <c r="G601" s="251"/>
      <c r="J601" s="251"/>
    </row>
    <row r="602" spans="4:10" ht="15.75" customHeight="1" x14ac:dyDescent="0.25">
      <c r="D602" s="721"/>
      <c r="E602" s="251"/>
      <c r="F602" s="251"/>
      <c r="G602" s="251"/>
      <c r="J602" s="251"/>
    </row>
    <row r="603" spans="4:10" ht="15.75" customHeight="1" x14ac:dyDescent="0.25">
      <c r="D603" s="721"/>
      <c r="E603" s="251"/>
      <c r="F603" s="251"/>
      <c r="G603" s="251"/>
      <c r="J603" s="251"/>
    </row>
    <row r="604" spans="4:10" ht="15.75" customHeight="1" x14ac:dyDescent="0.25">
      <c r="D604" s="721"/>
      <c r="E604" s="251"/>
      <c r="F604" s="251"/>
      <c r="G604" s="251"/>
      <c r="J604" s="251"/>
    </row>
    <row r="605" spans="4:10" ht="15.75" customHeight="1" x14ac:dyDescent="0.25">
      <c r="D605" s="721"/>
      <c r="E605" s="251"/>
      <c r="F605" s="251"/>
      <c r="G605" s="251"/>
      <c r="J605" s="251"/>
    </row>
    <row r="606" spans="4:10" ht="15.75" customHeight="1" x14ac:dyDescent="0.25">
      <c r="D606" s="721"/>
      <c r="E606" s="251"/>
      <c r="F606" s="251"/>
      <c r="G606" s="251"/>
      <c r="J606" s="251"/>
    </row>
    <row r="607" spans="4:10" ht="15.75" customHeight="1" x14ac:dyDescent="0.25">
      <c r="D607" s="721"/>
      <c r="E607" s="251"/>
      <c r="F607" s="251"/>
      <c r="G607" s="251"/>
      <c r="J607" s="251"/>
    </row>
    <row r="608" spans="4:10" ht="15.75" customHeight="1" x14ac:dyDescent="0.25">
      <c r="D608" s="721"/>
      <c r="E608" s="251"/>
      <c r="F608" s="251"/>
      <c r="G608" s="251"/>
      <c r="J608" s="251"/>
    </row>
    <row r="609" spans="4:10" ht="15.75" customHeight="1" x14ac:dyDescent="0.25">
      <c r="D609" s="721"/>
      <c r="E609" s="251"/>
      <c r="F609" s="251"/>
      <c r="G609" s="251"/>
      <c r="J609" s="251"/>
    </row>
    <row r="610" spans="4:10" ht="15.75" customHeight="1" x14ac:dyDescent="0.25">
      <c r="D610" s="721"/>
      <c r="E610" s="251"/>
      <c r="F610" s="251"/>
      <c r="G610" s="251"/>
      <c r="J610" s="251"/>
    </row>
    <row r="611" spans="4:10" ht="15.75" customHeight="1" x14ac:dyDescent="0.25">
      <c r="D611" s="721"/>
      <c r="E611" s="251"/>
      <c r="F611" s="251"/>
      <c r="G611" s="251"/>
      <c r="J611" s="251"/>
    </row>
    <row r="612" spans="4:10" ht="15.75" customHeight="1" x14ac:dyDescent="0.25">
      <c r="D612" s="721"/>
      <c r="E612" s="251"/>
      <c r="F612" s="251"/>
      <c r="G612" s="251"/>
      <c r="J612" s="251"/>
    </row>
    <row r="613" spans="4:10" ht="15.75" customHeight="1" x14ac:dyDescent="0.25">
      <c r="D613" s="721"/>
      <c r="E613" s="251"/>
      <c r="F613" s="251"/>
      <c r="G613" s="251"/>
      <c r="J613" s="251"/>
    </row>
    <row r="614" spans="4:10" ht="15.75" customHeight="1" x14ac:dyDescent="0.25">
      <c r="D614" s="721"/>
      <c r="E614" s="251"/>
      <c r="F614" s="251"/>
      <c r="G614" s="251"/>
      <c r="J614" s="251"/>
    </row>
    <row r="615" spans="4:10" ht="15.75" customHeight="1" x14ac:dyDescent="0.25">
      <c r="D615" s="721"/>
      <c r="E615" s="251"/>
      <c r="F615" s="251"/>
      <c r="G615" s="251"/>
      <c r="J615" s="251"/>
    </row>
    <row r="616" spans="4:10" ht="15.75" customHeight="1" x14ac:dyDescent="0.25">
      <c r="D616" s="721"/>
      <c r="E616" s="251"/>
      <c r="F616" s="251"/>
      <c r="G616" s="251"/>
      <c r="J616" s="251"/>
    </row>
    <row r="617" spans="4:10" ht="15.75" customHeight="1" x14ac:dyDescent="0.25">
      <c r="D617" s="721"/>
      <c r="E617" s="251"/>
      <c r="F617" s="251"/>
      <c r="G617" s="251"/>
      <c r="J617" s="251"/>
    </row>
    <row r="618" spans="4:10" ht="15.75" customHeight="1" x14ac:dyDescent="0.25">
      <c r="D618" s="721"/>
      <c r="E618" s="251"/>
      <c r="F618" s="251"/>
      <c r="G618" s="251"/>
      <c r="J618" s="251"/>
    </row>
    <row r="619" spans="4:10" ht="15.75" customHeight="1" x14ac:dyDescent="0.25">
      <c r="D619" s="721"/>
      <c r="E619" s="251"/>
      <c r="F619" s="251"/>
      <c r="G619" s="251"/>
      <c r="J619" s="251"/>
    </row>
    <row r="620" spans="4:10" ht="15.75" customHeight="1" x14ac:dyDescent="0.25">
      <c r="D620" s="721"/>
      <c r="E620" s="251"/>
      <c r="F620" s="251"/>
      <c r="G620" s="251"/>
      <c r="J620" s="251"/>
    </row>
    <row r="621" spans="4:10" ht="15.75" customHeight="1" x14ac:dyDescent="0.25">
      <c r="D621" s="721"/>
      <c r="E621" s="251"/>
      <c r="F621" s="251"/>
      <c r="G621" s="251"/>
      <c r="J621" s="251"/>
    </row>
    <row r="622" spans="4:10" ht="15.75" customHeight="1" x14ac:dyDescent="0.25">
      <c r="D622" s="721"/>
      <c r="E622" s="251"/>
      <c r="F622" s="251"/>
      <c r="G622" s="251"/>
      <c r="J622" s="251"/>
    </row>
    <row r="623" spans="4:10" ht="15.75" customHeight="1" x14ac:dyDescent="0.25">
      <c r="D623" s="721"/>
      <c r="E623" s="251"/>
      <c r="F623" s="251"/>
      <c r="G623" s="251"/>
      <c r="J623" s="251"/>
    </row>
    <row r="624" spans="4:10" ht="15.75" customHeight="1" x14ac:dyDescent="0.25">
      <c r="D624" s="721"/>
      <c r="E624" s="251"/>
      <c r="F624" s="251"/>
      <c r="G624" s="251"/>
      <c r="J624" s="251"/>
    </row>
    <row r="625" spans="4:10" ht="15.75" customHeight="1" x14ac:dyDescent="0.25">
      <c r="D625" s="721"/>
      <c r="E625" s="251"/>
      <c r="F625" s="251"/>
      <c r="G625" s="251"/>
      <c r="J625" s="251"/>
    </row>
    <row r="626" spans="4:10" ht="15.75" customHeight="1" x14ac:dyDescent="0.25">
      <c r="D626" s="721"/>
      <c r="E626" s="251"/>
      <c r="F626" s="251"/>
      <c r="G626" s="251"/>
      <c r="J626" s="251"/>
    </row>
    <row r="627" spans="4:10" ht="15.75" customHeight="1" x14ac:dyDescent="0.25">
      <c r="D627" s="721"/>
      <c r="E627" s="251"/>
      <c r="F627" s="251"/>
      <c r="G627" s="251"/>
      <c r="J627" s="251"/>
    </row>
    <row r="628" spans="4:10" ht="15.75" customHeight="1" x14ac:dyDescent="0.25">
      <c r="D628" s="721"/>
      <c r="E628" s="251"/>
      <c r="F628" s="251"/>
      <c r="G628" s="251"/>
      <c r="J628" s="251"/>
    </row>
    <row r="629" spans="4:10" ht="15.75" customHeight="1" x14ac:dyDescent="0.25">
      <c r="D629" s="721"/>
      <c r="E629" s="251"/>
      <c r="F629" s="251"/>
      <c r="G629" s="251"/>
      <c r="J629" s="251"/>
    </row>
    <row r="630" spans="4:10" ht="15.75" customHeight="1" x14ac:dyDescent="0.25">
      <c r="D630" s="721"/>
      <c r="E630" s="251"/>
      <c r="F630" s="251"/>
      <c r="G630" s="251"/>
      <c r="J630" s="251"/>
    </row>
    <row r="631" spans="4:10" ht="15.75" customHeight="1" x14ac:dyDescent="0.25">
      <c r="D631" s="721"/>
      <c r="E631" s="251"/>
      <c r="F631" s="251"/>
      <c r="G631" s="251"/>
      <c r="J631" s="251"/>
    </row>
    <row r="632" spans="4:10" ht="15.75" customHeight="1" x14ac:dyDescent="0.25">
      <c r="D632" s="721"/>
      <c r="E632" s="251"/>
      <c r="F632" s="251"/>
      <c r="G632" s="251"/>
      <c r="J632" s="251"/>
    </row>
    <row r="633" spans="4:10" ht="15.75" customHeight="1" x14ac:dyDescent="0.25">
      <c r="D633" s="721"/>
      <c r="E633" s="251"/>
      <c r="F633" s="251"/>
      <c r="G633" s="251"/>
      <c r="J633" s="251"/>
    </row>
    <row r="634" spans="4:10" ht="15.75" customHeight="1" x14ac:dyDescent="0.25">
      <c r="D634" s="721"/>
      <c r="E634" s="251"/>
      <c r="F634" s="251"/>
      <c r="G634" s="251"/>
      <c r="J634" s="251"/>
    </row>
    <row r="635" spans="4:10" ht="15.75" customHeight="1" x14ac:dyDescent="0.25">
      <c r="D635" s="721"/>
      <c r="E635" s="251"/>
      <c r="F635" s="251"/>
      <c r="G635" s="251"/>
      <c r="J635" s="251"/>
    </row>
    <row r="636" spans="4:10" ht="15.75" customHeight="1" x14ac:dyDescent="0.25">
      <c r="D636" s="721"/>
      <c r="E636" s="251"/>
      <c r="F636" s="251"/>
      <c r="G636" s="251"/>
      <c r="J636" s="251"/>
    </row>
    <row r="637" spans="4:10" ht="15.75" customHeight="1" x14ac:dyDescent="0.25">
      <c r="D637" s="721"/>
      <c r="E637" s="251"/>
      <c r="F637" s="251"/>
      <c r="G637" s="251"/>
      <c r="J637" s="251"/>
    </row>
    <row r="638" spans="4:10" ht="15.75" customHeight="1" x14ac:dyDescent="0.25">
      <c r="D638" s="721"/>
      <c r="E638" s="251"/>
      <c r="F638" s="251"/>
      <c r="G638" s="251"/>
      <c r="J638" s="251"/>
    </row>
    <row r="639" spans="4:10" ht="15.75" customHeight="1" x14ac:dyDescent="0.25">
      <c r="D639" s="721"/>
      <c r="E639" s="251"/>
      <c r="F639" s="251"/>
      <c r="G639" s="251"/>
      <c r="J639" s="251"/>
    </row>
    <row r="640" spans="4:10" ht="15.75" customHeight="1" x14ac:dyDescent="0.25">
      <c r="D640" s="721"/>
      <c r="E640" s="251"/>
      <c r="F640" s="251"/>
      <c r="G640" s="251"/>
      <c r="J640" s="251"/>
    </row>
    <row r="641" spans="4:10" ht="15.75" customHeight="1" x14ac:dyDescent="0.25">
      <c r="D641" s="721"/>
      <c r="E641" s="251"/>
      <c r="F641" s="251"/>
      <c r="G641" s="251"/>
      <c r="J641" s="251"/>
    </row>
    <row r="642" spans="4:10" ht="15.75" customHeight="1" x14ac:dyDescent="0.25">
      <c r="D642" s="721"/>
      <c r="E642" s="251"/>
      <c r="F642" s="251"/>
      <c r="G642" s="251"/>
      <c r="J642" s="251"/>
    </row>
    <row r="643" spans="4:10" ht="15.75" customHeight="1" x14ac:dyDescent="0.25">
      <c r="D643" s="721"/>
      <c r="E643" s="251"/>
      <c r="F643" s="251"/>
      <c r="G643" s="251"/>
      <c r="J643" s="251"/>
    </row>
    <row r="644" spans="4:10" ht="15.75" customHeight="1" x14ac:dyDescent="0.25">
      <c r="D644" s="721"/>
      <c r="E644" s="251"/>
      <c r="F644" s="251"/>
      <c r="G644" s="251"/>
      <c r="J644" s="251"/>
    </row>
    <row r="645" spans="4:10" ht="15.75" customHeight="1" x14ac:dyDescent="0.25">
      <c r="D645" s="721"/>
      <c r="E645" s="251"/>
      <c r="F645" s="251"/>
      <c r="G645" s="251"/>
      <c r="J645" s="251"/>
    </row>
    <row r="646" spans="4:10" ht="15.75" customHeight="1" x14ac:dyDescent="0.25">
      <c r="D646" s="721"/>
      <c r="E646" s="251"/>
      <c r="F646" s="251"/>
      <c r="G646" s="251"/>
      <c r="J646" s="251"/>
    </row>
    <row r="647" spans="4:10" ht="15.75" customHeight="1" x14ac:dyDescent="0.25">
      <c r="D647" s="721"/>
      <c r="E647" s="251"/>
      <c r="F647" s="251"/>
      <c r="G647" s="251"/>
      <c r="J647" s="251"/>
    </row>
    <row r="648" spans="4:10" ht="15.75" customHeight="1" x14ac:dyDescent="0.25">
      <c r="D648" s="721"/>
      <c r="E648" s="251"/>
      <c r="F648" s="251"/>
      <c r="G648" s="251"/>
      <c r="J648" s="251"/>
    </row>
    <row r="649" spans="4:10" ht="15.75" customHeight="1" x14ac:dyDescent="0.25">
      <c r="D649" s="721"/>
      <c r="E649" s="251"/>
      <c r="F649" s="251"/>
      <c r="G649" s="251"/>
      <c r="J649" s="251"/>
    </row>
    <row r="650" spans="4:10" ht="15.75" customHeight="1" x14ac:dyDescent="0.25">
      <c r="D650" s="721"/>
      <c r="E650" s="251"/>
      <c r="F650" s="251"/>
      <c r="G650" s="251"/>
      <c r="J650" s="251"/>
    </row>
    <row r="651" spans="4:10" ht="15.75" customHeight="1" x14ac:dyDescent="0.25">
      <c r="D651" s="721"/>
      <c r="E651" s="251"/>
      <c r="F651" s="251"/>
      <c r="G651" s="251"/>
      <c r="J651" s="251"/>
    </row>
    <row r="652" spans="4:10" ht="15.75" customHeight="1" x14ac:dyDescent="0.25">
      <c r="D652" s="721"/>
      <c r="E652" s="251"/>
      <c r="F652" s="251"/>
      <c r="G652" s="251"/>
      <c r="J652" s="251"/>
    </row>
    <row r="653" spans="4:10" ht="15.75" customHeight="1" x14ac:dyDescent="0.25">
      <c r="D653" s="721"/>
      <c r="E653" s="251"/>
      <c r="F653" s="251"/>
      <c r="G653" s="251"/>
      <c r="J653" s="251"/>
    </row>
    <row r="654" spans="4:10" ht="15.75" customHeight="1" x14ac:dyDescent="0.25">
      <c r="D654" s="721"/>
      <c r="E654" s="251"/>
      <c r="F654" s="251"/>
      <c r="G654" s="251"/>
      <c r="J654" s="251"/>
    </row>
    <row r="655" spans="4:10" ht="15.75" customHeight="1" x14ac:dyDescent="0.25">
      <c r="D655" s="721"/>
      <c r="E655" s="251"/>
      <c r="F655" s="251"/>
      <c r="G655" s="251"/>
      <c r="J655" s="251"/>
    </row>
    <row r="656" spans="4:10" ht="15.75" customHeight="1" x14ac:dyDescent="0.25">
      <c r="D656" s="721"/>
      <c r="E656" s="251"/>
      <c r="F656" s="251"/>
      <c r="G656" s="251"/>
      <c r="J656" s="251"/>
    </row>
    <row r="657" spans="4:10" ht="15.75" customHeight="1" x14ac:dyDescent="0.25">
      <c r="D657" s="721"/>
      <c r="E657" s="251"/>
      <c r="F657" s="251"/>
      <c r="G657" s="251"/>
      <c r="J657" s="251"/>
    </row>
    <row r="658" spans="4:10" ht="15.75" customHeight="1" x14ac:dyDescent="0.25">
      <c r="D658" s="721"/>
      <c r="E658" s="251"/>
      <c r="F658" s="251"/>
      <c r="G658" s="251"/>
      <c r="J658" s="251"/>
    </row>
    <row r="659" spans="4:10" ht="15.75" customHeight="1" x14ac:dyDescent="0.25">
      <c r="D659" s="721"/>
      <c r="E659" s="251"/>
      <c r="F659" s="251"/>
      <c r="G659" s="251"/>
      <c r="J659" s="251"/>
    </row>
    <row r="660" spans="4:10" ht="15.75" customHeight="1" x14ac:dyDescent="0.25">
      <c r="D660" s="721"/>
      <c r="E660" s="251"/>
      <c r="F660" s="251"/>
      <c r="G660" s="251"/>
      <c r="J660" s="251"/>
    </row>
    <row r="661" spans="4:10" ht="15.75" customHeight="1" x14ac:dyDescent="0.25">
      <c r="D661" s="721"/>
      <c r="E661" s="251"/>
      <c r="F661" s="251"/>
      <c r="G661" s="251"/>
      <c r="J661" s="251"/>
    </row>
    <row r="662" spans="4:10" ht="15.75" customHeight="1" x14ac:dyDescent="0.25">
      <c r="D662" s="721"/>
      <c r="E662" s="251"/>
      <c r="F662" s="251"/>
      <c r="G662" s="251"/>
      <c r="J662" s="251"/>
    </row>
    <row r="663" spans="4:10" ht="15.75" customHeight="1" x14ac:dyDescent="0.25">
      <c r="D663" s="721"/>
      <c r="E663" s="251"/>
      <c r="F663" s="251"/>
      <c r="G663" s="251"/>
      <c r="J663" s="251"/>
    </row>
    <row r="664" spans="4:10" ht="15.75" customHeight="1" x14ac:dyDescent="0.25">
      <c r="D664" s="721"/>
      <c r="E664" s="251"/>
      <c r="F664" s="251"/>
      <c r="G664" s="251"/>
      <c r="J664" s="251"/>
    </row>
    <row r="665" spans="4:10" ht="15.75" customHeight="1" x14ac:dyDescent="0.25">
      <c r="D665" s="721"/>
      <c r="E665" s="251"/>
      <c r="F665" s="251"/>
      <c r="G665" s="251"/>
      <c r="J665" s="251"/>
    </row>
    <row r="666" spans="4:10" ht="15.75" customHeight="1" x14ac:dyDescent="0.25">
      <c r="D666" s="721"/>
      <c r="E666" s="251"/>
      <c r="F666" s="251"/>
      <c r="G666" s="251"/>
      <c r="J666" s="251"/>
    </row>
    <row r="667" spans="4:10" ht="15.75" customHeight="1" x14ac:dyDescent="0.25">
      <c r="D667" s="721"/>
      <c r="E667" s="251"/>
      <c r="F667" s="251"/>
      <c r="G667" s="251"/>
      <c r="J667" s="251"/>
    </row>
    <row r="668" spans="4:10" ht="15.75" customHeight="1" x14ac:dyDescent="0.25">
      <c r="D668" s="721"/>
      <c r="E668" s="251"/>
      <c r="F668" s="251"/>
      <c r="G668" s="251"/>
      <c r="J668" s="251"/>
    </row>
    <row r="669" spans="4:10" ht="15.75" customHeight="1" x14ac:dyDescent="0.25">
      <c r="D669" s="721"/>
      <c r="E669" s="251"/>
      <c r="F669" s="251"/>
      <c r="G669" s="251"/>
      <c r="J669" s="251"/>
    </row>
    <row r="670" spans="4:10" ht="15.75" customHeight="1" x14ac:dyDescent="0.25">
      <c r="D670" s="721"/>
      <c r="E670" s="251"/>
      <c r="F670" s="251"/>
      <c r="G670" s="251"/>
      <c r="J670" s="251"/>
    </row>
    <row r="671" spans="4:10" ht="15.75" customHeight="1" x14ac:dyDescent="0.25">
      <c r="D671" s="721"/>
      <c r="E671" s="251"/>
      <c r="F671" s="251"/>
      <c r="G671" s="251"/>
      <c r="J671" s="251"/>
    </row>
    <row r="672" spans="4:10" ht="15.75" customHeight="1" x14ac:dyDescent="0.25">
      <c r="D672" s="721"/>
      <c r="E672" s="251"/>
      <c r="F672" s="251"/>
      <c r="G672" s="251"/>
      <c r="J672" s="251"/>
    </row>
    <row r="673" spans="4:10" ht="15.75" customHeight="1" x14ac:dyDescent="0.25">
      <c r="D673" s="721"/>
      <c r="E673" s="251"/>
      <c r="F673" s="251"/>
      <c r="G673" s="251"/>
      <c r="J673" s="251"/>
    </row>
    <row r="674" spans="4:10" ht="15.75" customHeight="1" x14ac:dyDescent="0.25">
      <c r="D674" s="721"/>
      <c r="E674" s="251"/>
      <c r="F674" s="251"/>
      <c r="G674" s="251"/>
      <c r="J674" s="251"/>
    </row>
    <row r="675" spans="4:10" ht="15.75" customHeight="1" x14ac:dyDescent="0.25">
      <c r="D675" s="721"/>
      <c r="E675" s="251"/>
      <c r="F675" s="251"/>
      <c r="G675" s="251"/>
      <c r="J675" s="251"/>
    </row>
    <row r="676" spans="4:10" ht="15.75" customHeight="1" x14ac:dyDescent="0.25">
      <c r="D676" s="721"/>
      <c r="E676" s="251"/>
      <c r="F676" s="251"/>
      <c r="G676" s="251"/>
      <c r="J676" s="251"/>
    </row>
    <row r="677" spans="4:10" ht="15.75" customHeight="1" x14ac:dyDescent="0.25">
      <c r="D677" s="721"/>
      <c r="E677" s="251"/>
      <c r="F677" s="251"/>
      <c r="G677" s="251"/>
      <c r="J677" s="251"/>
    </row>
    <row r="678" spans="4:10" ht="15.75" customHeight="1" x14ac:dyDescent="0.25">
      <c r="D678" s="721"/>
      <c r="E678" s="251"/>
      <c r="F678" s="251"/>
      <c r="G678" s="251"/>
      <c r="J678" s="251"/>
    </row>
    <row r="679" spans="4:10" ht="15.75" customHeight="1" x14ac:dyDescent="0.25">
      <c r="D679" s="721"/>
      <c r="E679" s="251"/>
      <c r="F679" s="251"/>
      <c r="G679" s="251"/>
      <c r="J679" s="251"/>
    </row>
    <row r="680" spans="4:10" ht="15.75" customHeight="1" x14ac:dyDescent="0.25">
      <c r="D680" s="721"/>
      <c r="E680" s="251"/>
      <c r="F680" s="251"/>
      <c r="G680" s="251"/>
      <c r="J680" s="251"/>
    </row>
    <row r="681" spans="4:10" ht="15.75" customHeight="1" x14ac:dyDescent="0.25">
      <c r="D681" s="721"/>
      <c r="E681" s="251"/>
      <c r="F681" s="251"/>
      <c r="G681" s="251"/>
      <c r="J681" s="251"/>
    </row>
    <row r="682" spans="4:10" ht="15.75" customHeight="1" x14ac:dyDescent="0.25">
      <c r="D682" s="721"/>
      <c r="E682" s="251"/>
      <c r="F682" s="251"/>
      <c r="G682" s="251"/>
      <c r="J682" s="251"/>
    </row>
    <row r="683" spans="4:10" ht="15.75" customHeight="1" x14ac:dyDescent="0.25">
      <c r="D683" s="721"/>
      <c r="E683" s="251"/>
      <c r="F683" s="251"/>
      <c r="G683" s="251"/>
      <c r="J683" s="251"/>
    </row>
    <row r="684" spans="4:10" ht="15.75" customHeight="1" x14ac:dyDescent="0.25">
      <c r="D684" s="721"/>
      <c r="E684" s="251"/>
      <c r="F684" s="251"/>
      <c r="G684" s="251"/>
      <c r="J684" s="251"/>
    </row>
    <row r="685" spans="4:10" ht="15.75" customHeight="1" x14ac:dyDescent="0.25">
      <c r="D685" s="721"/>
      <c r="E685" s="251"/>
      <c r="F685" s="251"/>
      <c r="G685" s="251"/>
      <c r="J685" s="251"/>
    </row>
    <row r="686" spans="4:10" ht="15.75" customHeight="1" x14ac:dyDescent="0.25">
      <c r="D686" s="721"/>
      <c r="E686" s="251"/>
      <c r="F686" s="251"/>
      <c r="G686" s="251"/>
      <c r="J686" s="251"/>
    </row>
    <row r="687" spans="4:10" ht="15.75" customHeight="1" x14ac:dyDescent="0.25">
      <c r="D687" s="721"/>
      <c r="E687" s="251"/>
      <c r="F687" s="251"/>
      <c r="G687" s="251"/>
      <c r="J687" s="251"/>
    </row>
    <row r="688" spans="4:10" ht="15.75" customHeight="1" x14ac:dyDescent="0.25">
      <c r="D688" s="721"/>
      <c r="E688" s="251"/>
      <c r="F688" s="251"/>
      <c r="G688" s="251"/>
      <c r="J688" s="251"/>
    </row>
    <row r="689" spans="4:10" ht="15.75" customHeight="1" x14ac:dyDescent="0.25">
      <c r="D689" s="721"/>
      <c r="E689" s="251"/>
      <c r="F689" s="251"/>
      <c r="G689" s="251"/>
      <c r="J689" s="251"/>
    </row>
    <row r="690" spans="4:10" ht="15.75" customHeight="1" x14ac:dyDescent="0.25">
      <c r="D690" s="721"/>
      <c r="E690" s="251"/>
      <c r="F690" s="251"/>
      <c r="G690" s="251"/>
      <c r="J690" s="251"/>
    </row>
    <row r="691" spans="4:10" ht="15.75" customHeight="1" x14ac:dyDescent="0.25">
      <c r="D691" s="721"/>
      <c r="E691" s="251"/>
      <c r="F691" s="251"/>
      <c r="G691" s="251"/>
      <c r="J691" s="251"/>
    </row>
    <row r="692" spans="4:10" ht="15.75" customHeight="1" x14ac:dyDescent="0.25">
      <c r="D692" s="721"/>
      <c r="E692" s="251"/>
      <c r="F692" s="251"/>
      <c r="G692" s="251"/>
      <c r="J692" s="251"/>
    </row>
    <row r="693" spans="4:10" ht="15.75" customHeight="1" x14ac:dyDescent="0.25">
      <c r="D693" s="721"/>
      <c r="E693" s="251"/>
      <c r="F693" s="251"/>
      <c r="G693" s="251"/>
      <c r="J693" s="251"/>
    </row>
    <row r="694" spans="4:10" ht="15.75" customHeight="1" x14ac:dyDescent="0.25">
      <c r="D694" s="721"/>
      <c r="E694" s="251"/>
      <c r="F694" s="251"/>
      <c r="G694" s="251"/>
      <c r="J694" s="251"/>
    </row>
    <row r="695" spans="4:10" ht="15.75" customHeight="1" x14ac:dyDescent="0.25">
      <c r="D695" s="721"/>
      <c r="E695" s="251"/>
      <c r="F695" s="251"/>
      <c r="G695" s="251"/>
      <c r="J695" s="251"/>
    </row>
    <row r="696" spans="4:10" ht="15.75" customHeight="1" x14ac:dyDescent="0.25">
      <c r="D696" s="721"/>
      <c r="E696" s="251"/>
      <c r="F696" s="251"/>
      <c r="G696" s="251"/>
      <c r="J696" s="251"/>
    </row>
    <row r="697" spans="4:10" ht="15.75" customHeight="1" x14ac:dyDescent="0.25">
      <c r="D697" s="721"/>
      <c r="E697" s="251"/>
      <c r="F697" s="251"/>
      <c r="G697" s="251"/>
      <c r="J697" s="251"/>
    </row>
    <row r="698" spans="4:10" ht="15.75" customHeight="1" x14ac:dyDescent="0.25">
      <c r="D698" s="721"/>
      <c r="E698" s="251"/>
      <c r="F698" s="251"/>
      <c r="G698" s="251"/>
      <c r="J698" s="251"/>
    </row>
    <row r="699" spans="4:10" ht="15.75" customHeight="1" x14ac:dyDescent="0.25">
      <c r="D699" s="721"/>
      <c r="E699" s="251"/>
      <c r="F699" s="251"/>
      <c r="G699" s="251"/>
      <c r="J699" s="251"/>
    </row>
    <row r="700" spans="4:10" ht="15.75" customHeight="1" x14ac:dyDescent="0.25">
      <c r="D700" s="721"/>
      <c r="E700" s="251"/>
      <c r="F700" s="251"/>
      <c r="G700" s="251"/>
      <c r="J700" s="251"/>
    </row>
    <row r="701" spans="4:10" ht="15.75" customHeight="1" x14ac:dyDescent="0.25">
      <c r="D701" s="721"/>
      <c r="E701" s="251"/>
      <c r="F701" s="251"/>
      <c r="G701" s="251"/>
      <c r="J701" s="251"/>
    </row>
    <row r="702" spans="4:10" ht="15.75" customHeight="1" x14ac:dyDescent="0.25">
      <c r="D702" s="721"/>
      <c r="E702" s="251"/>
      <c r="F702" s="251"/>
      <c r="G702" s="251"/>
      <c r="J702" s="251"/>
    </row>
    <row r="703" spans="4:10" ht="15.75" customHeight="1" x14ac:dyDescent="0.25">
      <c r="D703" s="721"/>
      <c r="E703" s="251"/>
      <c r="F703" s="251"/>
      <c r="G703" s="251"/>
      <c r="J703" s="251"/>
    </row>
    <row r="704" spans="4:10" ht="15.75" customHeight="1" x14ac:dyDescent="0.25">
      <c r="D704" s="721"/>
      <c r="E704" s="251"/>
      <c r="F704" s="251"/>
      <c r="G704" s="251"/>
      <c r="J704" s="251"/>
    </row>
    <row r="705" spans="4:10" ht="15.75" customHeight="1" x14ac:dyDescent="0.25">
      <c r="D705" s="721"/>
      <c r="E705" s="251"/>
      <c r="F705" s="251"/>
      <c r="G705" s="251"/>
      <c r="J705" s="251"/>
    </row>
    <row r="706" spans="4:10" ht="15.75" customHeight="1" x14ac:dyDescent="0.25">
      <c r="D706" s="721"/>
      <c r="E706" s="251"/>
      <c r="F706" s="251"/>
      <c r="G706" s="251"/>
      <c r="J706" s="251"/>
    </row>
    <row r="707" spans="4:10" ht="15.75" customHeight="1" x14ac:dyDescent="0.25">
      <c r="D707" s="721"/>
      <c r="E707" s="251"/>
      <c r="F707" s="251"/>
      <c r="G707" s="251"/>
      <c r="J707" s="251"/>
    </row>
    <row r="708" spans="4:10" ht="15.75" customHeight="1" x14ac:dyDescent="0.25">
      <c r="D708" s="721"/>
      <c r="E708" s="251"/>
      <c r="F708" s="251"/>
      <c r="G708" s="251"/>
      <c r="J708" s="251"/>
    </row>
    <row r="709" spans="4:10" ht="15.75" customHeight="1" x14ac:dyDescent="0.25">
      <c r="D709" s="721"/>
      <c r="E709" s="251"/>
      <c r="F709" s="251"/>
      <c r="G709" s="251"/>
      <c r="J709" s="251"/>
    </row>
    <row r="710" spans="4:10" ht="15.75" customHeight="1" x14ac:dyDescent="0.25">
      <c r="D710" s="721"/>
      <c r="E710" s="251"/>
      <c r="F710" s="251"/>
      <c r="G710" s="251"/>
      <c r="J710" s="251"/>
    </row>
    <row r="711" spans="4:10" ht="15.75" customHeight="1" x14ac:dyDescent="0.25">
      <c r="D711" s="721"/>
      <c r="E711" s="251"/>
      <c r="F711" s="251"/>
      <c r="G711" s="251"/>
      <c r="J711" s="251"/>
    </row>
    <row r="712" spans="4:10" ht="15.75" customHeight="1" x14ac:dyDescent="0.25">
      <c r="D712" s="721"/>
      <c r="E712" s="251"/>
      <c r="F712" s="251"/>
      <c r="G712" s="251"/>
      <c r="J712" s="251"/>
    </row>
    <row r="713" spans="4:10" ht="15.75" customHeight="1" x14ac:dyDescent="0.25">
      <c r="D713" s="721"/>
      <c r="E713" s="251"/>
      <c r="F713" s="251"/>
      <c r="G713" s="251"/>
      <c r="J713" s="251"/>
    </row>
    <row r="714" spans="4:10" ht="15.75" customHeight="1" x14ac:dyDescent="0.25">
      <c r="D714" s="721"/>
      <c r="E714" s="251"/>
      <c r="F714" s="251"/>
      <c r="G714" s="251"/>
      <c r="J714" s="251"/>
    </row>
    <row r="715" spans="4:10" ht="15.75" customHeight="1" x14ac:dyDescent="0.25">
      <c r="D715" s="721"/>
      <c r="E715" s="251"/>
      <c r="F715" s="251"/>
      <c r="G715" s="251"/>
      <c r="J715" s="251"/>
    </row>
    <row r="716" spans="4:10" ht="15.75" customHeight="1" x14ac:dyDescent="0.25">
      <c r="D716" s="721"/>
      <c r="E716" s="251"/>
      <c r="F716" s="251"/>
      <c r="G716" s="251"/>
      <c r="J716" s="251"/>
    </row>
    <row r="717" spans="4:10" ht="15.75" customHeight="1" x14ac:dyDescent="0.25">
      <c r="D717" s="721"/>
      <c r="E717" s="251"/>
      <c r="F717" s="251"/>
      <c r="G717" s="251"/>
      <c r="J717" s="251"/>
    </row>
    <row r="718" spans="4:10" ht="15.75" customHeight="1" x14ac:dyDescent="0.25">
      <c r="D718" s="721"/>
      <c r="E718" s="251"/>
      <c r="F718" s="251"/>
      <c r="G718" s="251"/>
      <c r="J718" s="251"/>
    </row>
    <row r="719" spans="4:10" ht="15.75" customHeight="1" x14ac:dyDescent="0.25">
      <c r="D719" s="721"/>
      <c r="E719" s="251"/>
      <c r="F719" s="251"/>
      <c r="G719" s="251"/>
      <c r="J719" s="251"/>
    </row>
    <row r="720" spans="4:10" ht="15.75" customHeight="1" x14ac:dyDescent="0.25">
      <c r="D720" s="721"/>
      <c r="E720" s="251"/>
      <c r="F720" s="251"/>
      <c r="G720" s="251"/>
      <c r="J720" s="251"/>
    </row>
    <row r="721" spans="4:10" ht="15.75" customHeight="1" x14ac:dyDescent="0.25">
      <c r="D721" s="721"/>
      <c r="E721" s="251"/>
      <c r="F721" s="251"/>
      <c r="G721" s="251"/>
      <c r="J721" s="251"/>
    </row>
    <row r="722" spans="4:10" ht="15.75" customHeight="1" x14ac:dyDescent="0.25">
      <c r="D722" s="721"/>
      <c r="E722" s="251"/>
      <c r="F722" s="251"/>
      <c r="G722" s="251"/>
      <c r="J722" s="251"/>
    </row>
    <row r="723" spans="4:10" ht="15.75" customHeight="1" x14ac:dyDescent="0.25">
      <c r="D723" s="721"/>
      <c r="E723" s="251"/>
      <c r="F723" s="251"/>
      <c r="G723" s="251"/>
      <c r="J723" s="251"/>
    </row>
    <row r="724" spans="4:10" ht="15.75" customHeight="1" x14ac:dyDescent="0.25">
      <c r="D724" s="721"/>
      <c r="E724" s="251"/>
      <c r="F724" s="251"/>
      <c r="G724" s="251"/>
      <c r="J724" s="251"/>
    </row>
    <row r="725" spans="4:10" ht="15.75" customHeight="1" x14ac:dyDescent="0.25">
      <c r="D725" s="721"/>
      <c r="E725" s="251"/>
      <c r="F725" s="251"/>
      <c r="G725" s="251"/>
      <c r="J725" s="251"/>
    </row>
    <row r="726" spans="4:10" ht="15.75" customHeight="1" x14ac:dyDescent="0.25">
      <c r="D726" s="721"/>
      <c r="E726" s="251"/>
      <c r="F726" s="251"/>
      <c r="G726" s="251"/>
      <c r="J726" s="251"/>
    </row>
    <row r="727" spans="4:10" ht="15.75" customHeight="1" x14ac:dyDescent="0.25">
      <c r="D727" s="721"/>
      <c r="E727" s="251"/>
      <c r="F727" s="251"/>
      <c r="G727" s="251"/>
      <c r="J727" s="251"/>
    </row>
    <row r="728" spans="4:10" ht="15.75" customHeight="1" x14ac:dyDescent="0.25">
      <c r="D728" s="721"/>
      <c r="E728" s="251"/>
      <c r="F728" s="251"/>
      <c r="G728" s="251"/>
      <c r="J728" s="251"/>
    </row>
    <row r="729" spans="4:10" ht="15.75" customHeight="1" x14ac:dyDescent="0.25">
      <c r="D729" s="721"/>
      <c r="E729" s="251"/>
      <c r="F729" s="251"/>
      <c r="G729" s="251"/>
      <c r="J729" s="251"/>
    </row>
    <row r="730" spans="4:10" ht="15.75" customHeight="1" x14ac:dyDescent="0.25">
      <c r="D730" s="721"/>
      <c r="E730" s="251"/>
      <c r="F730" s="251"/>
      <c r="G730" s="251"/>
      <c r="J730" s="251"/>
    </row>
    <row r="731" spans="4:10" ht="15.75" customHeight="1" x14ac:dyDescent="0.25">
      <c r="D731" s="721"/>
      <c r="E731" s="251"/>
      <c r="F731" s="251"/>
      <c r="G731" s="251"/>
      <c r="J731" s="251"/>
    </row>
    <row r="732" spans="4:10" ht="15.75" customHeight="1" x14ac:dyDescent="0.25">
      <c r="D732" s="721"/>
      <c r="E732" s="251"/>
      <c r="F732" s="251"/>
      <c r="G732" s="251"/>
      <c r="J732" s="251"/>
    </row>
    <row r="733" spans="4:10" ht="15.75" customHeight="1" x14ac:dyDescent="0.25">
      <c r="D733" s="721"/>
      <c r="E733" s="251"/>
      <c r="F733" s="251"/>
      <c r="G733" s="251"/>
      <c r="J733" s="251"/>
    </row>
    <row r="734" spans="4:10" ht="15.75" customHeight="1" x14ac:dyDescent="0.25">
      <c r="D734" s="721"/>
      <c r="E734" s="251"/>
      <c r="F734" s="251"/>
      <c r="G734" s="251"/>
      <c r="J734" s="251"/>
    </row>
    <row r="735" spans="4:10" ht="15.75" customHeight="1" x14ac:dyDescent="0.25">
      <c r="D735" s="721"/>
      <c r="E735" s="251"/>
      <c r="F735" s="251"/>
      <c r="G735" s="251"/>
      <c r="J735" s="251"/>
    </row>
    <row r="736" spans="4:10" ht="15.75" customHeight="1" x14ac:dyDescent="0.25">
      <c r="D736" s="721"/>
      <c r="E736" s="251"/>
      <c r="F736" s="251"/>
      <c r="G736" s="251"/>
      <c r="J736" s="251"/>
    </row>
    <row r="737" spans="4:10" ht="15.75" customHeight="1" x14ac:dyDescent="0.25">
      <c r="D737" s="721"/>
      <c r="E737" s="251"/>
      <c r="F737" s="251"/>
      <c r="G737" s="251"/>
      <c r="J737" s="251"/>
    </row>
    <row r="738" spans="4:10" ht="15.75" customHeight="1" x14ac:dyDescent="0.25">
      <c r="D738" s="721"/>
      <c r="E738" s="251"/>
      <c r="F738" s="251"/>
      <c r="G738" s="251"/>
      <c r="J738" s="251"/>
    </row>
    <row r="739" spans="4:10" ht="15.75" customHeight="1" x14ac:dyDescent="0.25">
      <c r="D739" s="721"/>
      <c r="E739" s="251"/>
      <c r="F739" s="251"/>
      <c r="G739" s="251"/>
      <c r="J739" s="251"/>
    </row>
    <row r="740" spans="4:10" ht="15.75" customHeight="1" x14ac:dyDescent="0.25">
      <c r="D740" s="721"/>
      <c r="E740" s="251"/>
      <c r="F740" s="251"/>
      <c r="G740" s="251"/>
      <c r="J740" s="251"/>
    </row>
    <row r="741" spans="4:10" ht="15.75" customHeight="1" x14ac:dyDescent="0.25">
      <c r="D741" s="721"/>
      <c r="E741" s="251"/>
      <c r="F741" s="251"/>
      <c r="G741" s="251"/>
      <c r="J741" s="251"/>
    </row>
    <row r="742" spans="4:10" ht="15.75" customHeight="1" x14ac:dyDescent="0.25">
      <c r="D742" s="721"/>
      <c r="E742" s="251"/>
      <c r="F742" s="251"/>
      <c r="G742" s="251"/>
      <c r="J742" s="251"/>
    </row>
    <row r="743" spans="4:10" ht="15.75" customHeight="1" x14ac:dyDescent="0.25">
      <c r="D743" s="721"/>
      <c r="E743" s="251"/>
      <c r="F743" s="251"/>
      <c r="G743" s="251"/>
      <c r="J743" s="251"/>
    </row>
    <row r="744" spans="4:10" ht="15.75" customHeight="1" x14ac:dyDescent="0.25">
      <c r="D744" s="721"/>
      <c r="E744" s="251"/>
      <c r="F744" s="251"/>
      <c r="G744" s="251"/>
      <c r="J744" s="251"/>
    </row>
    <row r="745" spans="4:10" ht="15.75" customHeight="1" x14ac:dyDescent="0.25">
      <c r="D745" s="721"/>
      <c r="E745" s="251"/>
      <c r="F745" s="251"/>
      <c r="G745" s="251"/>
      <c r="J745" s="251"/>
    </row>
    <row r="746" spans="4:10" ht="15.75" customHeight="1" x14ac:dyDescent="0.25">
      <c r="D746" s="721"/>
      <c r="E746" s="251"/>
      <c r="F746" s="251"/>
      <c r="G746" s="251"/>
      <c r="J746" s="251"/>
    </row>
    <row r="747" spans="4:10" ht="15.75" customHeight="1" x14ac:dyDescent="0.25">
      <c r="D747" s="721"/>
      <c r="E747" s="251"/>
      <c r="F747" s="251"/>
      <c r="G747" s="251"/>
      <c r="J747" s="251"/>
    </row>
    <row r="748" spans="4:10" ht="15.75" customHeight="1" x14ac:dyDescent="0.25">
      <c r="D748" s="721"/>
      <c r="E748" s="251"/>
      <c r="F748" s="251"/>
      <c r="G748" s="251"/>
      <c r="J748" s="251"/>
    </row>
    <row r="749" spans="4:10" ht="15.75" customHeight="1" x14ac:dyDescent="0.25">
      <c r="D749" s="721"/>
      <c r="E749" s="251"/>
      <c r="F749" s="251"/>
      <c r="G749" s="251"/>
      <c r="J749" s="251"/>
    </row>
    <row r="750" spans="4:10" ht="15.75" customHeight="1" x14ac:dyDescent="0.25">
      <c r="D750" s="721"/>
      <c r="E750" s="251"/>
      <c r="F750" s="251"/>
      <c r="G750" s="251"/>
      <c r="J750" s="251"/>
    </row>
    <row r="751" spans="4:10" ht="15.75" customHeight="1" x14ac:dyDescent="0.25">
      <c r="D751" s="721"/>
      <c r="E751" s="251"/>
      <c r="F751" s="251"/>
      <c r="G751" s="251"/>
      <c r="J751" s="251"/>
    </row>
    <row r="752" spans="4:10" ht="15.75" customHeight="1" x14ac:dyDescent="0.25">
      <c r="D752" s="721"/>
      <c r="E752" s="251"/>
      <c r="F752" s="251"/>
      <c r="G752" s="251"/>
      <c r="J752" s="251"/>
    </row>
    <row r="753" spans="4:10" ht="15.75" customHeight="1" x14ac:dyDescent="0.25">
      <c r="D753" s="721"/>
      <c r="E753" s="251"/>
      <c r="F753" s="251"/>
      <c r="G753" s="251"/>
      <c r="J753" s="251"/>
    </row>
    <row r="754" spans="4:10" ht="15.75" customHeight="1" x14ac:dyDescent="0.25">
      <c r="D754" s="721"/>
      <c r="E754" s="251"/>
      <c r="F754" s="251"/>
      <c r="G754" s="251"/>
      <c r="J754" s="251"/>
    </row>
    <row r="755" spans="4:10" ht="15.75" customHeight="1" x14ac:dyDescent="0.25">
      <c r="D755" s="721"/>
      <c r="E755" s="251"/>
      <c r="F755" s="251"/>
      <c r="G755" s="251"/>
      <c r="J755" s="251"/>
    </row>
    <row r="756" spans="4:10" ht="15.75" customHeight="1" x14ac:dyDescent="0.25">
      <c r="D756" s="721"/>
      <c r="E756" s="251"/>
      <c r="F756" s="251"/>
      <c r="G756" s="251"/>
      <c r="J756" s="251"/>
    </row>
    <row r="757" spans="4:10" ht="15.75" customHeight="1" x14ac:dyDescent="0.25">
      <c r="D757" s="721"/>
      <c r="E757" s="251"/>
      <c r="F757" s="251"/>
      <c r="G757" s="251"/>
      <c r="J757" s="251"/>
    </row>
    <row r="758" spans="4:10" ht="15.75" customHeight="1" x14ac:dyDescent="0.25">
      <c r="D758" s="721"/>
      <c r="E758" s="251"/>
      <c r="F758" s="251"/>
      <c r="G758" s="251"/>
      <c r="J758" s="251"/>
    </row>
    <row r="759" spans="4:10" ht="15.75" customHeight="1" x14ac:dyDescent="0.25">
      <c r="D759" s="721"/>
      <c r="E759" s="251"/>
      <c r="F759" s="251"/>
      <c r="G759" s="251"/>
      <c r="J759" s="251"/>
    </row>
    <row r="760" spans="4:10" ht="15.75" customHeight="1" x14ac:dyDescent="0.25">
      <c r="D760" s="721"/>
      <c r="E760" s="251"/>
      <c r="F760" s="251"/>
      <c r="G760" s="251"/>
      <c r="J760" s="251"/>
    </row>
    <row r="761" spans="4:10" ht="15.75" customHeight="1" x14ac:dyDescent="0.25">
      <c r="D761" s="721"/>
      <c r="E761" s="251"/>
      <c r="F761" s="251"/>
      <c r="G761" s="251"/>
      <c r="J761" s="251"/>
    </row>
    <row r="762" spans="4:10" ht="15.75" customHeight="1" x14ac:dyDescent="0.25">
      <c r="D762" s="721"/>
      <c r="E762" s="251"/>
      <c r="F762" s="251"/>
      <c r="G762" s="251"/>
      <c r="J762" s="251"/>
    </row>
    <row r="763" spans="4:10" ht="15.75" customHeight="1" x14ac:dyDescent="0.25">
      <c r="D763" s="721"/>
      <c r="E763" s="251"/>
      <c r="F763" s="251"/>
      <c r="G763" s="251"/>
      <c r="J763" s="251"/>
    </row>
    <row r="764" spans="4:10" ht="15.75" customHeight="1" x14ac:dyDescent="0.25">
      <c r="D764" s="721"/>
      <c r="E764" s="251"/>
      <c r="F764" s="251"/>
      <c r="G764" s="251"/>
      <c r="J764" s="251"/>
    </row>
    <row r="765" spans="4:10" ht="15.75" customHeight="1" x14ac:dyDescent="0.25">
      <c r="D765" s="721"/>
      <c r="E765" s="251"/>
      <c r="F765" s="251"/>
      <c r="G765" s="251"/>
      <c r="J765" s="251"/>
    </row>
    <row r="766" spans="4:10" ht="15.75" customHeight="1" x14ac:dyDescent="0.25">
      <c r="D766" s="721"/>
      <c r="E766" s="251"/>
      <c r="F766" s="251"/>
      <c r="G766" s="251"/>
      <c r="J766" s="251"/>
    </row>
    <row r="767" spans="4:10" ht="15.75" customHeight="1" x14ac:dyDescent="0.25">
      <c r="D767" s="721"/>
      <c r="E767" s="251"/>
      <c r="F767" s="251"/>
      <c r="G767" s="251"/>
      <c r="J767" s="251"/>
    </row>
    <row r="768" spans="4:10" ht="15.75" customHeight="1" x14ac:dyDescent="0.25">
      <c r="D768" s="721"/>
      <c r="E768" s="251"/>
      <c r="F768" s="251"/>
      <c r="G768" s="251"/>
      <c r="J768" s="251"/>
    </row>
    <row r="769" spans="4:10" ht="15.75" customHeight="1" x14ac:dyDescent="0.25">
      <c r="D769" s="721"/>
      <c r="E769" s="251"/>
      <c r="F769" s="251"/>
      <c r="G769" s="251"/>
      <c r="J769" s="251"/>
    </row>
    <row r="770" spans="4:10" ht="15.75" customHeight="1" x14ac:dyDescent="0.25">
      <c r="D770" s="721"/>
      <c r="E770" s="251"/>
      <c r="F770" s="251"/>
      <c r="G770" s="251"/>
      <c r="J770" s="251"/>
    </row>
    <row r="771" spans="4:10" ht="15.75" customHeight="1" x14ac:dyDescent="0.25">
      <c r="D771" s="721"/>
      <c r="E771" s="251"/>
      <c r="F771" s="251"/>
      <c r="G771" s="251"/>
      <c r="J771" s="251"/>
    </row>
    <row r="772" spans="4:10" ht="15.75" customHeight="1" x14ac:dyDescent="0.25">
      <c r="D772" s="721"/>
      <c r="E772" s="251"/>
      <c r="F772" s="251"/>
      <c r="G772" s="251"/>
      <c r="J772" s="251"/>
    </row>
    <row r="773" spans="4:10" ht="15.75" customHeight="1" x14ac:dyDescent="0.25">
      <c r="D773" s="721"/>
      <c r="E773" s="251"/>
      <c r="F773" s="251"/>
      <c r="G773" s="251"/>
      <c r="J773" s="251"/>
    </row>
    <row r="774" spans="4:10" ht="15.75" customHeight="1" x14ac:dyDescent="0.25">
      <c r="D774" s="721"/>
      <c r="E774" s="251"/>
      <c r="F774" s="251"/>
      <c r="G774" s="251"/>
      <c r="J774" s="251"/>
    </row>
    <row r="775" spans="4:10" ht="15.75" customHeight="1" x14ac:dyDescent="0.25">
      <c r="D775" s="721"/>
      <c r="E775" s="251"/>
      <c r="F775" s="251"/>
      <c r="G775" s="251"/>
      <c r="J775" s="251"/>
    </row>
    <row r="776" spans="4:10" ht="15.75" customHeight="1" x14ac:dyDescent="0.25">
      <c r="D776" s="721"/>
      <c r="E776" s="251"/>
      <c r="F776" s="251"/>
      <c r="G776" s="251"/>
      <c r="J776" s="251"/>
    </row>
    <row r="777" spans="4:10" ht="15.75" customHeight="1" x14ac:dyDescent="0.25">
      <c r="D777" s="721"/>
      <c r="E777" s="251"/>
      <c r="F777" s="251"/>
      <c r="G777" s="251"/>
      <c r="J777" s="251"/>
    </row>
    <row r="778" spans="4:10" ht="15.75" customHeight="1" x14ac:dyDescent="0.25">
      <c r="D778" s="721"/>
      <c r="E778" s="251"/>
      <c r="F778" s="251"/>
      <c r="G778" s="251"/>
      <c r="J778" s="251"/>
    </row>
    <row r="779" spans="4:10" ht="15.75" customHeight="1" x14ac:dyDescent="0.25">
      <c r="D779" s="721"/>
      <c r="E779" s="251"/>
      <c r="F779" s="251"/>
      <c r="G779" s="251"/>
      <c r="J779" s="251"/>
    </row>
    <row r="780" spans="4:10" ht="15.75" customHeight="1" x14ac:dyDescent="0.25">
      <c r="D780" s="721"/>
      <c r="E780" s="251"/>
      <c r="F780" s="251"/>
      <c r="G780" s="251"/>
      <c r="J780" s="251"/>
    </row>
    <row r="781" spans="4:10" ht="15.75" customHeight="1" x14ac:dyDescent="0.25">
      <c r="D781" s="721"/>
      <c r="E781" s="251"/>
      <c r="F781" s="251"/>
      <c r="G781" s="251"/>
      <c r="J781" s="251"/>
    </row>
    <row r="782" spans="4:10" ht="15.75" customHeight="1" x14ac:dyDescent="0.25">
      <c r="D782" s="721"/>
      <c r="E782" s="251"/>
      <c r="F782" s="251"/>
      <c r="G782" s="251"/>
      <c r="J782" s="251"/>
    </row>
    <row r="783" spans="4:10" ht="15.75" customHeight="1" x14ac:dyDescent="0.25">
      <c r="D783" s="721"/>
      <c r="E783" s="251"/>
      <c r="F783" s="251"/>
      <c r="G783" s="251"/>
      <c r="J783" s="251"/>
    </row>
    <row r="784" spans="4:10" ht="15.75" customHeight="1" x14ac:dyDescent="0.25">
      <c r="D784" s="721"/>
      <c r="E784" s="251"/>
      <c r="F784" s="251"/>
      <c r="G784" s="251"/>
      <c r="J784" s="251"/>
    </row>
    <row r="785" spans="4:10" ht="15.75" customHeight="1" x14ac:dyDescent="0.25">
      <c r="D785" s="721"/>
      <c r="E785" s="251"/>
      <c r="F785" s="251"/>
      <c r="G785" s="251"/>
      <c r="J785" s="251"/>
    </row>
    <row r="786" spans="4:10" ht="15.75" customHeight="1" x14ac:dyDescent="0.25">
      <c r="D786" s="721"/>
      <c r="E786" s="251"/>
      <c r="F786" s="251"/>
      <c r="G786" s="251"/>
      <c r="J786" s="251"/>
    </row>
    <row r="787" spans="4:10" ht="15.75" customHeight="1" x14ac:dyDescent="0.25">
      <c r="D787" s="721"/>
      <c r="E787" s="251"/>
      <c r="F787" s="251"/>
      <c r="G787" s="251"/>
      <c r="J787" s="251"/>
    </row>
    <row r="788" spans="4:10" ht="15.75" customHeight="1" x14ac:dyDescent="0.25">
      <c r="D788" s="721"/>
      <c r="E788" s="251"/>
      <c r="F788" s="251"/>
      <c r="G788" s="251"/>
      <c r="J788" s="251"/>
    </row>
    <row r="789" spans="4:10" ht="15.75" customHeight="1" x14ac:dyDescent="0.25">
      <c r="D789" s="721"/>
      <c r="E789" s="251"/>
      <c r="F789" s="251"/>
      <c r="G789" s="251"/>
      <c r="J789" s="251"/>
    </row>
    <row r="790" spans="4:10" ht="15.75" customHeight="1" x14ac:dyDescent="0.25">
      <c r="D790" s="721"/>
      <c r="E790" s="251"/>
      <c r="F790" s="251"/>
      <c r="G790" s="251"/>
      <c r="J790" s="251"/>
    </row>
    <row r="791" spans="4:10" ht="15.75" customHeight="1" x14ac:dyDescent="0.25">
      <c r="D791" s="721"/>
      <c r="E791" s="251"/>
      <c r="F791" s="251"/>
      <c r="G791" s="251"/>
      <c r="J791" s="251"/>
    </row>
    <row r="792" spans="4:10" ht="15.75" customHeight="1" x14ac:dyDescent="0.25">
      <c r="D792" s="721"/>
      <c r="E792" s="251"/>
      <c r="F792" s="251"/>
      <c r="G792" s="251"/>
      <c r="J792" s="251"/>
    </row>
    <row r="793" spans="4:10" ht="15.75" customHeight="1" x14ac:dyDescent="0.25">
      <c r="D793" s="721"/>
      <c r="E793" s="251"/>
      <c r="F793" s="251"/>
      <c r="G793" s="251"/>
      <c r="J793" s="251"/>
    </row>
    <row r="794" spans="4:10" ht="15.75" customHeight="1" x14ac:dyDescent="0.25">
      <c r="D794" s="721"/>
      <c r="E794" s="251"/>
      <c r="F794" s="251"/>
      <c r="G794" s="251"/>
      <c r="J794" s="251"/>
    </row>
    <row r="795" spans="4:10" ht="15.75" customHeight="1" x14ac:dyDescent="0.25">
      <c r="D795" s="721"/>
      <c r="E795" s="251"/>
      <c r="F795" s="251"/>
      <c r="G795" s="251"/>
      <c r="J795" s="251"/>
    </row>
    <row r="796" spans="4:10" ht="15.75" customHeight="1" x14ac:dyDescent="0.25">
      <c r="D796" s="721"/>
      <c r="E796" s="251"/>
      <c r="F796" s="251"/>
      <c r="G796" s="251"/>
      <c r="J796" s="251"/>
    </row>
    <row r="797" spans="4:10" ht="15.75" customHeight="1" x14ac:dyDescent="0.25">
      <c r="D797" s="721"/>
      <c r="E797" s="251"/>
      <c r="F797" s="251"/>
      <c r="G797" s="251"/>
      <c r="J797" s="251"/>
    </row>
  </sheetData>
  <mergeCells count="4">
    <mergeCell ref="A5:K5"/>
    <mergeCell ref="A7:K7"/>
    <mergeCell ref="B9:G9"/>
    <mergeCell ref="I9:J9"/>
  </mergeCells>
  <pageMargins left="0.511811024" right="0.511811024" top="0.78740157499999996" bottom="0.78740157499999996" header="0" footer="0"/>
  <pageSetup paperSize="9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F2F7C-E0C6-422D-88D5-C1B08185FFFA}">
  <dimension ref="A1:V1000"/>
  <sheetViews>
    <sheetView showGridLines="0" workbookViewId="0">
      <selection activeCell="J17" sqref="J17"/>
    </sheetView>
  </sheetViews>
  <sheetFormatPr defaultColWidth="14.42578125" defaultRowHeight="15" customHeight="1" x14ac:dyDescent="0.25"/>
  <cols>
    <col min="1" max="1" width="12.28515625" customWidth="1"/>
    <col min="2" max="2" width="14.5703125" customWidth="1"/>
    <col min="3" max="3" width="18.7109375" customWidth="1"/>
    <col min="4" max="5" width="10.7109375" customWidth="1"/>
    <col min="6" max="8" width="16.7109375" customWidth="1"/>
    <col min="9" max="9" width="8.85546875" customWidth="1"/>
    <col min="10" max="11" width="20.7109375" customWidth="1"/>
    <col min="12" max="12" width="27" customWidth="1"/>
    <col min="13" max="22" width="8.7109375" customWidth="1"/>
  </cols>
  <sheetData>
    <row r="1" spans="1:22" ht="15" customHeight="1" x14ac:dyDescent="0.25">
      <c r="A1" s="214" t="s">
        <v>0</v>
      </c>
      <c r="B1" s="447"/>
      <c r="C1" s="400"/>
      <c r="D1" s="401"/>
      <c r="E1" s="401"/>
      <c r="F1" s="401"/>
      <c r="G1" s="401"/>
      <c r="H1" s="401"/>
      <c r="I1" s="402"/>
      <c r="J1" s="402"/>
      <c r="K1" s="401"/>
      <c r="L1" s="403"/>
    </row>
    <row r="2" spans="1:22" ht="15" customHeight="1" x14ac:dyDescent="0.25">
      <c r="A2" s="219" t="s">
        <v>113</v>
      </c>
      <c r="B2" s="404"/>
      <c r="C2" s="405"/>
      <c r="D2" s="406"/>
      <c r="E2" s="406"/>
      <c r="F2" s="406"/>
      <c r="G2" s="406"/>
      <c r="H2" s="406"/>
      <c r="I2" s="407"/>
      <c r="J2" s="407"/>
      <c r="K2" s="406"/>
      <c r="L2" s="408"/>
    </row>
    <row r="3" spans="1:22" ht="15" customHeight="1" x14ac:dyDescent="0.25">
      <c r="A3" s="219" t="s">
        <v>1</v>
      </c>
      <c r="B3" s="404"/>
      <c r="C3" s="405"/>
      <c r="D3" s="406"/>
      <c r="E3" s="406"/>
      <c r="F3" s="406"/>
      <c r="G3" s="406"/>
      <c r="H3" s="406"/>
      <c r="I3" s="407"/>
      <c r="J3" s="407"/>
      <c r="K3" s="406"/>
      <c r="L3" s="408"/>
    </row>
    <row r="4" spans="1:22" ht="15" customHeight="1" x14ac:dyDescent="0.25">
      <c r="A4" s="409" t="s">
        <v>160</v>
      </c>
      <c r="B4" s="410"/>
      <c r="C4" s="405"/>
      <c r="D4" s="411"/>
      <c r="E4" s="411"/>
      <c r="F4" s="411"/>
      <c r="G4" s="411"/>
      <c r="H4" s="411"/>
      <c r="I4" s="412"/>
      <c r="J4" s="412"/>
      <c r="K4" s="411"/>
      <c r="L4" s="408"/>
    </row>
    <row r="5" spans="1:22" ht="26.25" customHeight="1" x14ac:dyDescent="0.25">
      <c r="A5" s="1061" t="s">
        <v>283</v>
      </c>
      <c r="B5" s="1062"/>
      <c r="C5" s="1062"/>
      <c r="D5" s="1062"/>
      <c r="E5" s="1062"/>
      <c r="F5" s="1062"/>
      <c r="G5" s="1062"/>
      <c r="H5" s="1062"/>
      <c r="I5" s="1062"/>
      <c r="J5" s="1062"/>
      <c r="K5" s="1062"/>
      <c r="L5" s="1063"/>
    </row>
    <row r="6" spans="1:22" ht="14.25" customHeight="1" x14ac:dyDescent="0.25">
      <c r="A6" s="284"/>
      <c r="B6" s="289"/>
      <c r="C6" s="289"/>
      <c r="D6" s="413"/>
      <c r="E6" s="413"/>
      <c r="F6" s="413"/>
      <c r="G6" s="413"/>
      <c r="H6" s="413"/>
      <c r="I6" s="289"/>
      <c r="J6" s="289"/>
      <c r="K6" s="413"/>
      <c r="L6" s="285"/>
    </row>
    <row r="7" spans="1:22" ht="26.25" customHeight="1" x14ac:dyDescent="0.25">
      <c r="A7" s="1064" t="s">
        <v>544</v>
      </c>
      <c r="B7" s="1062"/>
      <c r="C7" s="1062"/>
      <c r="D7" s="1062"/>
      <c r="E7" s="1062"/>
      <c r="F7" s="1062"/>
      <c r="G7" s="1062"/>
      <c r="H7" s="1062"/>
      <c r="I7" s="1062"/>
      <c r="J7" s="1062"/>
      <c r="K7" s="1062"/>
      <c r="L7" s="1063"/>
    </row>
    <row r="8" spans="1:22" ht="14.25" customHeight="1" thickBot="1" x14ac:dyDescent="0.3">
      <c r="A8" s="284"/>
      <c r="B8" s="289"/>
      <c r="C8" s="289"/>
      <c r="D8" s="413"/>
      <c r="E8" s="413"/>
      <c r="F8" s="413"/>
      <c r="G8" s="413"/>
      <c r="H8" s="413"/>
      <c r="I8" s="289"/>
      <c r="J8" s="289"/>
      <c r="K8" s="413"/>
      <c r="L8" s="285"/>
      <c r="M8" s="289"/>
      <c r="N8" s="289"/>
      <c r="O8" s="289"/>
      <c r="P8" s="289"/>
      <c r="Q8" s="289"/>
      <c r="R8" s="289"/>
      <c r="S8" s="289"/>
      <c r="T8" s="289"/>
      <c r="U8" s="289"/>
      <c r="V8" s="289"/>
    </row>
    <row r="9" spans="1:22" ht="14.25" customHeight="1" thickBot="1" x14ac:dyDescent="0.3">
      <c r="A9" s="284"/>
      <c r="B9" s="1128" t="s">
        <v>521</v>
      </c>
      <c r="C9" s="1085"/>
      <c r="D9" s="1085"/>
      <c r="E9" s="1085"/>
      <c r="F9" s="1085"/>
      <c r="G9" s="1085"/>
      <c r="H9" s="1121"/>
      <c r="I9" s="289"/>
      <c r="J9" s="1128" t="s">
        <v>544</v>
      </c>
      <c r="K9" s="1121"/>
      <c r="L9" s="285"/>
    </row>
    <row r="10" spans="1:22" ht="14.25" customHeight="1" x14ac:dyDescent="0.25">
      <c r="A10" s="284"/>
      <c r="B10" s="414" t="s">
        <v>522</v>
      </c>
      <c r="C10" s="415" t="s">
        <v>535</v>
      </c>
      <c r="D10" s="435" t="s">
        <v>536</v>
      </c>
      <c r="E10" s="435" t="s">
        <v>537</v>
      </c>
      <c r="F10" s="416" t="s">
        <v>18</v>
      </c>
      <c r="G10" s="417" t="s">
        <v>524</v>
      </c>
      <c r="H10" s="418" t="s">
        <v>542</v>
      </c>
      <c r="I10" s="289"/>
      <c r="J10" s="234" t="s">
        <v>538</v>
      </c>
      <c r="K10" s="418" t="s">
        <v>542</v>
      </c>
      <c r="L10" s="285"/>
    </row>
    <row r="11" spans="1:22" ht="14.25" customHeight="1" x14ac:dyDescent="0.25">
      <c r="A11" s="284"/>
      <c r="B11" s="419"/>
      <c r="C11" s="420"/>
      <c r="D11" s="437"/>
      <c r="E11" s="437"/>
      <c r="F11" s="421"/>
      <c r="G11" s="422"/>
      <c r="H11" s="423">
        <f>G11*BRISES!$F11*BRISES!$D11*BRISES!$E11</f>
        <v>0</v>
      </c>
      <c r="I11" s="289"/>
      <c r="J11" s="439" t="str">
        <f ca="1">IFERROR(__xludf.DUMMYFUNCTION("ARRAY_CONSTRAIN(ARRAYFORMULA(UNIQUE(BRISES!$B$11:$B$220)), 1, 1)"),"")</f>
        <v/>
      </c>
      <c r="K11" s="424">
        <f ca="1">SUMIF(C:C,J11,H:H)</f>
        <v>0</v>
      </c>
      <c r="L11" s="285"/>
    </row>
    <row r="12" spans="1:22" ht="14.25" customHeight="1" x14ac:dyDescent="0.25">
      <c r="A12" s="284"/>
      <c r="B12" s="425"/>
      <c r="C12" s="426"/>
      <c r="D12" s="440"/>
      <c r="E12" s="440"/>
      <c r="F12" s="427"/>
      <c r="G12" s="428"/>
      <c r="H12" s="429">
        <f>G12*BRISES!$F12</f>
        <v>0</v>
      </c>
      <c r="I12" s="289"/>
      <c r="J12" s="442"/>
      <c r="K12" s="429"/>
      <c r="L12" s="285"/>
    </row>
    <row r="13" spans="1:22" ht="14.25" customHeight="1" x14ac:dyDescent="0.25">
      <c r="A13" s="284"/>
      <c r="B13" s="425"/>
      <c r="C13" s="426"/>
      <c r="D13" s="440"/>
      <c r="E13" s="440"/>
      <c r="F13" s="427"/>
      <c r="G13" s="428"/>
      <c r="H13" s="429">
        <f>G13*BRISES!$F13</f>
        <v>0</v>
      </c>
      <c r="I13" s="289"/>
      <c r="J13" s="442"/>
      <c r="K13" s="429"/>
      <c r="L13" s="285"/>
    </row>
    <row r="14" spans="1:22" ht="14.25" customHeight="1" x14ac:dyDescent="0.25">
      <c r="A14" s="284"/>
      <c r="B14" s="425"/>
      <c r="C14" s="426"/>
      <c r="D14" s="440"/>
      <c r="E14" s="440"/>
      <c r="F14" s="427"/>
      <c r="G14" s="428"/>
      <c r="H14" s="429">
        <f>G14*BRISES!$F14</f>
        <v>0</v>
      </c>
      <c r="I14" s="289"/>
      <c r="J14" s="442"/>
      <c r="K14" s="429"/>
      <c r="L14" s="285"/>
    </row>
    <row r="15" spans="1:22" ht="14.25" customHeight="1" x14ac:dyDescent="0.25">
      <c r="A15" s="284"/>
      <c r="B15" s="425"/>
      <c r="C15" s="426"/>
      <c r="D15" s="440"/>
      <c r="E15" s="440"/>
      <c r="F15" s="427"/>
      <c r="G15" s="428"/>
      <c r="H15" s="429">
        <f>G15*BRISES!$F15</f>
        <v>0</v>
      </c>
      <c r="I15" s="289"/>
      <c r="J15" s="442"/>
      <c r="K15" s="429"/>
      <c r="L15" s="285"/>
    </row>
    <row r="16" spans="1:22" ht="14.25" customHeight="1" x14ac:dyDescent="0.25">
      <c r="A16" s="284"/>
      <c r="B16" s="425"/>
      <c r="C16" s="426"/>
      <c r="D16" s="440"/>
      <c r="E16" s="440"/>
      <c r="F16" s="427"/>
      <c r="G16" s="428"/>
      <c r="H16" s="429">
        <f>G16*BRISES!$F16</f>
        <v>0</v>
      </c>
      <c r="I16" s="289"/>
      <c r="J16" s="442"/>
      <c r="K16" s="429"/>
      <c r="L16" s="285"/>
    </row>
    <row r="17" spans="1:12" ht="14.25" customHeight="1" x14ac:dyDescent="0.25">
      <c r="A17" s="284"/>
      <c r="B17" s="425"/>
      <c r="C17" s="426"/>
      <c r="D17" s="440"/>
      <c r="E17" s="440"/>
      <c r="F17" s="427"/>
      <c r="G17" s="428"/>
      <c r="H17" s="429">
        <f>G17*BRISES!$F17</f>
        <v>0</v>
      </c>
      <c r="I17" s="289"/>
      <c r="J17" s="442"/>
      <c r="K17" s="429"/>
      <c r="L17" s="285"/>
    </row>
    <row r="18" spans="1:12" ht="14.25" customHeight="1" x14ac:dyDescent="0.25">
      <c r="A18" s="284"/>
      <c r="B18" s="425"/>
      <c r="C18" s="426"/>
      <c r="D18" s="440"/>
      <c r="E18" s="440"/>
      <c r="F18" s="427"/>
      <c r="G18" s="428"/>
      <c r="H18" s="429">
        <f>G18*BRISES!$F18</f>
        <v>0</v>
      </c>
      <c r="I18" s="289"/>
      <c r="J18" s="442"/>
      <c r="K18" s="429"/>
      <c r="L18" s="285"/>
    </row>
    <row r="19" spans="1:12" ht="14.25" customHeight="1" x14ac:dyDescent="0.25">
      <c r="A19" s="284"/>
      <c r="B19" s="425"/>
      <c r="C19" s="426"/>
      <c r="D19" s="440"/>
      <c r="E19" s="440"/>
      <c r="F19" s="427"/>
      <c r="G19" s="428"/>
      <c r="H19" s="429">
        <f>G19*BRISES!$F19</f>
        <v>0</v>
      </c>
      <c r="I19" s="289"/>
      <c r="J19" s="442"/>
      <c r="K19" s="429"/>
      <c r="L19" s="285"/>
    </row>
    <row r="20" spans="1:12" ht="14.25" customHeight="1" x14ac:dyDescent="0.25">
      <c r="A20" s="284"/>
      <c r="B20" s="425"/>
      <c r="C20" s="426"/>
      <c r="D20" s="440"/>
      <c r="E20" s="440"/>
      <c r="F20" s="427"/>
      <c r="G20" s="428"/>
      <c r="H20" s="429">
        <f>G20*BRISES!$F20</f>
        <v>0</v>
      </c>
      <c r="I20" s="289"/>
      <c r="J20" s="442"/>
      <c r="K20" s="429"/>
      <c r="L20" s="285"/>
    </row>
    <row r="21" spans="1:12" ht="14.25" customHeight="1" x14ac:dyDescent="0.25">
      <c r="A21" s="284"/>
      <c r="B21" s="425"/>
      <c r="C21" s="426"/>
      <c r="D21" s="440"/>
      <c r="E21" s="440"/>
      <c r="F21" s="427"/>
      <c r="G21" s="428"/>
      <c r="H21" s="429">
        <f>G21*BRISES!$F21</f>
        <v>0</v>
      </c>
      <c r="I21" s="289"/>
      <c r="J21" s="442"/>
      <c r="K21" s="429"/>
      <c r="L21" s="285"/>
    </row>
    <row r="22" spans="1:12" ht="14.25" customHeight="1" x14ac:dyDescent="0.25">
      <c r="A22" s="284"/>
      <c r="B22" s="425"/>
      <c r="C22" s="426"/>
      <c r="D22" s="440"/>
      <c r="E22" s="440"/>
      <c r="F22" s="427"/>
      <c r="G22" s="428"/>
      <c r="H22" s="429">
        <f>G22*BRISES!$F22</f>
        <v>0</v>
      </c>
      <c r="I22" s="289"/>
      <c r="J22" s="442"/>
      <c r="K22" s="429"/>
      <c r="L22" s="285"/>
    </row>
    <row r="23" spans="1:12" ht="14.25" customHeight="1" x14ac:dyDescent="0.25">
      <c r="A23" s="284"/>
      <c r="B23" s="425"/>
      <c r="C23" s="426"/>
      <c r="D23" s="440"/>
      <c r="E23" s="440"/>
      <c r="F23" s="427"/>
      <c r="G23" s="428"/>
      <c r="H23" s="429">
        <f>G23*BRISES!$F23</f>
        <v>0</v>
      </c>
      <c r="I23" s="289"/>
      <c r="J23" s="442"/>
      <c r="K23" s="429"/>
      <c r="L23" s="285"/>
    </row>
    <row r="24" spans="1:12" ht="14.25" customHeight="1" x14ac:dyDescent="0.25">
      <c r="A24" s="284"/>
      <c r="B24" s="425"/>
      <c r="C24" s="426"/>
      <c r="D24" s="440"/>
      <c r="E24" s="440"/>
      <c r="F24" s="427"/>
      <c r="G24" s="428"/>
      <c r="H24" s="429">
        <f>G24*BRISES!$F24</f>
        <v>0</v>
      </c>
      <c r="I24" s="289"/>
      <c r="J24" s="442"/>
      <c r="K24" s="429"/>
      <c r="L24" s="285"/>
    </row>
    <row r="25" spans="1:12" ht="14.25" customHeight="1" x14ac:dyDescent="0.25">
      <c r="A25" s="284"/>
      <c r="B25" s="425"/>
      <c r="C25" s="426"/>
      <c r="D25" s="440"/>
      <c r="E25" s="440"/>
      <c r="F25" s="427"/>
      <c r="G25" s="428"/>
      <c r="H25" s="429">
        <f>G25*BRISES!$F25</f>
        <v>0</v>
      </c>
      <c r="I25" s="289"/>
      <c r="J25" s="442"/>
      <c r="K25" s="429"/>
      <c r="L25" s="285"/>
    </row>
    <row r="26" spans="1:12" ht="14.25" customHeight="1" x14ac:dyDescent="0.25">
      <c r="A26" s="284"/>
      <c r="B26" s="425"/>
      <c r="C26" s="426"/>
      <c r="D26" s="440"/>
      <c r="E26" s="440"/>
      <c r="F26" s="427"/>
      <c r="G26" s="428"/>
      <c r="H26" s="429">
        <f>G26*BRISES!$F26</f>
        <v>0</v>
      </c>
      <c r="I26" s="289"/>
      <c r="J26" s="442"/>
      <c r="K26" s="429"/>
      <c r="L26" s="285"/>
    </row>
    <row r="27" spans="1:12" ht="14.25" customHeight="1" x14ac:dyDescent="0.25">
      <c r="A27" s="284"/>
      <c r="B27" s="425"/>
      <c r="C27" s="426"/>
      <c r="D27" s="440"/>
      <c r="E27" s="440"/>
      <c r="F27" s="427"/>
      <c r="G27" s="428"/>
      <c r="H27" s="429">
        <f>G27*BRISES!$F27</f>
        <v>0</v>
      </c>
      <c r="I27" s="289"/>
      <c r="J27" s="442"/>
      <c r="K27" s="429"/>
      <c r="L27" s="285"/>
    </row>
    <row r="28" spans="1:12" ht="14.25" customHeight="1" x14ac:dyDescent="0.25">
      <c r="A28" s="284"/>
      <c r="B28" s="425"/>
      <c r="C28" s="426"/>
      <c r="D28" s="440"/>
      <c r="E28" s="440"/>
      <c r="F28" s="427"/>
      <c r="G28" s="428"/>
      <c r="H28" s="429">
        <f>G28*BRISES!$F28</f>
        <v>0</v>
      </c>
      <c r="I28" s="289"/>
      <c r="J28" s="442"/>
      <c r="K28" s="429"/>
      <c r="L28" s="285"/>
    </row>
    <row r="29" spans="1:12" ht="14.25" customHeight="1" x14ac:dyDescent="0.25">
      <c r="A29" s="284"/>
      <c r="B29" s="425"/>
      <c r="C29" s="426"/>
      <c r="D29" s="440"/>
      <c r="E29" s="440"/>
      <c r="F29" s="427"/>
      <c r="G29" s="428"/>
      <c r="H29" s="429">
        <f>G29*BRISES!$F29</f>
        <v>0</v>
      </c>
      <c r="I29" s="289"/>
      <c r="J29" s="442"/>
      <c r="K29" s="429"/>
      <c r="L29" s="285"/>
    </row>
    <row r="30" spans="1:12" ht="14.25" customHeight="1" x14ac:dyDescent="0.25">
      <c r="A30" s="284"/>
      <c r="B30" s="425"/>
      <c r="C30" s="426"/>
      <c r="D30" s="440"/>
      <c r="E30" s="440"/>
      <c r="F30" s="427"/>
      <c r="G30" s="428"/>
      <c r="H30" s="429">
        <f>G30*BRISES!$F30</f>
        <v>0</v>
      </c>
      <c r="I30" s="289"/>
      <c r="J30" s="442"/>
      <c r="K30" s="429"/>
      <c r="L30" s="285"/>
    </row>
    <row r="31" spans="1:12" ht="14.25" customHeight="1" x14ac:dyDescent="0.25">
      <c r="A31" s="284"/>
      <c r="B31" s="425"/>
      <c r="C31" s="426"/>
      <c r="D31" s="440"/>
      <c r="E31" s="440"/>
      <c r="F31" s="427"/>
      <c r="G31" s="428"/>
      <c r="H31" s="429">
        <f>G31*BRISES!$F31</f>
        <v>0</v>
      </c>
      <c r="I31" s="289"/>
      <c r="J31" s="442"/>
      <c r="K31" s="429"/>
      <c r="L31" s="285"/>
    </row>
    <row r="32" spans="1:12" ht="14.25" customHeight="1" x14ac:dyDescent="0.25">
      <c r="A32" s="284"/>
      <c r="B32" s="425"/>
      <c r="C32" s="426"/>
      <c r="D32" s="440"/>
      <c r="E32" s="440"/>
      <c r="F32" s="427"/>
      <c r="G32" s="428"/>
      <c r="H32" s="429">
        <f>G32*BRISES!$F32</f>
        <v>0</v>
      </c>
      <c r="I32" s="289"/>
      <c r="J32" s="442"/>
      <c r="K32" s="429"/>
      <c r="L32" s="285"/>
    </row>
    <row r="33" spans="1:12" ht="14.25" customHeight="1" x14ac:dyDescent="0.25">
      <c r="A33" s="284"/>
      <c r="B33" s="425"/>
      <c r="C33" s="426"/>
      <c r="D33" s="440"/>
      <c r="E33" s="440"/>
      <c r="F33" s="427"/>
      <c r="G33" s="428"/>
      <c r="H33" s="429">
        <f>G33*BRISES!$F33</f>
        <v>0</v>
      </c>
      <c r="I33" s="289"/>
      <c r="J33" s="442"/>
      <c r="K33" s="429"/>
      <c r="L33" s="285"/>
    </row>
    <row r="34" spans="1:12" ht="14.25" customHeight="1" x14ac:dyDescent="0.25">
      <c r="A34" s="284"/>
      <c r="B34" s="425"/>
      <c r="C34" s="426"/>
      <c r="D34" s="440"/>
      <c r="E34" s="440"/>
      <c r="F34" s="427"/>
      <c r="G34" s="428"/>
      <c r="H34" s="429">
        <f>G34*BRISES!$F34</f>
        <v>0</v>
      </c>
      <c r="I34" s="289"/>
      <c r="J34" s="442"/>
      <c r="K34" s="429"/>
      <c r="L34" s="285"/>
    </row>
    <row r="35" spans="1:12" ht="14.25" customHeight="1" x14ac:dyDescent="0.25">
      <c r="A35" s="284"/>
      <c r="B35" s="425"/>
      <c r="C35" s="426"/>
      <c r="D35" s="440"/>
      <c r="E35" s="440"/>
      <c r="F35" s="427"/>
      <c r="G35" s="428"/>
      <c r="H35" s="429">
        <f>G35*BRISES!$F35</f>
        <v>0</v>
      </c>
      <c r="I35" s="289"/>
      <c r="J35" s="442"/>
      <c r="K35" s="429"/>
      <c r="L35" s="285"/>
    </row>
    <row r="36" spans="1:12" ht="14.25" customHeight="1" x14ac:dyDescent="0.25">
      <c r="A36" s="284"/>
      <c r="B36" s="425"/>
      <c r="C36" s="426"/>
      <c r="D36" s="440"/>
      <c r="E36" s="440"/>
      <c r="F36" s="427"/>
      <c r="G36" s="428"/>
      <c r="H36" s="429">
        <f>G36*BRISES!$F36</f>
        <v>0</v>
      </c>
      <c r="I36" s="289"/>
      <c r="J36" s="442"/>
      <c r="K36" s="429"/>
      <c r="L36" s="285"/>
    </row>
    <row r="37" spans="1:12" ht="14.25" customHeight="1" x14ac:dyDescent="0.25">
      <c r="A37" s="284"/>
      <c r="B37" s="425"/>
      <c r="C37" s="426"/>
      <c r="D37" s="440"/>
      <c r="E37" s="440"/>
      <c r="F37" s="427"/>
      <c r="G37" s="428"/>
      <c r="H37" s="429">
        <f>G37*BRISES!$F37</f>
        <v>0</v>
      </c>
      <c r="I37" s="289"/>
      <c r="J37" s="442"/>
      <c r="K37" s="429"/>
      <c r="L37" s="285"/>
    </row>
    <row r="38" spans="1:12" ht="14.25" customHeight="1" x14ac:dyDescent="0.25">
      <c r="A38" s="284"/>
      <c r="B38" s="425"/>
      <c r="C38" s="426"/>
      <c r="D38" s="440"/>
      <c r="E38" s="440"/>
      <c r="F38" s="427"/>
      <c r="G38" s="428"/>
      <c r="H38" s="429">
        <f>G38*BRISES!$F38</f>
        <v>0</v>
      </c>
      <c r="I38" s="289"/>
      <c r="J38" s="442"/>
      <c r="K38" s="429"/>
      <c r="L38" s="285"/>
    </row>
    <row r="39" spans="1:12" ht="14.25" customHeight="1" x14ac:dyDescent="0.25">
      <c r="A39" s="284"/>
      <c r="B39" s="425"/>
      <c r="C39" s="426"/>
      <c r="D39" s="440"/>
      <c r="E39" s="440"/>
      <c r="F39" s="427"/>
      <c r="G39" s="428"/>
      <c r="H39" s="429">
        <f>G39*BRISES!$F39</f>
        <v>0</v>
      </c>
      <c r="I39" s="289"/>
      <c r="J39" s="442"/>
      <c r="K39" s="429"/>
      <c r="L39" s="285"/>
    </row>
    <row r="40" spans="1:12" ht="14.25" customHeight="1" x14ac:dyDescent="0.25">
      <c r="A40" s="284"/>
      <c r="B40" s="425"/>
      <c r="C40" s="426"/>
      <c r="D40" s="440"/>
      <c r="E40" s="440"/>
      <c r="F40" s="427"/>
      <c r="G40" s="428"/>
      <c r="H40" s="429">
        <f>G40*BRISES!$F40</f>
        <v>0</v>
      </c>
      <c r="I40" s="289"/>
      <c r="J40" s="442"/>
      <c r="K40" s="429"/>
      <c r="L40" s="285"/>
    </row>
    <row r="41" spans="1:12" ht="14.25" customHeight="1" x14ac:dyDescent="0.25">
      <c r="A41" s="284"/>
      <c r="B41" s="425"/>
      <c r="C41" s="426"/>
      <c r="D41" s="440"/>
      <c r="E41" s="440"/>
      <c r="F41" s="427"/>
      <c r="G41" s="428"/>
      <c r="H41" s="429">
        <f>G41*BRISES!$F41</f>
        <v>0</v>
      </c>
      <c r="I41" s="289"/>
      <c r="J41" s="442"/>
      <c r="K41" s="429"/>
      <c r="L41" s="285"/>
    </row>
    <row r="42" spans="1:12" ht="14.25" customHeight="1" x14ac:dyDescent="0.25">
      <c r="A42" s="284"/>
      <c r="B42" s="425"/>
      <c r="C42" s="426"/>
      <c r="D42" s="440"/>
      <c r="E42" s="440"/>
      <c r="F42" s="427"/>
      <c r="G42" s="428"/>
      <c r="H42" s="429">
        <f>G42*BRISES!$F42</f>
        <v>0</v>
      </c>
      <c r="I42" s="289"/>
      <c r="J42" s="442"/>
      <c r="K42" s="429"/>
      <c r="L42" s="285"/>
    </row>
    <row r="43" spans="1:12" ht="14.25" customHeight="1" x14ac:dyDescent="0.25">
      <c r="A43" s="284"/>
      <c r="B43" s="425"/>
      <c r="C43" s="426"/>
      <c r="D43" s="440"/>
      <c r="E43" s="440"/>
      <c r="F43" s="427"/>
      <c r="G43" s="428"/>
      <c r="H43" s="429">
        <f>G43*BRISES!$F43</f>
        <v>0</v>
      </c>
      <c r="I43" s="289"/>
      <c r="J43" s="442"/>
      <c r="K43" s="429"/>
      <c r="L43" s="285"/>
    </row>
    <row r="44" spans="1:12" ht="14.25" customHeight="1" x14ac:dyDescent="0.25">
      <c r="A44" s="284"/>
      <c r="B44" s="425"/>
      <c r="C44" s="426"/>
      <c r="D44" s="440"/>
      <c r="E44" s="440"/>
      <c r="F44" s="427"/>
      <c r="G44" s="428"/>
      <c r="H44" s="429">
        <f>G44*BRISES!$F44</f>
        <v>0</v>
      </c>
      <c r="I44" s="289"/>
      <c r="J44" s="442"/>
      <c r="K44" s="429"/>
      <c r="L44" s="285"/>
    </row>
    <row r="45" spans="1:12" ht="14.25" customHeight="1" x14ac:dyDescent="0.25">
      <c r="A45" s="284"/>
      <c r="B45" s="425"/>
      <c r="C45" s="426"/>
      <c r="D45" s="440"/>
      <c r="E45" s="440"/>
      <c r="F45" s="427"/>
      <c r="G45" s="428"/>
      <c r="H45" s="429">
        <f>G45*BRISES!$F45</f>
        <v>0</v>
      </c>
      <c r="I45" s="289"/>
      <c r="J45" s="442"/>
      <c r="K45" s="429"/>
      <c r="L45" s="285"/>
    </row>
    <row r="46" spans="1:12" ht="14.25" customHeight="1" x14ac:dyDescent="0.25">
      <c r="A46" s="284"/>
      <c r="B46" s="430"/>
      <c r="C46" s="431"/>
      <c r="D46" s="448"/>
      <c r="E46" s="440"/>
      <c r="F46" s="427"/>
      <c r="G46" s="428"/>
      <c r="H46" s="429">
        <f>G46*BRISES!$F46</f>
        <v>0</v>
      </c>
      <c r="I46" s="289"/>
      <c r="J46" s="442"/>
      <c r="K46" s="429"/>
      <c r="L46" s="285"/>
    </row>
    <row r="47" spans="1:12" ht="14.25" customHeight="1" x14ac:dyDescent="0.25">
      <c r="A47" s="284"/>
      <c r="B47" s="425"/>
      <c r="C47" s="426"/>
      <c r="D47" s="440"/>
      <c r="E47" s="440"/>
      <c r="F47" s="427"/>
      <c r="G47" s="428"/>
      <c r="H47" s="429">
        <f>G47*BRISES!$F47</f>
        <v>0</v>
      </c>
      <c r="I47" s="289"/>
      <c r="J47" s="442"/>
      <c r="K47" s="429"/>
      <c r="L47" s="285"/>
    </row>
    <row r="48" spans="1:12" ht="14.25" customHeight="1" x14ac:dyDescent="0.25">
      <c r="A48" s="284"/>
      <c r="B48" s="425"/>
      <c r="C48" s="426"/>
      <c r="D48" s="440"/>
      <c r="E48" s="440"/>
      <c r="F48" s="427"/>
      <c r="G48" s="428"/>
      <c r="H48" s="429">
        <f>G48*BRISES!$F48</f>
        <v>0</v>
      </c>
      <c r="I48" s="289"/>
      <c r="J48" s="442"/>
      <c r="K48" s="429"/>
      <c r="L48" s="285"/>
    </row>
    <row r="49" spans="1:12" ht="14.25" customHeight="1" x14ac:dyDescent="0.25">
      <c r="A49" s="284"/>
      <c r="B49" s="425"/>
      <c r="C49" s="426"/>
      <c r="D49" s="440"/>
      <c r="E49" s="440"/>
      <c r="F49" s="427"/>
      <c r="G49" s="428"/>
      <c r="H49" s="429">
        <f>G49*BRISES!$F49</f>
        <v>0</v>
      </c>
      <c r="I49" s="289"/>
      <c r="J49" s="442"/>
      <c r="K49" s="429"/>
      <c r="L49" s="285"/>
    </row>
    <row r="50" spans="1:12" ht="14.25" customHeight="1" x14ac:dyDescent="0.25">
      <c r="A50" s="284"/>
      <c r="B50" s="425"/>
      <c r="C50" s="426"/>
      <c r="D50" s="440"/>
      <c r="E50" s="440"/>
      <c r="F50" s="427"/>
      <c r="G50" s="428"/>
      <c r="H50" s="429">
        <f>G50*BRISES!$F50</f>
        <v>0</v>
      </c>
      <c r="I50" s="289"/>
      <c r="J50" s="442"/>
      <c r="K50" s="429"/>
      <c r="L50" s="285"/>
    </row>
    <row r="51" spans="1:12" ht="14.25" customHeight="1" x14ac:dyDescent="0.25">
      <c r="A51" s="284"/>
      <c r="B51" s="425"/>
      <c r="C51" s="426"/>
      <c r="D51" s="440"/>
      <c r="E51" s="440"/>
      <c r="F51" s="427"/>
      <c r="G51" s="428"/>
      <c r="H51" s="429">
        <f>G51*BRISES!$F51</f>
        <v>0</v>
      </c>
      <c r="I51" s="289"/>
      <c r="J51" s="442"/>
      <c r="K51" s="429"/>
      <c r="L51" s="285"/>
    </row>
    <row r="52" spans="1:12" ht="14.25" customHeight="1" x14ac:dyDescent="0.25">
      <c r="A52" s="284"/>
      <c r="B52" s="425"/>
      <c r="C52" s="426"/>
      <c r="D52" s="440"/>
      <c r="E52" s="440"/>
      <c r="F52" s="427"/>
      <c r="G52" s="428"/>
      <c r="H52" s="429">
        <f>G52*BRISES!$F52</f>
        <v>0</v>
      </c>
      <c r="I52" s="289"/>
      <c r="J52" s="442"/>
      <c r="K52" s="429"/>
      <c r="L52" s="285"/>
    </row>
    <row r="53" spans="1:12" ht="14.25" customHeight="1" x14ac:dyDescent="0.25">
      <c r="A53" s="284"/>
      <c r="B53" s="425"/>
      <c r="C53" s="426"/>
      <c r="D53" s="440"/>
      <c r="E53" s="440"/>
      <c r="F53" s="427"/>
      <c r="G53" s="428"/>
      <c r="H53" s="429">
        <f>G53*BRISES!$F53</f>
        <v>0</v>
      </c>
      <c r="I53" s="289"/>
      <c r="J53" s="442"/>
      <c r="K53" s="429"/>
      <c r="L53" s="285"/>
    </row>
    <row r="54" spans="1:12" ht="14.25" customHeight="1" x14ac:dyDescent="0.25">
      <c r="A54" s="284"/>
      <c r="B54" s="425"/>
      <c r="C54" s="426"/>
      <c r="D54" s="440"/>
      <c r="E54" s="440"/>
      <c r="F54" s="427"/>
      <c r="G54" s="428"/>
      <c r="H54" s="429">
        <f>G54*BRISES!$F54</f>
        <v>0</v>
      </c>
      <c r="I54" s="289"/>
      <c r="J54" s="442"/>
      <c r="K54" s="429"/>
      <c r="L54" s="285"/>
    </row>
    <row r="55" spans="1:12" ht="14.25" customHeight="1" x14ac:dyDescent="0.25">
      <c r="A55" s="284"/>
      <c r="B55" s="425"/>
      <c r="C55" s="426"/>
      <c r="D55" s="440"/>
      <c r="E55" s="440"/>
      <c r="F55" s="427"/>
      <c r="G55" s="428"/>
      <c r="H55" s="429">
        <f>G55*BRISES!$F55</f>
        <v>0</v>
      </c>
      <c r="I55" s="289"/>
      <c r="J55" s="442"/>
      <c r="K55" s="429"/>
      <c r="L55" s="285"/>
    </row>
    <row r="56" spans="1:12" ht="14.25" customHeight="1" x14ac:dyDescent="0.25">
      <c r="A56" s="284"/>
      <c r="B56" s="425"/>
      <c r="C56" s="426"/>
      <c r="D56" s="440"/>
      <c r="E56" s="440"/>
      <c r="F56" s="427"/>
      <c r="G56" s="428"/>
      <c r="H56" s="429">
        <f>G56*BRISES!$F56</f>
        <v>0</v>
      </c>
      <c r="I56" s="289"/>
      <c r="J56" s="442"/>
      <c r="K56" s="429"/>
      <c r="L56" s="285"/>
    </row>
    <row r="57" spans="1:12" ht="14.25" customHeight="1" x14ac:dyDescent="0.25">
      <c r="A57" s="284"/>
      <c r="B57" s="425"/>
      <c r="C57" s="426"/>
      <c r="D57" s="440"/>
      <c r="E57" s="440"/>
      <c r="F57" s="427"/>
      <c r="G57" s="428"/>
      <c r="H57" s="429">
        <f>G57*BRISES!$F57</f>
        <v>0</v>
      </c>
      <c r="I57" s="289"/>
      <c r="J57" s="442"/>
      <c r="K57" s="429"/>
      <c r="L57" s="285"/>
    </row>
    <row r="58" spans="1:12" ht="14.25" customHeight="1" x14ac:dyDescent="0.25">
      <c r="A58" s="284"/>
      <c r="B58" s="425"/>
      <c r="C58" s="426"/>
      <c r="D58" s="440"/>
      <c r="E58" s="440"/>
      <c r="F58" s="427"/>
      <c r="G58" s="428"/>
      <c r="H58" s="429">
        <f>G58*BRISES!$F58</f>
        <v>0</v>
      </c>
      <c r="I58" s="289"/>
      <c r="J58" s="442"/>
      <c r="K58" s="429"/>
      <c r="L58" s="285"/>
    </row>
    <row r="59" spans="1:12" ht="14.25" customHeight="1" x14ac:dyDescent="0.25">
      <c r="A59" s="284"/>
      <c r="B59" s="425"/>
      <c r="C59" s="426"/>
      <c r="D59" s="440"/>
      <c r="E59" s="440"/>
      <c r="F59" s="427"/>
      <c r="G59" s="428"/>
      <c r="H59" s="429">
        <f>G59*BRISES!$F59</f>
        <v>0</v>
      </c>
      <c r="I59" s="289"/>
      <c r="J59" s="442"/>
      <c r="K59" s="429"/>
      <c r="L59" s="285"/>
    </row>
    <row r="60" spans="1:12" ht="14.25" customHeight="1" x14ac:dyDescent="0.25">
      <c r="A60" s="284"/>
      <c r="B60" s="425"/>
      <c r="C60" s="426"/>
      <c r="D60" s="440"/>
      <c r="E60" s="440"/>
      <c r="F60" s="427"/>
      <c r="G60" s="428"/>
      <c r="H60" s="429">
        <f>G60*BRISES!$F60</f>
        <v>0</v>
      </c>
      <c r="I60" s="289"/>
      <c r="J60" s="442"/>
      <c r="K60" s="429"/>
      <c r="L60" s="285"/>
    </row>
    <row r="61" spans="1:12" ht="14.25" customHeight="1" x14ac:dyDescent="0.25">
      <c r="A61" s="284"/>
      <c r="B61" s="425"/>
      <c r="C61" s="426"/>
      <c r="D61" s="440"/>
      <c r="E61" s="440"/>
      <c r="F61" s="427"/>
      <c r="G61" s="428"/>
      <c r="H61" s="429">
        <f>G61*BRISES!$F61</f>
        <v>0</v>
      </c>
      <c r="I61" s="289"/>
      <c r="J61" s="442"/>
      <c r="K61" s="429"/>
      <c r="L61" s="285"/>
    </row>
    <row r="62" spans="1:12" ht="14.25" customHeight="1" x14ac:dyDescent="0.25">
      <c r="A62" s="284"/>
      <c r="B62" s="425"/>
      <c r="C62" s="426"/>
      <c r="D62" s="440"/>
      <c r="E62" s="440"/>
      <c r="F62" s="427"/>
      <c r="G62" s="428"/>
      <c r="H62" s="429">
        <f>G62*BRISES!$F62</f>
        <v>0</v>
      </c>
      <c r="I62" s="289"/>
      <c r="J62" s="442"/>
      <c r="K62" s="429"/>
      <c r="L62" s="285"/>
    </row>
    <row r="63" spans="1:12" ht="14.25" customHeight="1" x14ac:dyDescent="0.25">
      <c r="A63" s="284"/>
      <c r="B63" s="425"/>
      <c r="C63" s="426"/>
      <c r="D63" s="440"/>
      <c r="E63" s="440"/>
      <c r="F63" s="427"/>
      <c r="G63" s="428"/>
      <c r="H63" s="429">
        <f>G63*BRISES!$F63</f>
        <v>0</v>
      </c>
      <c r="I63" s="289"/>
      <c r="J63" s="442"/>
      <c r="K63" s="429"/>
      <c r="L63" s="285"/>
    </row>
    <row r="64" spans="1:12" ht="14.25" customHeight="1" x14ac:dyDescent="0.25">
      <c r="A64" s="284"/>
      <c r="B64" s="425"/>
      <c r="C64" s="426"/>
      <c r="D64" s="440"/>
      <c r="E64" s="440"/>
      <c r="F64" s="427"/>
      <c r="G64" s="428"/>
      <c r="H64" s="429">
        <f>G64*BRISES!$F64</f>
        <v>0</v>
      </c>
      <c r="I64" s="289"/>
      <c r="J64" s="442"/>
      <c r="K64" s="429"/>
      <c r="L64" s="285"/>
    </row>
    <row r="65" spans="1:12" ht="14.25" customHeight="1" x14ac:dyDescent="0.25">
      <c r="A65" s="284"/>
      <c r="B65" s="425"/>
      <c r="C65" s="426"/>
      <c r="D65" s="440"/>
      <c r="E65" s="440"/>
      <c r="F65" s="427"/>
      <c r="G65" s="428"/>
      <c r="H65" s="429">
        <f>G65*BRISES!$F65</f>
        <v>0</v>
      </c>
      <c r="I65" s="289"/>
      <c r="J65" s="442"/>
      <c r="K65" s="429"/>
      <c r="L65" s="285"/>
    </row>
    <row r="66" spans="1:12" ht="14.25" customHeight="1" x14ac:dyDescent="0.25">
      <c r="A66" s="284"/>
      <c r="B66" s="425"/>
      <c r="C66" s="426"/>
      <c r="D66" s="440"/>
      <c r="E66" s="440"/>
      <c r="F66" s="427"/>
      <c r="G66" s="428"/>
      <c r="H66" s="429">
        <f>G66*BRISES!$F66</f>
        <v>0</v>
      </c>
      <c r="I66" s="289"/>
      <c r="J66" s="442"/>
      <c r="K66" s="429"/>
      <c r="L66" s="285"/>
    </row>
    <row r="67" spans="1:12" ht="14.25" customHeight="1" x14ac:dyDescent="0.25">
      <c r="A67" s="284"/>
      <c r="B67" s="425"/>
      <c r="C67" s="426"/>
      <c r="D67" s="440"/>
      <c r="E67" s="440"/>
      <c r="F67" s="427"/>
      <c r="G67" s="428"/>
      <c r="H67" s="429">
        <f>G67*BRISES!$F67</f>
        <v>0</v>
      </c>
      <c r="I67" s="289"/>
      <c r="J67" s="442"/>
      <c r="K67" s="429"/>
      <c r="L67" s="285"/>
    </row>
    <row r="68" spans="1:12" ht="14.25" customHeight="1" x14ac:dyDescent="0.25">
      <c r="A68" s="284"/>
      <c r="B68" s="425"/>
      <c r="C68" s="426"/>
      <c r="D68" s="440"/>
      <c r="E68" s="440"/>
      <c r="F68" s="427"/>
      <c r="G68" s="428"/>
      <c r="H68" s="429">
        <f>G68*BRISES!$F68</f>
        <v>0</v>
      </c>
      <c r="I68" s="289"/>
      <c r="J68" s="442"/>
      <c r="K68" s="429"/>
      <c r="L68" s="285"/>
    </row>
    <row r="69" spans="1:12" ht="14.25" customHeight="1" x14ac:dyDescent="0.25">
      <c r="A69" s="284"/>
      <c r="B69" s="425"/>
      <c r="C69" s="426"/>
      <c r="D69" s="440"/>
      <c r="E69" s="440"/>
      <c r="F69" s="427"/>
      <c r="G69" s="428"/>
      <c r="H69" s="429">
        <f>G69*BRISES!$F69</f>
        <v>0</v>
      </c>
      <c r="I69" s="289"/>
      <c r="J69" s="442"/>
      <c r="K69" s="429"/>
      <c r="L69" s="285"/>
    </row>
    <row r="70" spans="1:12" ht="14.25" customHeight="1" x14ac:dyDescent="0.25">
      <c r="A70" s="284"/>
      <c r="B70" s="425"/>
      <c r="C70" s="426"/>
      <c r="D70" s="440"/>
      <c r="E70" s="440"/>
      <c r="F70" s="427"/>
      <c r="G70" s="428"/>
      <c r="H70" s="429">
        <f>G70*BRISES!$F70</f>
        <v>0</v>
      </c>
      <c r="I70" s="289"/>
      <c r="J70" s="442"/>
      <c r="K70" s="429"/>
      <c r="L70" s="285"/>
    </row>
    <row r="71" spans="1:12" ht="14.25" customHeight="1" x14ac:dyDescent="0.25">
      <c r="A71" s="284"/>
      <c r="B71" s="425"/>
      <c r="C71" s="426"/>
      <c r="D71" s="440"/>
      <c r="E71" s="440"/>
      <c r="F71" s="427"/>
      <c r="G71" s="428"/>
      <c r="H71" s="429">
        <f>G71*BRISES!$F71</f>
        <v>0</v>
      </c>
      <c r="I71" s="289"/>
      <c r="J71" s="442"/>
      <c r="K71" s="429"/>
      <c r="L71" s="285"/>
    </row>
    <row r="72" spans="1:12" ht="14.25" customHeight="1" x14ac:dyDescent="0.25">
      <c r="A72" s="284"/>
      <c r="B72" s="425"/>
      <c r="C72" s="426"/>
      <c r="D72" s="440"/>
      <c r="E72" s="440"/>
      <c r="F72" s="427"/>
      <c r="G72" s="428"/>
      <c r="H72" s="429">
        <f>G72*BRISES!$F72</f>
        <v>0</v>
      </c>
      <c r="I72" s="289"/>
      <c r="J72" s="442"/>
      <c r="K72" s="429"/>
      <c r="L72" s="285"/>
    </row>
    <row r="73" spans="1:12" ht="14.25" customHeight="1" x14ac:dyDescent="0.25">
      <c r="A73" s="284"/>
      <c r="B73" s="425"/>
      <c r="C73" s="426"/>
      <c r="D73" s="440"/>
      <c r="E73" s="440"/>
      <c r="F73" s="427"/>
      <c r="G73" s="428"/>
      <c r="H73" s="429">
        <f>G73*BRISES!$F73</f>
        <v>0</v>
      </c>
      <c r="I73" s="289"/>
      <c r="J73" s="442"/>
      <c r="K73" s="429"/>
      <c r="L73" s="285"/>
    </row>
    <row r="74" spans="1:12" ht="14.25" customHeight="1" x14ac:dyDescent="0.25">
      <c r="A74" s="284"/>
      <c r="B74" s="425"/>
      <c r="C74" s="426"/>
      <c r="D74" s="440"/>
      <c r="E74" s="440"/>
      <c r="F74" s="427"/>
      <c r="G74" s="428"/>
      <c r="H74" s="429">
        <f>G74*BRISES!$F74</f>
        <v>0</v>
      </c>
      <c r="I74" s="289"/>
      <c r="J74" s="442"/>
      <c r="K74" s="429"/>
      <c r="L74" s="285"/>
    </row>
    <row r="75" spans="1:12" ht="14.25" customHeight="1" x14ac:dyDescent="0.25">
      <c r="A75" s="284"/>
      <c r="B75" s="425"/>
      <c r="C75" s="426"/>
      <c r="D75" s="440"/>
      <c r="E75" s="440"/>
      <c r="F75" s="427"/>
      <c r="G75" s="428"/>
      <c r="H75" s="429">
        <f>G75*BRISES!$F75</f>
        <v>0</v>
      </c>
      <c r="I75" s="289"/>
      <c r="J75" s="442"/>
      <c r="K75" s="429"/>
      <c r="L75" s="285"/>
    </row>
    <row r="76" spans="1:12" ht="14.25" customHeight="1" x14ac:dyDescent="0.25">
      <c r="A76" s="284"/>
      <c r="B76" s="425"/>
      <c r="C76" s="426"/>
      <c r="D76" s="440"/>
      <c r="E76" s="440"/>
      <c r="F76" s="427"/>
      <c r="G76" s="428"/>
      <c r="H76" s="429">
        <f>G76*BRISES!$F76</f>
        <v>0</v>
      </c>
      <c r="I76" s="289"/>
      <c r="J76" s="442"/>
      <c r="K76" s="429"/>
      <c r="L76" s="285"/>
    </row>
    <row r="77" spans="1:12" ht="14.25" customHeight="1" x14ac:dyDescent="0.25">
      <c r="A77" s="284"/>
      <c r="B77" s="425"/>
      <c r="C77" s="426"/>
      <c r="D77" s="440"/>
      <c r="E77" s="440"/>
      <c r="F77" s="427"/>
      <c r="G77" s="428"/>
      <c r="H77" s="429">
        <f>G77*BRISES!$F77</f>
        <v>0</v>
      </c>
      <c r="I77" s="289"/>
      <c r="J77" s="442"/>
      <c r="K77" s="429"/>
      <c r="L77" s="285"/>
    </row>
    <row r="78" spans="1:12" ht="14.25" customHeight="1" x14ac:dyDescent="0.25">
      <c r="A78" s="284"/>
      <c r="B78" s="425"/>
      <c r="C78" s="426"/>
      <c r="D78" s="440"/>
      <c r="E78" s="440"/>
      <c r="F78" s="427"/>
      <c r="G78" s="428"/>
      <c r="H78" s="429">
        <f>G78*BRISES!$F78</f>
        <v>0</v>
      </c>
      <c r="I78" s="289"/>
      <c r="J78" s="442"/>
      <c r="K78" s="429"/>
      <c r="L78" s="285"/>
    </row>
    <row r="79" spans="1:12" ht="14.25" customHeight="1" x14ac:dyDescent="0.25">
      <c r="A79" s="284"/>
      <c r="B79" s="425"/>
      <c r="C79" s="426"/>
      <c r="D79" s="440"/>
      <c r="E79" s="440"/>
      <c r="F79" s="427"/>
      <c r="G79" s="428"/>
      <c r="H79" s="429">
        <f>G79*BRISES!$F79</f>
        <v>0</v>
      </c>
      <c r="I79" s="289"/>
      <c r="J79" s="442"/>
      <c r="K79" s="429"/>
      <c r="L79" s="285"/>
    </row>
    <row r="80" spans="1:12" ht="14.25" customHeight="1" x14ac:dyDescent="0.25">
      <c r="A80" s="284"/>
      <c r="B80" s="425"/>
      <c r="C80" s="426"/>
      <c r="D80" s="440"/>
      <c r="E80" s="440"/>
      <c r="F80" s="427"/>
      <c r="G80" s="428"/>
      <c r="H80" s="429">
        <f>G80*BRISES!$F80</f>
        <v>0</v>
      </c>
      <c r="I80" s="289"/>
      <c r="J80" s="442"/>
      <c r="K80" s="429"/>
      <c r="L80" s="285"/>
    </row>
    <row r="81" spans="1:12" ht="14.25" customHeight="1" x14ac:dyDescent="0.25">
      <c r="A81" s="284"/>
      <c r="B81" s="425"/>
      <c r="C81" s="426"/>
      <c r="D81" s="440"/>
      <c r="E81" s="440"/>
      <c r="F81" s="427"/>
      <c r="G81" s="428"/>
      <c r="H81" s="429">
        <f>G81*BRISES!$F81</f>
        <v>0</v>
      </c>
      <c r="I81" s="289"/>
      <c r="J81" s="442"/>
      <c r="K81" s="429"/>
      <c r="L81" s="285"/>
    </row>
    <row r="82" spans="1:12" ht="14.25" customHeight="1" x14ac:dyDescent="0.25">
      <c r="A82" s="284"/>
      <c r="B82" s="425"/>
      <c r="C82" s="426"/>
      <c r="D82" s="440"/>
      <c r="E82" s="440"/>
      <c r="F82" s="427"/>
      <c r="G82" s="428"/>
      <c r="H82" s="429">
        <f>G82*BRISES!$F82</f>
        <v>0</v>
      </c>
      <c r="I82" s="289"/>
      <c r="J82" s="442"/>
      <c r="K82" s="429"/>
      <c r="L82" s="285"/>
    </row>
    <row r="83" spans="1:12" ht="14.25" customHeight="1" x14ac:dyDescent="0.25">
      <c r="A83" s="284"/>
      <c r="B83" s="425"/>
      <c r="C83" s="426"/>
      <c r="D83" s="440"/>
      <c r="E83" s="440"/>
      <c r="F83" s="427"/>
      <c r="G83" s="428"/>
      <c r="H83" s="429">
        <f>G83*BRISES!$F83</f>
        <v>0</v>
      </c>
      <c r="I83" s="289"/>
      <c r="J83" s="442"/>
      <c r="K83" s="429"/>
      <c r="L83" s="285"/>
    </row>
    <row r="84" spans="1:12" ht="14.25" customHeight="1" x14ac:dyDescent="0.25">
      <c r="A84" s="284"/>
      <c r="B84" s="425"/>
      <c r="C84" s="426"/>
      <c r="D84" s="440"/>
      <c r="E84" s="440"/>
      <c r="F84" s="427"/>
      <c r="G84" s="428"/>
      <c r="H84" s="429">
        <f>G84*BRISES!$F84</f>
        <v>0</v>
      </c>
      <c r="I84" s="289"/>
      <c r="J84" s="442"/>
      <c r="K84" s="429"/>
      <c r="L84" s="285"/>
    </row>
    <row r="85" spans="1:12" ht="14.25" customHeight="1" x14ac:dyDescent="0.25">
      <c r="A85" s="284"/>
      <c r="B85" s="425"/>
      <c r="C85" s="426"/>
      <c r="D85" s="440"/>
      <c r="E85" s="440"/>
      <c r="F85" s="427"/>
      <c r="G85" s="428"/>
      <c r="H85" s="429">
        <f>G85*BRISES!$F85</f>
        <v>0</v>
      </c>
      <c r="I85" s="289"/>
      <c r="J85" s="442"/>
      <c r="K85" s="429"/>
      <c r="L85" s="285"/>
    </row>
    <row r="86" spans="1:12" ht="14.25" customHeight="1" x14ac:dyDescent="0.25">
      <c r="A86" s="284"/>
      <c r="B86" s="425"/>
      <c r="C86" s="426"/>
      <c r="D86" s="440"/>
      <c r="E86" s="440"/>
      <c r="F86" s="427"/>
      <c r="G86" s="428"/>
      <c r="H86" s="429">
        <f>G86*BRISES!$F86</f>
        <v>0</v>
      </c>
      <c r="I86" s="289"/>
      <c r="J86" s="442"/>
      <c r="K86" s="429"/>
      <c r="L86" s="285"/>
    </row>
    <row r="87" spans="1:12" ht="14.25" customHeight="1" x14ac:dyDescent="0.25">
      <c r="A87" s="284"/>
      <c r="B87" s="425"/>
      <c r="C87" s="426"/>
      <c r="D87" s="440"/>
      <c r="E87" s="440"/>
      <c r="F87" s="427"/>
      <c r="G87" s="428"/>
      <c r="H87" s="429">
        <f>G87*BRISES!$F87</f>
        <v>0</v>
      </c>
      <c r="I87" s="289"/>
      <c r="J87" s="442"/>
      <c r="K87" s="429"/>
      <c r="L87" s="285"/>
    </row>
    <row r="88" spans="1:12" ht="14.25" customHeight="1" x14ac:dyDescent="0.25">
      <c r="A88" s="284"/>
      <c r="B88" s="425"/>
      <c r="C88" s="426"/>
      <c r="D88" s="440"/>
      <c r="E88" s="440"/>
      <c r="F88" s="427"/>
      <c r="G88" s="428"/>
      <c r="H88" s="429">
        <f>G88*BRISES!$F88</f>
        <v>0</v>
      </c>
      <c r="I88" s="289"/>
      <c r="J88" s="442"/>
      <c r="K88" s="429"/>
      <c r="L88" s="285"/>
    </row>
    <row r="89" spans="1:12" ht="14.25" customHeight="1" x14ac:dyDescent="0.25">
      <c r="A89" s="284"/>
      <c r="B89" s="425"/>
      <c r="C89" s="426"/>
      <c r="D89" s="440"/>
      <c r="E89" s="440"/>
      <c r="F89" s="427"/>
      <c r="G89" s="428"/>
      <c r="H89" s="429">
        <f>G89*BRISES!$F89</f>
        <v>0</v>
      </c>
      <c r="I89" s="289"/>
      <c r="J89" s="442"/>
      <c r="K89" s="429"/>
      <c r="L89" s="285"/>
    </row>
    <row r="90" spans="1:12" ht="14.25" customHeight="1" x14ac:dyDescent="0.25">
      <c r="A90" s="284"/>
      <c r="B90" s="425"/>
      <c r="C90" s="426"/>
      <c r="D90" s="440"/>
      <c r="E90" s="440"/>
      <c r="F90" s="427"/>
      <c r="G90" s="428"/>
      <c r="H90" s="429">
        <f>G90*BRISES!$F90</f>
        <v>0</v>
      </c>
      <c r="I90" s="289"/>
      <c r="J90" s="442"/>
      <c r="K90" s="429"/>
      <c r="L90" s="285"/>
    </row>
    <row r="91" spans="1:12" ht="14.25" customHeight="1" x14ac:dyDescent="0.25">
      <c r="A91" s="284"/>
      <c r="B91" s="425"/>
      <c r="C91" s="426"/>
      <c r="D91" s="440"/>
      <c r="E91" s="440"/>
      <c r="F91" s="427"/>
      <c r="G91" s="428"/>
      <c r="H91" s="429">
        <f>G91*BRISES!$F91</f>
        <v>0</v>
      </c>
      <c r="I91" s="289"/>
      <c r="J91" s="442"/>
      <c r="K91" s="429"/>
      <c r="L91" s="285"/>
    </row>
    <row r="92" spans="1:12" ht="14.25" customHeight="1" x14ac:dyDescent="0.25">
      <c r="A92" s="284"/>
      <c r="B92" s="425"/>
      <c r="C92" s="426"/>
      <c r="D92" s="440"/>
      <c r="E92" s="440"/>
      <c r="F92" s="427"/>
      <c r="G92" s="428"/>
      <c r="H92" s="429">
        <f>G92*BRISES!$F92</f>
        <v>0</v>
      </c>
      <c r="I92" s="289"/>
      <c r="J92" s="442"/>
      <c r="K92" s="429"/>
      <c r="L92" s="285"/>
    </row>
    <row r="93" spans="1:12" ht="14.25" customHeight="1" x14ac:dyDescent="0.25">
      <c r="A93" s="284"/>
      <c r="B93" s="425"/>
      <c r="C93" s="426"/>
      <c r="D93" s="440"/>
      <c r="E93" s="440"/>
      <c r="F93" s="427"/>
      <c r="G93" s="428"/>
      <c r="H93" s="429">
        <f>G93*BRISES!$F93</f>
        <v>0</v>
      </c>
      <c r="I93" s="289"/>
      <c r="J93" s="442"/>
      <c r="K93" s="429"/>
      <c r="L93" s="285"/>
    </row>
    <row r="94" spans="1:12" ht="14.25" customHeight="1" x14ac:dyDescent="0.25">
      <c r="A94" s="284"/>
      <c r="B94" s="425"/>
      <c r="C94" s="426"/>
      <c r="D94" s="440"/>
      <c r="E94" s="440"/>
      <c r="F94" s="427"/>
      <c r="G94" s="428"/>
      <c r="H94" s="429">
        <f>G94*BRISES!$F94</f>
        <v>0</v>
      </c>
      <c r="I94" s="289"/>
      <c r="J94" s="442"/>
      <c r="K94" s="429"/>
      <c r="L94" s="285"/>
    </row>
    <row r="95" spans="1:12" ht="14.25" customHeight="1" x14ac:dyDescent="0.25">
      <c r="A95" s="284"/>
      <c r="B95" s="425"/>
      <c r="C95" s="426"/>
      <c r="D95" s="440"/>
      <c r="E95" s="440"/>
      <c r="F95" s="427"/>
      <c r="G95" s="428"/>
      <c r="H95" s="429">
        <f>G95*BRISES!$F95</f>
        <v>0</v>
      </c>
      <c r="I95" s="289"/>
      <c r="J95" s="442"/>
      <c r="K95" s="429"/>
      <c r="L95" s="285"/>
    </row>
    <row r="96" spans="1:12" ht="14.25" customHeight="1" x14ac:dyDescent="0.25">
      <c r="A96" s="284"/>
      <c r="B96" s="425"/>
      <c r="C96" s="426"/>
      <c r="D96" s="440"/>
      <c r="E96" s="440"/>
      <c r="F96" s="427"/>
      <c r="G96" s="428"/>
      <c r="H96" s="429">
        <f>G96*BRISES!$F96</f>
        <v>0</v>
      </c>
      <c r="I96" s="289"/>
      <c r="J96" s="442"/>
      <c r="K96" s="429"/>
      <c r="L96" s="285"/>
    </row>
    <row r="97" spans="1:12" ht="14.25" customHeight="1" x14ac:dyDescent="0.25">
      <c r="A97" s="284"/>
      <c r="B97" s="425"/>
      <c r="C97" s="426"/>
      <c r="D97" s="440"/>
      <c r="E97" s="440"/>
      <c r="F97" s="427"/>
      <c r="G97" s="428"/>
      <c r="H97" s="429">
        <f>G97*BRISES!$F97</f>
        <v>0</v>
      </c>
      <c r="I97" s="289"/>
      <c r="J97" s="442"/>
      <c r="K97" s="429"/>
      <c r="L97" s="285"/>
    </row>
    <row r="98" spans="1:12" ht="14.25" customHeight="1" x14ac:dyDescent="0.25">
      <c r="A98" s="284"/>
      <c r="B98" s="425"/>
      <c r="C98" s="426"/>
      <c r="D98" s="440"/>
      <c r="E98" s="440"/>
      <c r="F98" s="427"/>
      <c r="G98" s="428"/>
      <c r="H98" s="429">
        <f>G98*BRISES!$F98</f>
        <v>0</v>
      </c>
      <c r="I98" s="289"/>
      <c r="J98" s="442"/>
      <c r="K98" s="429"/>
      <c r="L98" s="285"/>
    </row>
    <row r="99" spans="1:12" ht="14.25" customHeight="1" x14ac:dyDescent="0.25">
      <c r="A99" s="284"/>
      <c r="B99" s="425"/>
      <c r="C99" s="426"/>
      <c r="D99" s="440"/>
      <c r="E99" s="440"/>
      <c r="F99" s="427"/>
      <c r="G99" s="428"/>
      <c r="H99" s="429">
        <f>G99*BRISES!$F99</f>
        <v>0</v>
      </c>
      <c r="I99" s="289"/>
      <c r="J99" s="442"/>
      <c r="K99" s="429"/>
      <c r="L99" s="285"/>
    </row>
    <row r="100" spans="1:12" ht="14.25" customHeight="1" x14ac:dyDescent="0.25">
      <c r="A100" s="284"/>
      <c r="B100" s="425"/>
      <c r="C100" s="426"/>
      <c r="D100" s="440"/>
      <c r="E100" s="440"/>
      <c r="F100" s="427"/>
      <c r="G100" s="428"/>
      <c r="H100" s="429">
        <f>G100*BRISES!$F100</f>
        <v>0</v>
      </c>
      <c r="I100" s="289"/>
      <c r="J100" s="442"/>
      <c r="K100" s="429"/>
      <c r="L100" s="285"/>
    </row>
    <row r="101" spans="1:12" ht="14.25" customHeight="1" x14ac:dyDescent="0.25">
      <c r="A101" s="284"/>
      <c r="B101" s="425"/>
      <c r="C101" s="426"/>
      <c r="D101" s="440"/>
      <c r="E101" s="440"/>
      <c r="F101" s="427"/>
      <c r="G101" s="428"/>
      <c r="H101" s="429">
        <f>G101*BRISES!$F101</f>
        <v>0</v>
      </c>
      <c r="I101" s="289"/>
      <c r="J101" s="442"/>
      <c r="K101" s="429"/>
      <c r="L101" s="285"/>
    </row>
    <row r="102" spans="1:12" ht="14.25" customHeight="1" x14ac:dyDescent="0.25">
      <c r="A102" s="284"/>
      <c r="B102" s="425"/>
      <c r="C102" s="426"/>
      <c r="D102" s="440"/>
      <c r="E102" s="440"/>
      <c r="F102" s="427"/>
      <c r="G102" s="428"/>
      <c r="H102" s="429">
        <f>G102*BRISES!$F102</f>
        <v>0</v>
      </c>
      <c r="I102" s="289"/>
      <c r="J102" s="442"/>
      <c r="K102" s="429"/>
      <c r="L102" s="285"/>
    </row>
    <row r="103" spans="1:12" ht="14.25" customHeight="1" x14ac:dyDescent="0.25">
      <c r="A103" s="284"/>
      <c r="B103" s="425"/>
      <c r="C103" s="426"/>
      <c r="D103" s="440"/>
      <c r="E103" s="440"/>
      <c r="F103" s="427"/>
      <c r="G103" s="428"/>
      <c r="H103" s="429">
        <f>G103*BRISES!$F103</f>
        <v>0</v>
      </c>
      <c r="I103" s="289"/>
      <c r="J103" s="442"/>
      <c r="K103" s="429"/>
      <c r="L103" s="285"/>
    </row>
    <row r="104" spans="1:12" ht="14.25" customHeight="1" x14ac:dyDescent="0.25">
      <c r="A104" s="284"/>
      <c r="B104" s="425"/>
      <c r="C104" s="426"/>
      <c r="D104" s="440"/>
      <c r="E104" s="440"/>
      <c r="F104" s="427"/>
      <c r="G104" s="428"/>
      <c r="H104" s="429">
        <f>G104*BRISES!$F104</f>
        <v>0</v>
      </c>
      <c r="I104" s="289"/>
      <c r="J104" s="442"/>
      <c r="K104" s="429"/>
      <c r="L104" s="285"/>
    </row>
    <row r="105" spans="1:12" ht="14.25" customHeight="1" x14ac:dyDescent="0.25">
      <c r="A105" s="284"/>
      <c r="B105" s="425"/>
      <c r="C105" s="426"/>
      <c r="D105" s="440"/>
      <c r="E105" s="440"/>
      <c r="F105" s="427"/>
      <c r="G105" s="428"/>
      <c r="H105" s="429">
        <f>G105*BRISES!$F105</f>
        <v>0</v>
      </c>
      <c r="I105" s="289"/>
      <c r="J105" s="442"/>
      <c r="K105" s="429"/>
      <c r="L105" s="285"/>
    </row>
    <row r="106" spans="1:12" ht="14.25" customHeight="1" x14ac:dyDescent="0.25">
      <c r="A106" s="284"/>
      <c r="B106" s="425"/>
      <c r="C106" s="426"/>
      <c r="D106" s="440"/>
      <c r="E106" s="440"/>
      <c r="F106" s="427"/>
      <c r="G106" s="428"/>
      <c r="H106" s="429">
        <f>G106*BRISES!$F106</f>
        <v>0</v>
      </c>
      <c r="I106" s="289"/>
      <c r="J106" s="442"/>
      <c r="K106" s="429"/>
      <c r="L106" s="285"/>
    </row>
    <row r="107" spans="1:12" ht="14.25" customHeight="1" x14ac:dyDescent="0.25">
      <c r="A107" s="284"/>
      <c r="B107" s="425"/>
      <c r="C107" s="426"/>
      <c r="D107" s="440"/>
      <c r="E107" s="440"/>
      <c r="F107" s="427"/>
      <c r="G107" s="428"/>
      <c r="H107" s="429">
        <f>G107*BRISES!$F107</f>
        <v>0</v>
      </c>
      <c r="I107" s="289"/>
      <c r="J107" s="442"/>
      <c r="K107" s="429"/>
      <c r="L107" s="285"/>
    </row>
    <row r="108" spans="1:12" ht="14.25" customHeight="1" x14ac:dyDescent="0.25">
      <c r="A108" s="284"/>
      <c r="B108" s="425"/>
      <c r="C108" s="426"/>
      <c r="D108" s="440"/>
      <c r="E108" s="440"/>
      <c r="F108" s="427"/>
      <c r="G108" s="428"/>
      <c r="H108" s="429">
        <f>G108*BRISES!$F108</f>
        <v>0</v>
      </c>
      <c r="I108" s="289"/>
      <c r="J108" s="442"/>
      <c r="K108" s="429"/>
      <c r="L108" s="285"/>
    </row>
    <row r="109" spans="1:12" ht="14.25" customHeight="1" x14ac:dyDescent="0.25">
      <c r="A109" s="284"/>
      <c r="B109" s="425"/>
      <c r="C109" s="426"/>
      <c r="D109" s="440"/>
      <c r="E109" s="440"/>
      <c r="F109" s="427"/>
      <c r="G109" s="428"/>
      <c r="H109" s="429">
        <f>G109*BRISES!$F109</f>
        <v>0</v>
      </c>
      <c r="I109" s="289"/>
      <c r="J109" s="442"/>
      <c r="K109" s="429"/>
      <c r="L109" s="285"/>
    </row>
    <row r="110" spans="1:12" ht="14.25" customHeight="1" x14ac:dyDescent="0.25">
      <c r="A110" s="284"/>
      <c r="B110" s="425"/>
      <c r="C110" s="426"/>
      <c r="D110" s="440"/>
      <c r="E110" s="440"/>
      <c r="F110" s="427"/>
      <c r="G110" s="428"/>
      <c r="H110" s="429">
        <f>G110*BRISES!$F110</f>
        <v>0</v>
      </c>
      <c r="I110" s="289"/>
      <c r="J110" s="442"/>
      <c r="K110" s="429"/>
      <c r="L110" s="285"/>
    </row>
    <row r="111" spans="1:12" ht="14.25" customHeight="1" x14ac:dyDescent="0.25">
      <c r="A111" s="284"/>
      <c r="B111" s="425"/>
      <c r="C111" s="426"/>
      <c r="D111" s="440"/>
      <c r="E111" s="440"/>
      <c r="F111" s="427"/>
      <c r="G111" s="428"/>
      <c r="H111" s="429">
        <f>G111*BRISES!$F111</f>
        <v>0</v>
      </c>
      <c r="I111" s="289"/>
      <c r="J111" s="442"/>
      <c r="K111" s="429"/>
      <c r="L111" s="285"/>
    </row>
    <row r="112" spans="1:12" ht="14.25" customHeight="1" x14ac:dyDescent="0.25">
      <c r="A112" s="284"/>
      <c r="B112" s="425"/>
      <c r="C112" s="426"/>
      <c r="D112" s="440"/>
      <c r="E112" s="440"/>
      <c r="F112" s="427"/>
      <c r="G112" s="428"/>
      <c r="H112" s="429">
        <f>G112*BRISES!$F112</f>
        <v>0</v>
      </c>
      <c r="I112" s="289"/>
      <c r="J112" s="442"/>
      <c r="K112" s="429"/>
      <c r="L112" s="285"/>
    </row>
    <row r="113" spans="1:12" ht="14.25" customHeight="1" x14ac:dyDescent="0.25">
      <c r="A113" s="284"/>
      <c r="B113" s="425"/>
      <c r="C113" s="426"/>
      <c r="D113" s="440"/>
      <c r="E113" s="440"/>
      <c r="F113" s="427"/>
      <c r="G113" s="428"/>
      <c r="H113" s="429">
        <f>G113*BRISES!$F113</f>
        <v>0</v>
      </c>
      <c r="I113" s="289"/>
      <c r="J113" s="442"/>
      <c r="K113" s="429"/>
      <c r="L113" s="285"/>
    </row>
    <row r="114" spans="1:12" ht="14.25" customHeight="1" x14ac:dyDescent="0.25">
      <c r="A114" s="284"/>
      <c r="B114" s="425"/>
      <c r="C114" s="426"/>
      <c r="D114" s="440"/>
      <c r="E114" s="440"/>
      <c r="F114" s="427"/>
      <c r="G114" s="428"/>
      <c r="H114" s="429">
        <f>G114*BRISES!$F114</f>
        <v>0</v>
      </c>
      <c r="I114" s="289"/>
      <c r="J114" s="442"/>
      <c r="K114" s="429"/>
      <c r="L114" s="285"/>
    </row>
    <row r="115" spans="1:12" ht="14.25" customHeight="1" x14ac:dyDescent="0.25">
      <c r="A115" s="284"/>
      <c r="B115" s="425"/>
      <c r="C115" s="426"/>
      <c r="D115" s="440"/>
      <c r="E115" s="440"/>
      <c r="F115" s="427"/>
      <c r="G115" s="428"/>
      <c r="H115" s="429">
        <f>G115*BRISES!$F115</f>
        <v>0</v>
      </c>
      <c r="I115" s="289"/>
      <c r="J115" s="442"/>
      <c r="K115" s="429"/>
      <c r="L115" s="285"/>
    </row>
    <row r="116" spans="1:12" ht="14.25" customHeight="1" x14ac:dyDescent="0.25">
      <c r="A116" s="284"/>
      <c r="B116" s="425"/>
      <c r="C116" s="426"/>
      <c r="D116" s="440"/>
      <c r="E116" s="440"/>
      <c r="F116" s="427"/>
      <c r="G116" s="428"/>
      <c r="H116" s="429">
        <f>G116*BRISES!$F116</f>
        <v>0</v>
      </c>
      <c r="I116" s="289"/>
      <c r="J116" s="442"/>
      <c r="K116" s="429"/>
      <c r="L116" s="285"/>
    </row>
    <row r="117" spans="1:12" ht="14.25" customHeight="1" x14ac:dyDescent="0.25">
      <c r="A117" s="284"/>
      <c r="B117" s="425"/>
      <c r="C117" s="426"/>
      <c r="D117" s="440"/>
      <c r="E117" s="440"/>
      <c r="F117" s="427"/>
      <c r="G117" s="428"/>
      <c r="H117" s="429">
        <f>G117*BRISES!$F117</f>
        <v>0</v>
      </c>
      <c r="I117" s="289"/>
      <c r="J117" s="442"/>
      <c r="K117" s="429"/>
      <c r="L117" s="285"/>
    </row>
    <row r="118" spans="1:12" ht="14.25" customHeight="1" x14ac:dyDescent="0.25">
      <c r="A118" s="284"/>
      <c r="B118" s="425"/>
      <c r="C118" s="426"/>
      <c r="D118" s="440"/>
      <c r="E118" s="440"/>
      <c r="F118" s="427"/>
      <c r="G118" s="428"/>
      <c r="H118" s="429">
        <f>G118*BRISES!$F118</f>
        <v>0</v>
      </c>
      <c r="I118" s="289"/>
      <c r="J118" s="442"/>
      <c r="K118" s="429"/>
      <c r="L118" s="285"/>
    </row>
    <row r="119" spans="1:12" ht="14.25" customHeight="1" x14ac:dyDescent="0.25">
      <c r="A119" s="284"/>
      <c r="B119" s="425"/>
      <c r="C119" s="426"/>
      <c r="D119" s="440"/>
      <c r="E119" s="440"/>
      <c r="F119" s="427"/>
      <c r="G119" s="428"/>
      <c r="H119" s="429">
        <f>G119*BRISES!$F119</f>
        <v>0</v>
      </c>
      <c r="I119" s="289"/>
      <c r="J119" s="442"/>
      <c r="K119" s="429"/>
      <c r="L119" s="285"/>
    </row>
    <row r="120" spans="1:12" ht="14.25" customHeight="1" x14ac:dyDescent="0.25">
      <c r="A120" s="284"/>
      <c r="B120" s="425"/>
      <c r="C120" s="426"/>
      <c r="D120" s="440"/>
      <c r="E120" s="440"/>
      <c r="F120" s="427"/>
      <c r="G120" s="428"/>
      <c r="H120" s="429">
        <f>G120*BRISES!$F120</f>
        <v>0</v>
      </c>
      <c r="I120" s="289"/>
      <c r="J120" s="442"/>
      <c r="K120" s="429"/>
      <c r="L120" s="285"/>
    </row>
    <row r="121" spans="1:12" ht="14.25" customHeight="1" x14ac:dyDescent="0.25">
      <c r="A121" s="284"/>
      <c r="B121" s="425"/>
      <c r="C121" s="426"/>
      <c r="D121" s="440"/>
      <c r="E121" s="440"/>
      <c r="F121" s="427"/>
      <c r="G121" s="428"/>
      <c r="H121" s="429">
        <f>G121*BRISES!$F121</f>
        <v>0</v>
      </c>
      <c r="I121" s="289"/>
      <c r="J121" s="442"/>
      <c r="K121" s="429"/>
      <c r="L121" s="285"/>
    </row>
    <row r="122" spans="1:12" ht="14.25" customHeight="1" x14ac:dyDescent="0.25">
      <c r="A122" s="284"/>
      <c r="B122" s="425"/>
      <c r="C122" s="426"/>
      <c r="D122" s="440"/>
      <c r="E122" s="440"/>
      <c r="F122" s="427"/>
      <c r="G122" s="428"/>
      <c r="H122" s="429">
        <f>G122*BRISES!$F122</f>
        <v>0</v>
      </c>
      <c r="I122" s="289"/>
      <c r="J122" s="442"/>
      <c r="K122" s="429"/>
      <c r="L122" s="285"/>
    </row>
    <row r="123" spans="1:12" ht="14.25" customHeight="1" x14ac:dyDescent="0.25">
      <c r="A123" s="284"/>
      <c r="B123" s="425"/>
      <c r="C123" s="426"/>
      <c r="D123" s="440"/>
      <c r="E123" s="440"/>
      <c r="F123" s="427"/>
      <c r="G123" s="428"/>
      <c r="H123" s="429">
        <f>G123*BRISES!$F123</f>
        <v>0</v>
      </c>
      <c r="I123" s="289"/>
      <c r="J123" s="442"/>
      <c r="K123" s="429"/>
      <c r="L123" s="285"/>
    </row>
    <row r="124" spans="1:12" ht="14.25" customHeight="1" x14ac:dyDescent="0.25">
      <c r="A124" s="284"/>
      <c r="B124" s="425"/>
      <c r="C124" s="426"/>
      <c r="D124" s="440"/>
      <c r="E124" s="440"/>
      <c r="F124" s="427"/>
      <c r="G124" s="428"/>
      <c r="H124" s="429">
        <f>G124*BRISES!$F124</f>
        <v>0</v>
      </c>
      <c r="I124" s="289"/>
      <c r="J124" s="442"/>
      <c r="K124" s="429"/>
      <c r="L124" s="285"/>
    </row>
    <row r="125" spans="1:12" ht="14.25" customHeight="1" x14ac:dyDescent="0.25">
      <c r="A125" s="284"/>
      <c r="B125" s="425"/>
      <c r="C125" s="426"/>
      <c r="D125" s="440"/>
      <c r="E125" s="440"/>
      <c r="F125" s="427"/>
      <c r="G125" s="428"/>
      <c r="H125" s="429">
        <f>G125*BRISES!$F125</f>
        <v>0</v>
      </c>
      <c r="I125" s="289"/>
      <c r="J125" s="442"/>
      <c r="K125" s="429"/>
      <c r="L125" s="285"/>
    </row>
    <row r="126" spans="1:12" ht="14.25" customHeight="1" x14ac:dyDescent="0.25">
      <c r="A126" s="284"/>
      <c r="B126" s="425"/>
      <c r="C126" s="426"/>
      <c r="D126" s="440"/>
      <c r="E126" s="440"/>
      <c r="F126" s="427"/>
      <c r="G126" s="428"/>
      <c r="H126" s="429">
        <f>G126*BRISES!$F126</f>
        <v>0</v>
      </c>
      <c r="I126" s="289"/>
      <c r="J126" s="442"/>
      <c r="K126" s="429"/>
      <c r="L126" s="285"/>
    </row>
    <row r="127" spans="1:12" ht="14.25" customHeight="1" x14ac:dyDescent="0.25">
      <c r="A127" s="284"/>
      <c r="B127" s="425"/>
      <c r="C127" s="426"/>
      <c r="D127" s="440"/>
      <c r="E127" s="440"/>
      <c r="F127" s="427"/>
      <c r="G127" s="428"/>
      <c r="H127" s="429">
        <f>G127*BRISES!$F127</f>
        <v>0</v>
      </c>
      <c r="I127" s="289"/>
      <c r="J127" s="442"/>
      <c r="K127" s="429"/>
      <c r="L127" s="285"/>
    </row>
    <row r="128" spans="1:12" ht="14.25" customHeight="1" x14ac:dyDescent="0.25">
      <c r="A128" s="284"/>
      <c r="B128" s="425"/>
      <c r="C128" s="426"/>
      <c r="D128" s="440"/>
      <c r="E128" s="440"/>
      <c r="F128" s="427"/>
      <c r="G128" s="428"/>
      <c r="H128" s="429">
        <f>G128*BRISES!$F128</f>
        <v>0</v>
      </c>
      <c r="I128" s="289"/>
      <c r="J128" s="442"/>
      <c r="K128" s="429"/>
      <c r="L128" s="285"/>
    </row>
    <row r="129" spans="1:12" ht="14.25" customHeight="1" x14ac:dyDescent="0.25">
      <c r="A129" s="284"/>
      <c r="B129" s="425"/>
      <c r="C129" s="426"/>
      <c r="D129" s="440"/>
      <c r="E129" s="440"/>
      <c r="F129" s="427"/>
      <c r="G129" s="428"/>
      <c r="H129" s="429">
        <f>G129*BRISES!$F129</f>
        <v>0</v>
      </c>
      <c r="I129" s="289"/>
      <c r="J129" s="442"/>
      <c r="K129" s="429"/>
      <c r="L129" s="285"/>
    </row>
    <row r="130" spans="1:12" ht="14.25" customHeight="1" x14ac:dyDescent="0.25">
      <c r="A130" s="284"/>
      <c r="B130" s="425"/>
      <c r="C130" s="426"/>
      <c r="D130" s="440"/>
      <c r="E130" s="440"/>
      <c r="F130" s="427"/>
      <c r="G130" s="428"/>
      <c r="H130" s="429">
        <f>G130*BRISES!$F130</f>
        <v>0</v>
      </c>
      <c r="I130" s="289"/>
      <c r="J130" s="442"/>
      <c r="K130" s="429"/>
      <c r="L130" s="285"/>
    </row>
    <row r="131" spans="1:12" ht="14.25" customHeight="1" x14ac:dyDescent="0.25">
      <c r="A131" s="284"/>
      <c r="B131" s="425"/>
      <c r="C131" s="426"/>
      <c r="D131" s="440"/>
      <c r="E131" s="440"/>
      <c r="F131" s="427"/>
      <c r="G131" s="428"/>
      <c r="H131" s="429">
        <f>G131*BRISES!$F131</f>
        <v>0</v>
      </c>
      <c r="I131" s="289"/>
      <c r="J131" s="442"/>
      <c r="K131" s="429"/>
      <c r="L131" s="285"/>
    </row>
    <row r="132" spans="1:12" ht="14.25" customHeight="1" x14ac:dyDescent="0.25">
      <c r="A132" s="284"/>
      <c r="B132" s="425"/>
      <c r="C132" s="426"/>
      <c r="D132" s="440"/>
      <c r="E132" s="440"/>
      <c r="F132" s="427"/>
      <c r="G132" s="428"/>
      <c r="H132" s="429">
        <f>G132*BRISES!$F132</f>
        <v>0</v>
      </c>
      <c r="I132" s="289"/>
      <c r="J132" s="442"/>
      <c r="K132" s="429"/>
      <c r="L132" s="285"/>
    </row>
    <row r="133" spans="1:12" ht="14.25" customHeight="1" x14ac:dyDescent="0.25">
      <c r="A133" s="284"/>
      <c r="B133" s="425"/>
      <c r="C133" s="426"/>
      <c r="D133" s="440"/>
      <c r="E133" s="440"/>
      <c r="F133" s="427"/>
      <c r="G133" s="428"/>
      <c r="H133" s="429">
        <f>G133*BRISES!$F133</f>
        <v>0</v>
      </c>
      <c r="I133" s="289"/>
      <c r="J133" s="442"/>
      <c r="K133" s="429"/>
      <c r="L133" s="285"/>
    </row>
    <row r="134" spans="1:12" ht="14.25" customHeight="1" x14ac:dyDescent="0.25">
      <c r="A134" s="284"/>
      <c r="B134" s="425"/>
      <c r="C134" s="426"/>
      <c r="D134" s="440"/>
      <c r="E134" s="440"/>
      <c r="F134" s="427"/>
      <c r="G134" s="428"/>
      <c r="H134" s="429">
        <f>G134*BRISES!$F134</f>
        <v>0</v>
      </c>
      <c r="I134" s="289"/>
      <c r="J134" s="442"/>
      <c r="K134" s="429"/>
      <c r="L134" s="285"/>
    </row>
    <row r="135" spans="1:12" ht="14.25" customHeight="1" x14ac:dyDescent="0.25">
      <c r="A135" s="284"/>
      <c r="B135" s="425"/>
      <c r="C135" s="426"/>
      <c r="D135" s="440"/>
      <c r="E135" s="440"/>
      <c r="F135" s="427"/>
      <c r="G135" s="428"/>
      <c r="H135" s="429">
        <f>G135*BRISES!$F135</f>
        <v>0</v>
      </c>
      <c r="I135" s="289"/>
      <c r="J135" s="442"/>
      <c r="K135" s="429"/>
      <c r="L135" s="285"/>
    </row>
    <row r="136" spans="1:12" ht="14.25" customHeight="1" x14ac:dyDescent="0.25">
      <c r="A136" s="284"/>
      <c r="B136" s="425"/>
      <c r="C136" s="426"/>
      <c r="D136" s="440"/>
      <c r="E136" s="440"/>
      <c r="F136" s="427"/>
      <c r="G136" s="428"/>
      <c r="H136" s="429">
        <f>G136*BRISES!$F136</f>
        <v>0</v>
      </c>
      <c r="I136" s="289"/>
      <c r="J136" s="442"/>
      <c r="K136" s="429"/>
      <c r="L136" s="285"/>
    </row>
    <row r="137" spans="1:12" ht="14.25" customHeight="1" x14ac:dyDescent="0.25">
      <c r="A137" s="284"/>
      <c r="B137" s="425"/>
      <c r="C137" s="426"/>
      <c r="D137" s="440"/>
      <c r="E137" s="440"/>
      <c r="F137" s="427"/>
      <c r="G137" s="428"/>
      <c r="H137" s="429">
        <f>G137*BRISES!$F137</f>
        <v>0</v>
      </c>
      <c r="I137" s="289"/>
      <c r="J137" s="442"/>
      <c r="K137" s="429"/>
      <c r="L137" s="285"/>
    </row>
    <row r="138" spans="1:12" ht="14.25" customHeight="1" x14ac:dyDescent="0.25">
      <c r="A138" s="284"/>
      <c r="B138" s="425"/>
      <c r="C138" s="426"/>
      <c r="D138" s="440"/>
      <c r="E138" s="440"/>
      <c r="F138" s="427"/>
      <c r="G138" s="428"/>
      <c r="H138" s="429">
        <f>G138*BRISES!$F138</f>
        <v>0</v>
      </c>
      <c r="I138" s="289"/>
      <c r="J138" s="442"/>
      <c r="K138" s="429"/>
      <c r="L138" s="285"/>
    </row>
    <row r="139" spans="1:12" ht="14.25" customHeight="1" x14ac:dyDescent="0.25">
      <c r="A139" s="284"/>
      <c r="B139" s="425"/>
      <c r="C139" s="426"/>
      <c r="D139" s="440"/>
      <c r="E139" s="440"/>
      <c r="F139" s="427"/>
      <c r="G139" s="428"/>
      <c r="H139" s="429">
        <f>G139*BRISES!$F139</f>
        <v>0</v>
      </c>
      <c r="I139" s="289"/>
      <c r="J139" s="442"/>
      <c r="K139" s="429"/>
      <c r="L139" s="285"/>
    </row>
    <row r="140" spans="1:12" ht="14.25" customHeight="1" x14ac:dyDescent="0.25">
      <c r="A140" s="284"/>
      <c r="B140" s="425"/>
      <c r="C140" s="426"/>
      <c r="D140" s="440"/>
      <c r="E140" s="440"/>
      <c r="F140" s="427"/>
      <c r="G140" s="428"/>
      <c r="H140" s="429">
        <f>G140*BRISES!$F140</f>
        <v>0</v>
      </c>
      <c r="I140" s="289"/>
      <c r="J140" s="442"/>
      <c r="K140" s="429"/>
      <c r="L140" s="285"/>
    </row>
    <row r="141" spans="1:12" ht="14.25" customHeight="1" x14ac:dyDescent="0.25">
      <c r="A141" s="284"/>
      <c r="B141" s="425"/>
      <c r="C141" s="426"/>
      <c r="D141" s="440"/>
      <c r="E141" s="440"/>
      <c r="F141" s="427"/>
      <c r="G141" s="428"/>
      <c r="H141" s="429">
        <f>G141*BRISES!$F141</f>
        <v>0</v>
      </c>
      <c r="I141" s="289"/>
      <c r="J141" s="442"/>
      <c r="K141" s="429"/>
      <c r="L141" s="285"/>
    </row>
    <row r="142" spans="1:12" ht="14.25" customHeight="1" x14ac:dyDescent="0.25">
      <c r="A142" s="284"/>
      <c r="B142" s="425"/>
      <c r="C142" s="426"/>
      <c r="D142" s="440"/>
      <c r="E142" s="440"/>
      <c r="F142" s="427"/>
      <c r="G142" s="428"/>
      <c r="H142" s="429">
        <f>G142*BRISES!$F142</f>
        <v>0</v>
      </c>
      <c r="I142" s="289"/>
      <c r="J142" s="442"/>
      <c r="K142" s="429"/>
      <c r="L142" s="285"/>
    </row>
    <row r="143" spans="1:12" ht="14.25" customHeight="1" x14ac:dyDescent="0.25">
      <c r="A143" s="284"/>
      <c r="B143" s="425"/>
      <c r="C143" s="426"/>
      <c r="D143" s="440"/>
      <c r="E143" s="440"/>
      <c r="F143" s="427"/>
      <c r="G143" s="428"/>
      <c r="H143" s="429">
        <f>G143*BRISES!$F143</f>
        <v>0</v>
      </c>
      <c r="I143" s="289"/>
      <c r="J143" s="442"/>
      <c r="K143" s="429"/>
      <c r="L143" s="285"/>
    </row>
    <row r="144" spans="1:12" ht="14.25" customHeight="1" x14ac:dyDescent="0.25">
      <c r="A144" s="284"/>
      <c r="B144" s="425"/>
      <c r="C144" s="426"/>
      <c r="D144" s="440"/>
      <c r="E144" s="440"/>
      <c r="F144" s="427"/>
      <c r="G144" s="428"/>
      <c r="H144" s="429">
        <f>G144*BRISES!$F144</f>
        <v>0</v>
      </c>
      <c r="I144" s="289"/>
      <c r="J144" s="442"/>
      <c r="K144" s="429"/>
      <c r="L144" s="285"/>
    </row>
    <row r="145" spans="1:12" ht="14.25" customHeight="1" x14ac:dyDescent="0.25">
      <c r="A145" s="284"/>
      <c r="B145" s="425"/>
      <c r="C145" s="426"/>
      <c r="D145" s="440"/>
      <c r="E145" s="440"/>
      <c r="F145" s="427"/>
      <c r="G145" s="428"/>
      <c r="H145" s="429">
        <f>G145*BRISES!$F145</f>
        <v>0</v>
      </c>
      <c r="I145" s="289"/>
      <c r="J145" s="442"/>
      <c r="K145" s="429"/>
      <c r="L145" s="285"/>
    </row>
    <row r="146" spans="1:12" ht="14.25" customHeight="1" x14ac:dyDescent="0.25">
      <c r="A146" s="284"/>
      <c r="B146" s="425"/>
      <c r="C146" s="426"/>
      <c r="D146" s="440"/>
      <c r="E146" s="440"/>
      <c r="F146" s="427"/>
      <c r="G146" s="428"/>
      <c r="H146" s="429">
        <f>G146*BRISES!$F146</f>
        <v>0</v>
      </c>
      <c r="I146" s="289"/>
      <c r="J146" s="442"/>
      <c r="K146" s="429"/>
      <c r="L146" s="285"/>
    </row>
    <row r="147" spans="1:12" ht="14.25" customHeight="1" x14ac:dyDescent="0.25">
      <c r="A147" s="284"/>
      <c r="B147" s="425"/>
      <c r="C147" s="426"/>
      <c r="D147" s="440"/>
      <c r="E147" s="440"/>
      <c r="F147" s="427"/>
      <c r="G147" s="428"/>
      <c r="H147" s="429">
        <f>G147*BRISES!$F147</f>
        <v>0</v>
      </c>
      <c r="I147" s="289"/>
      <c r="J147" s="442"/>
      <c r="K147" s="429"/>
      <c r="L147" s="285"/>
    </row>
    <row r="148" spans="1:12" ht="14.25" customHeight="1" x14ac:dyDescent="0.25">
      <c r="A148" s="284"/>
      <c r="B148" s="425"/>
      <c r="C148" s="426"/>
      <c r="D148" s="440"/>
      <c r="E148" s="440"/>
      <c r="F148" s="427"/>
      <c r="G148" s="428"/>
      <c r="H148" s="429">
        <f>G148*BRISES!$F148</f>
        <v>0</v>
      </c>
      <c r="I148" s="289"/>
      <c r="J148" s="442"/>
      <c r="K148" s="429"/>
      <c r="L148" s="285"/>
    </row>
    <row r="149" spans="1:12" ht="14.25" customHeight="1" x14ac:dyDescent="0.25">
      <c r="A149" s="284"/>
      <c r="B149" s="425"/>
      <c r="C149" s="426"/>
      <c r="D149" s="440"/>
      <c r="E149" s="440"/>
      <c r="F149" s="427"/>
      <c r="G149" s="428"/>
      <c r="H149" s="429">
        <f>G149*BRISES!$F149</f>
        <v>0</v>
      </c>
      <c r="I149" s="289"/>
      <c r="J149" s="442"/>
      <c r="K149" s="429"/>
      <c r="L149" s="285"/>
    </row>
    <row r="150" spans="1:12" ht="14.25" customHeight="1" x14ac:dyDescent="0.25">
      <c r="A150" s="284"/>
      <c r="B150" s="425"/>
      <c r="C150" s="426"/>
      <c r="D150" s="440"/>
      <c r="E150" s="440"/>
      <c r="F150" s="427"/>
      <c r="G150" s="428"/>
      <c r="H150" s="429">
        <f>G150*BRISES!$F150</f>
        <v>0</v>
      </c>
      <c r="I150" s="289"/>
      <c r="J150" s="442"/>
      <c r="K150" s="429"/>
      <c r="L150" s="285"/>
    </row>
    <row r="151" spans="1:12" ht="14.25" customHeight="1" x14ac:dyDescent="0.25">
      <c r="A151" s="284"/>
      <c r="B151" s="425"/>
      <c r="C151" s="426"/>
      <c r="D151" s="440"/>
      <c r="E151" s="440"/>
      <c r="F151" s="427"/>
      <c r="G151" s="428"/>
      <c r="H151" s="429">
        <f>G151*BRISES!$F151</f>
        <v>0</v>
      </c>
      <c r="I151" s="289"/>
      <c r="J151" s="442"/>
      <c r="K151" s="429"/>
      <c r="L151" s="285"/>
    </row>
    <row r="152" spans="1:12" ht="14.25" customHeight="1" x14ac:dyDescent="0.25">
      <c r="A152" s="284"/>
      <c r="B152" s="425"/>
      <c r="C152" s="426"/>
      <c r="D152" s="440"/>
      <c r="E152" s="440"/>
      <c r="F152" s="427"/>
      <c r="G152" s="428"/>
      <c r="H152" s="429">
        <f>G152*BRISES!$F152</f>
        <v>0</v>
      </c>
      <c r="I152" s="289"/>
      <c r="J152" s="442"/>
      <c r="K152" s="429"/>
      <c r="L152" s="285"/>
    </row>
    <row r="153" spans="1:12" ht="14.25" customHeight="1" x14ac:dyDescent="0.25">
      <c r="A153" s="284"/>
      <c r="B153" s="425"/>
      <c r="C153" s="426"/>
      <c r="D153" s="440"/>
      <c r="E153" s="440"/>
      <c r="F153" s="427"/>
      <c r="G153" s="428"/>
      <c r="H153" s="429">
        <f>G153*BRISES!$F153</f>
        <v>0</v>
      </c>
      <c r="I153" s="289"/>
      <c r="J153" s="442"/>
      <c r="K153" s="429"/>
      <c r="L153" s="285"/>
    </row>
    <row r="154" spans="1:12" ht="14.25" customHeight="1" x14ac:dyDescent="0.25">
      <c r="A154" s="284"/>
      <c r="B154" s="425"/>
      <c r="C154" s="426"/>
      <c r="D154" s="440"/>
      <c r="E154" s="440"/>
      <c r="F154" s="427"/>
      <c r="G154" s="428"/>
      <c r="H154" s="429">
        <f>G154*BRISES!$F154</f>
        <v>0</v>
      </c>
      <c r="I154" s="289"/>
      <c r="J154" s="442"/>
      <c r="K154" s="429"/>
      <c r="L154" s="285"/>
    </row>
    <row r="155" spans="1:12" ht="14.25" customHeight="1" x14ac:dyDescent="0.25">
      <c r="A155" s="284"/>
      <c r="B155" s="425"/>
      <c r="C155" s="426"/>
      <c r="D155" s="440"/>
      <c r="E155" s="440"/>
      <c r="F155" s="427"/>
      <c r="G155" s="428"/>
      <c r="H155" s="429">
        <f>G155*BRISES!$F155</f>
        <v>0</v>
      </c>
      <c r="I155" s="289"/>
      <c r="J155" s="442"/>
      <c r="K155" s="429"/>
      <c r="L155" s="285"/>
    </row>
    <row r="156" spans="1:12" ht="14.25" customHeight="1" x14ac:dyDescent="0.25">
      <c r="A156" s="284"/>
      <c r="B156" s="425"/>
      <c r="C156" s="426"/>
      <c r="D156" s="440"/>
      <c r="E156" s="440"/>
      <c r="F156" s="427"/>
      <c r="G156" s="428"/>
      <c r="H156" s="429">
        <f>G156*BRISES!$F156</f>
        <v>0</v>
      </c>
      <c r="I156" s="289"/>
      <c r="J156" s="442"/>
      <c r="K156" s="429"/>
      <c r="L156" s="285"/>
    </row>
    <row r="157" spans="1:12" ht="14.25" customHeight="1" x14ac:dyDescent="0.25">
      <c r="A157" s="284"/>
      <c r="B157" s="425"/>
      <c r="C157" s="426"/>
      <c r="D157" s="440"/>
      <c r="E157" s="440"/>
      <c r="F157" s="427"/>
      <c r="G157" s="428"/>
      <c r="H157" s="429">
        <f>G157*BRISES!$F157</f>
        <v>0</v>
      </c>
      <c r="I157" s="289"/>
      <c r="J157" s="442"/>
      <c r="K157" s="429"/>
      <c r="L157" s="285"/>
    </row>
    <row r="158" spans="1:12" ht="14.25" customHeight="1" x14ac:dyDescent="0.25">
      <c r="A158" s="284"/>
      <c r="B158" s="425"/>
      <c r="C158" s="426"/>
      <c r="D158" s="440"/>
      <c r="E158" s="440"/>
      <c r="F158" s="427"/>
      <c r="G158" s="428"/>
      <c r="H158" s="429">
        <f>G158*BRISES!$F158</f>
        <v>0</v>
      </c>
      <c r="I158" s="289"/>
      <c r="J158" s="442"/>
      <c r="K158" s="429"/>
      <c r="L158" s="285"/>
    </row>
    <row r="159" spans="1:12" ht="14.25" customHeight="1" x14ac:dyDescent="0.25">
      <c r="A159" s="284"/>
      <c r="B159" s="425"/>
      <c r="C159" s="426"/>
      <c r="D159" s="440"/>
      <c r="E159" s="440"/>
      <c r="F159" s="427"/>
      <c r="G159" s="428"/>
      <c r="H159" s="429">
        <f>G159*BRISES!$F159</f>
        <v>0</v>
      </c>
      <c r="I159" s="289"/>
      <c r="J159" s="442"/>
      <c r="K159" s="429"/>
      <c r="L159" s="285"/>
    </row>
    <row r="160" spans="1:12" ht="14.25" customHeight="1" x14ac:dyDescent="0.25">
      <c r="A160" s="284"/>
      <c r="B160" s="425"/>
      <c r="C160" s="426"/>
      <c r="D160" s="440"/>
      <c r="E160" s="440"/>
      <c r="F160" s="427"/>
      <c r="G160" s="428"/>
      <c r="H160" s="429">
        <f>G160*BRISES!$F160</f>
        <v>0</v>
      </c>
      <c r="I160" s="289"/>
      <c r="J160" s="442"/>
      <c r="K160" s="429"/>
      <c r="L160" s="285"/>
    </row>
    <row r="161" spans="1:12" ht="14.25" customHeight="1" x14ac:dyDescent="0.25">
      <c r="A161" s="284"/>
      <c r="B161" s="425"/>
      <c r="C161" s="426"/>
      <c r="D161" s="440"/>
      <c r="E161" s="440"/>
      <c r="F161" s="427"/>
      <c r="G161" s="428"/>
      <c r="H161" s="429">
        <f>G161*BRISES!$F161</f>
        <v>0</v>
      </c>
      <c r="I161" s="289"/>
      <c r="J161" s="442"/>
      <c r="K161" s="429"/>
      <c r="L161" s="285"/>
    </row>
    <row r="162" spans="1:12" ht="14.25" customHeight="1" x14ac:dyDescent="0.25">
      <c r="A162" s="284"/>
      <c r="B162" s="425"/>
      <c r="C162" s="426"/>
      <c r="D162" s="440"/>
      <c r="E162" s="440"/>
      <c r="F162" s="427"/>
      <c r="G162" s="428"/>
      <c r="H162" s="429">
        <f>G162*BRISES!$F162</f>
        <v>0</v>
      </c>
      <c r="I162" s="289"/>
      <c r="J162" s="442"/>
      <c r="K162" s="429"/>
      <c r="L162" s="285"/>
    </row>
    <row r="163" spans="1:12" ht="14.25" customHeight="1" x14ac:dyDescent="0.25">
      <c r="A163" s="284"/>
      <c r="B163" s="425"/>
      <c r="C163" s="426"/>
      <c r="D163" s="440"/>
      <c r="E163" s="440"/>
      <c r="F163" s="427"/>
      <c r="G163" s="428"/>
      <c r="H163" s="429">
        <f>G163*BRISES!$F163</f>
        <v>0</v>
      </c>
      <c r="I163" s="289"/>
      <c r="J163" s="442"/>
      <c r="K163" s="429"/>
      <c r="L163" s="285"/>
    </row>
    <row r="164" spans="1:12" ht="14.25" customHeight="1" x14ac:dyDescent="0.25">
      <c r="A164" s="284"/>
      <c r="B164" s="425"/>
      <c r="C164" s="426"/>
      <c r="D164" s="440"/>
      <c r="E164" s="440"/>
      <c r="F164" s="427"/>
      <c r="G164" s="428"/>
      <c r="H164" s="429">
        <f>G164*BRISES!$F164</f>
        <v>0</v>
      </c>
      <c r="I164" s="289"/>
      <c r="J164" s="442"/>
      <c r="K164" s="429"/>
      <c r="L164" s="285"/>
    </row>
    <row r="165" spans="1:12" ht="14.25" customHeight="1" x14ac:dyDescent="0.25">
      <c r="A165" s="284"/>
      <c r="B165" s="425"/>
      <c r="C165" s="426"/>
      <c r="D165" s="440"/>
      <c r="E165" s="440"/>
      <c r="F165" s="427"/>
      <c r="G165" s="428"/>
      <c r="H165" s="429">
        <f>G165*BRISES!$F165</f>
        <v>0</v>
      </c>
      <c r="I165" s="289"/>
      <c r="J165" s="442"/>
      <c r="K165" s="429"/>
      <c r="L165" s="285"/>
    </row>
    <row r="166" spans="1:12" ht="14.25" customHeight="1" x14ac:dyDescent="0.25">
      <c r="A166" s="284"/>
      <c r="B166" s="425"/>
      <c r="C166" s="426"/>
      <c r="D166" s="440"/>
      <c r="E166" s="440"/>
      <c r="F166" s="427"/>
      <c r="G166" s="428"/>
      <c r="H166" s="429">
        <f>G166*BRISES!$F166</f>
        <v>0</v>
      </c>
      <c r="I166" s="289"/>
      <c r="J166" s="442"/>
      <c r="K166" s="429"/>
      <c r="L166" s="285"/>
    </row>
    <row r="167" spans="1:12" ht="14.25" customHeight="1" x14ac:dyDescent="0.25">
      <c r="A167" s="284"/>
      <c r="B167" s="425"/>
      <c r="C167" s="426"/>
      <c r="D167" s="440"/>
      <c r="E167" s="440"/>
      <c r="F167" s="427"/>
      <c r="G167" s="428"/>
      <c r="H167" s="429">
        <f>G167*BRISES!$F167</f>
        <v>0</v>
      </c>
      <c r="I167" s="289"/>
      <c r="J167" s="442"/>
      <c r="K167" s="429"/>
      <c r="L167" s="285"/>
    </row>
    <row r="168" spans="1:12" ht="14.25" customHeight="1" x14ac:dyDescent="0.25">
      <c r="A168" s="284"/>
      <c r="B168" s="425"/>
      <c r="C168" s="426"/>
      <c r="D168" s="440"/>
      <c r="E168" s="440"/>
      <c r="F168" s="427"/>
      <c r="G168" s="428"/>
      <c r="H168" s="429">
        <f>G168*BRISES!$F168</f>
        <v>0</v>
      </c>
      <c r="I168" s="289"/>
      <c r="J168" s="442"/>
      <c r="K168" s="429"/>
      <c r="L168" s="285"/>
    </row>
    <row r="169" spans="1:12" ht="14.25" customHeight="1" x14ac:dyDescent="0.25">
      <c r="A169" s="284"/>
      <c r="B169" s="425"/>
      <c r="C169" s="426"/>
      <c r="D169" s="440"/>
      <c r="E169" s="440"/>
      <c r="F169" s="427"/>
      <c r="G169" s="428"/>
      <c r="H169" s="429">
        <f>G169*BRISES!$F169</f>
        <v>0</v>
      </c>
      <c r="I169" s="289"/>
      <c r="J169" s="442"/>
      <c r="K169" s="429"/>
      <c r="L169" s="285"/>
    </row>
    <row r="170" spans="1:12" ht="14.25" customHeight="1" x14ac:dyDescent="0.25">
      <c r="A170" s="284"/>
      <c r="B170" s="425"/>
      <c r="C170" s="426"/>
      <c r="D170" s="440"/>
      <c r="E170" s="440"/>
      <c r="F170" s="427"/>
      <c r="G170" s="428"/>
      <c r="H170" s="429">
        <f>G170*BRISES!$F170</f>
        <v>0</v>
      </c>
      <c r="I170" s="289"/>
      <c r="J170" s="442"/>
      <c r="K170" s="429"/>
      <c r="L170" s="285"/>
    </row>
    <row r="171" spans="1:12" ht="14.25" customHeight="1" x14ac:dyDescent="0.25">
      <c r="A171" s="284"/>
      <c r="B171" s="425"/>
      <c r="C171" s="426"/>
      <c r="D171" s="440"/>
      <c r="E171" s="440"/>
      <c r="F171" s="427"/>
      <c r="G171" s="428"/>
      <c r="H171" s="429">
        <f>G171*BRISES!$F171</f>
        <v>0</v>
      </c>
      <c r="I171" s="289"/>
      <c r="J171" s="442"/>
      <c r="K171" s="429"/>
      <c r="L171" s="285"/>
    </row>
    <row r="172" spans="1:12" ht="14.25" customHeight="1" x14ac:dyDescent="0.25">
      <c r="A172" s="284"/>
      <c r="B172" s="425"/>
      <c r="C172" s="426"/>
      <c r="D172" s="440"/>
      <c r="E172" s="440"/>
      <c r="F172" s="427"/>
      <c r="G172" s="428"/>
      <c r="H172" s="429">
        <f>G172*BRISES!$F172</f>
        <v>0</v>
      </c>
      <c r="I172" s="289"/>
      <c r="J172" s="442"/>
      <c r="K172" s="429"/>
      <c r="L172" s="285"/>
    </row>
    <row r="173" spans="1:12" ht="14.25" customHeight="1" x14ac:dyDescent="0.25">
      <c r="A173" s="284"/>
      <c r="B173" s="425"/>
      <c r="C173" s="426"/>
      <c r="D173" s="440"/>
      <c r="E173" s="440"/>
      <c r="F173" s="427"/>
      <c r="G173" s="428"/>
      <c r="H173" s="429">
        <f>G173*BRISES!$F173</f>
        <v>0</v>
      </c>
      <c r="I173" s="289"/>
      <c r="J173" s="442"/>
      <c r="K173" s="429"/>
      <c r="L173" s="285"/>
    </row>
    <row r="174" spans="1:12" ht="14.25" customHeight="1" x14ac:dyDescent="0.25">
      <c r="A174" s="284"/>
      <c r="B174" s="425"/>
      <c r="C174" s="426"/>
      <c r="D174" s="440"/>
      <c r="E174" s="440"/>
      <c r="F174" s="427"/>
      <c r="G174" s="428"/>
      <c r="H174" s="429">
        <f>G174*BRISES!$F174</f>
        <v>0</v>
      </c>
      <c r="I174" s="289"/>
      <c r="J174" s="442"/>
      <c r="K174" s="429"/>
      <c r="L174" s="285"/>
    </row>
    <row r="175" spans="1:12" ht="14.25" customHeight="1" x14ac:dyDescent="0.25">
      <c r="A175" s="284"/>
      <c r="B175" s="425"/>
      <c r="C175" s="426"/>
      <c r="D175" s="440"/>
      <c r="E175" s="440"/>
      <c r="F175" s="427"/>
      <c r="G175" s="428"/>
      <c r="H175" s="429">
        <f>G175*BRISES!$F175</f>
        <v>0</v>
      </c>
      <c r="I175" s="289"/>
      <c r="J175" s="442"/>
      <c r="K175" s="429"/>
      <c r="L175" s="285"/>
    </row>
    <row r="176" spans="1:12" ht="14.25" customHeight="1" x14ac:dyDescent="0.25">
      <c r="A176" s="284"/>
      <c r="B176" s="425"/>
      <c r="C176" s="426"/>
      <c r="D176" s="440"/>
      <c r="E176" s="440"/>
      <c r="F176" s="427"/>
      <c r="G176" s="428"/>
      <c r="H176" s="429">
        <f>G176*BRISES!$F176</f>
        <v>0</v>
      </c>
      <c r="I176" s="289"/>
      <c r="J176" s="442"/>
      <c r="K176" s="429"/>
      <c r="L176" s="285"/>
    </row>
    <row r="177" spans="1:12" ht="14.25" customHeight="1" x14ac:dyDescent="0.25">
      <c r="A177" s="284"/>
      <c r="B177" s="425"/>
      <c r="C177" s="426"/>
      <c r="D177" s="440"/>
      <c r="E177" s="440"/>
      <c r="F177" s="427"/>
      <c r="G177" s="428"/>
      <c r="H177" s="429">
        <f>G177*BRISES!$F177</f>
        <v>0</v>
      </c>
      <c r="I177" s="289"/>
      <c r="J177" s="442"/>
      <c r="K177" s="429"/>
      <c r="L177" s="285"/>
    </row>
    <row r="178" spans="1:12" ht="14.25" customHeight="1" x14ac:dyDescent="0.25">
      <c r="A178" s="284"/>
      <c r="B178" s="425"/>
      <c r="C178" s="426"/>
      <c r="D178" s="440"/>
      <c r="E178" s="440"/>
      <c r="F178" s="427"/>
      <c r="G178" s="428"/>
      <c r="H178" s="429">
        <f>G178*BRISES!$F178</f>
        <v>0</v>
      </c>
      <c r="I178" s="289"/>
      <c r="J178" s="442"/>
      <c r="K178" s="429"/>
      <c r="L178" s="285"/>
    </row>
    <row r="179" spans="1:12" ht="14.25" customHeight="1" x14ac:dyDescent="0.25">
      <c r="A179" s="284"/>
      <c r="B179" s="425"/>
      <c r="C179" s="426"/>
      <c r="D179" s="440"/>
      <c r="E179" s="440"/>
      <c r="F179" s="427"/>
      <c r="G179" s="428"/>
      <c r="H179" s="429">
        <f>G179*BRISES!$F179</f>
        <v>0</v>
      </c>
      <c r="I179" s="289"/>
      <c r="J179" s="442"/>
      <c r="K179" s="429"/>
      <c r="L179" s="285"/>
    </row>
    <row r="180" spans="1:12" ht="14.25" customHeight="1" x14ac:dyDescent="0.25">
      <c r="A180" s="284"/>
      <c r="B180" s="425"/>
      <c r="C180" s="426"/>
      <c r="D180" s="440"/>
      <c r="E180" s="440"/>
      <c r="F180" s="427"/>
      <c r="G180" s="428"/>
      <c r="H180" s="429">
        <f>G180*BRISES!$F180</f>
        <v>0</v>
      </c>
      <c r="I180" s="289"/>
      <c r="J180" s="442"/>
      <c r="K180" s="429"/>
      <c r="L180" s="285"/>
    </row>
    <row r="181" spans="1:12" ht="14.25" customHeight="1" x14ac:dyDescent="0.25">
      <c r="A181" s="284"/>
      <c r="B181" s="425"/>
      <c r="C181" s="426"/>
      <c r="D181" s="440"/>
      <c r="E181" s="440"/>
      <c r="F181" s="427"/>
      <c r="G181" s="428"/>
      <c r="H181" s="429">
        <f>G181*BRISES!$F181</f>
        <v>0</v>
      </c>
      <c r="I181" s="289"/>
      <c r="J181" s="442"/>
      <c r="K181" s="429"/>
      <c r="L181" s="285"/>
    </row>
    <row r="182" spans="1:12" ht="14.25" customHeight="1" x14ac:dyDescent="0.25">
      <c r="A182" s="284"/>
      <c r="B182" s="425"/>
      <c r="C182" s="426"/>
      <c r="D182" s="440"/>
      <c r="E182" s="440"/>
      <c r="F182" s="427"/>
      <c r="G182" s="428"/>
      <c r="H182" s="429">
        <f>G182*BRISES!$F182</f>
        <v>0</v>
      </c>
      <c r="I182" s="289"/>
      <c r="J182" s="442"/>
      <c r="K182" s="429"/>
      <c r="L182" s="285"/>
    </row>
    <row r="183" spans="1:12" ht="14.25" customHeight="1" x14ac:dyDescent="0.25">
      <c r="A183" s="284"/>
      <c r="B183" s="425"/>
      <c r="C183" s="426"/>
      <c r="D183" s="440"/>
      <c r="E183" s="440"/>
      <c r="F183" s="427"/>
      <c r="G183" s="428"/>
      <c r="H183" s="429">
        <f>G183*BRISES!$F183</f>
        <v>0</v>
      </c>
      <c r="I183" s="289"/>
      <c r="J183" s="442"/>
      <c r="K183" s="429"/>
      <c r="L183" s="285"/>
    </row>
    <row r="184" spans="1:12" ht="14.25" customHeight="1" x14ac:dyDescent="0.25">
      <c r="A184" s="284"/>
      <c r="B184" s="425"/>
      <c r="C184" s="426"/>
      <c r="D184" s="440"/>
      <c r="E184" s="440"/>
      <c r="F184" s="427"/>
      <c r="G184" s="428"/>
      <c r="H184" s="429">
        <f>G184*BRISES!$F184</f>
        <v>0</v>
      </c>
      <c r="I184" s="289"/>
      <c r="J184" s="442"/>
      <c r="K184" s="429"/>
      <c r="L184" s="285"/>
    </row>
    <row r="185" spans="1:12" ht="14.25" customHeight="1" x14ac:dyDescent="0.25">
      <c r="A185" s="284"/>
      <c r="B185" s="425"/>
      <c r="C185" s="426"/>
      <c r="D185" s="440"/>
      <c r="E185" s="440"/>
      <c r="F185" s="427"/>
      <c r="G185" s="428"/>
      <c r="H185" s="429">
        <f>G185*BRISES!$F185</f>
        <v>0</v>
      </c>
      <c r="I185" s="289"/>
      <c r="J185" s="442"/>
      <c r="K185" s="429"/>
      <c r="L185" s="285"/>
    </row>
    <row r="186" spans="1:12" ht="14.25" customHeight="1" x14ac:dyDescent="0.25">
      <c r="A186" s="284"/>
      <c r="B186" s="425"/>
      <c r="C186" s="426"/>
      <c r="D186" s="440"/>
      <c r="E186" s="440"/>
      <c r="F186" s="427"/>
      <c r="G186" s="428"/>
      <c r="H186" s="429">
        <f>G186*BRISES!$F186</f>
        <v>0</v>
      </c>
      <c r="I186" s="289"/>
      <c r="J186" s="442"/>
      <c r="K186" s="429"/>
      <c r="L186" s="285"/>
    </row>
    <row r="187" spans="1:12" ht="14.25" customHeight="1" x14ac:dyDescent="0.25">
      <c r="A187" s="284"/>
      <c r="B187" s="425"/>
      <c r="C187" s="426"/>
      <c r="D187" s="440"/>
      <c r="E187" s="440"/>
      <c r="F187" s="427"/>
      <c r="G187" s="428"/>
      <c r="H187" s="429">
        <f>G187*BRISES!$F187</f>
        <v>0</v>
      </c>
      <c r="I187" s="289"/>
      <c r="J187" s="442"/>
      <c r="K187" s="429"/>
      <c r="L187" s="285"/>
    </row>
    <row r="188" spans="1:12" ht="14.25" customHeight="1" x14ac:dyDescent="0.25">
      <c r="A188" s="284"/>
      <c r="B188" s="425"/>
      <c r="C188" s="426"/>
      <c r="D188" s="440"/>
      <c r="E188" s="440"/>
      <c r="F188" s="427"/>
      <c r="G188" s="428"/>
      <c r="H188" s="429">
        <f>G188*BRISES!$F188</f>
        <v>0</v>
      </c>
      <c r="I188" s="289"/>
      <c r="J188" s="442"/>
      <c r="K188" s="429"/>
      <c r="L188" s="285"/>
    </row>
    <row r="189" spans="1:12" ht="14.25" customHeight="1" x14ac:dyDescent="0.25">
      <c r="A189" s="284"/>
      <c r="B189" s="425"/>
      <c r="C189" s="426"/>
      <c r="D189" s="440"/>
      <c r="E189" s="440"/>
      <c r="F189" s="427"/>
      <c r="G189" s="428"/>
      <c r="H189" s="429">
        <f>G189*BRISES!$F189</f>
        <v>0</v>
      </c>
      <c r="I189" s="289"/>
      <c r="J189" s="442"/>
      <c r="K189" s="429"/>
      <c r="L189" s="285"/>
    </row>
    <row r="190" spans="1:12" ht="14.25" customHeight="1" x14ac:dyDescent="0.25">
      <c r="A190" s="284"/>
      <c r="B190" s="425"/>
      <c r="C190" s="426"/>
      <c r="D190" s="440"/>
      <c r="E190" s="440"/>
      <c r="F190" s="427"/>
      <c r="G190" s="428"/>
      <c r="H190" s="429">
        <f>G190*BRISES!$F190</f>
        <v>0</v>
      </c>
      <c r="I190" s="289"/>
      <c r="J190" s="442"/>
      <c r="K190" s="429"/>
      <c r="L190" s="285"/>
    </row>
    <row r="191" spans="1:12" ht="14.25" customHeight="1" x14ac:dyDescent="0.25">
      <c r="A191" s="284"/>
      <c r="B191" s="425"/>
      <c r="C191" s="426"/>
      <c r="D191" s="440"/>
      <c r="E191" s="440"/>
      <c r="F191" s="427"/>
      <c r="G191" s="428"/>
      <c r="H191" s="429">
        <f>G191*BRISES!$F191</f>
        <v>0</v>
      </c>
      <c r="I191" s="289"/>
      <c r="J191" s="442"/>
      <c r="K191" s="429"/>
      <c r="L191" s="285"/>
    </row>
    <row r="192" spans="1:12" ht="14.25" customHeight="1" x14ac:dyDescent="0.25">
      <c r="A192" s="284"/>
      <c r="B192" s="425"/>
      <c r="C192" s="426"/>
      <c r="D192" s="440"/>
      <c r="E192" s="440"/>
      <c r="F192" s="427"/>
      <c r="G192" s="428"/>
      <c r="H192" s="429">
        <f>G192*BRISES!$F192</f>
        <v>0</v>
      </c>
      <c r="I192" s="289"/>
      <c r="J192" s="442"/>
      <c r="K192" s="429"/>
      <c r="L192" s="285"/>
    </row>
    <row r="193" spans="1:12" ht="14.25" customHeight="1" x14ac:dyDescent="0.25">
      <c r="A193" s="284"/>
      <c r="B193" s="425"/>
      <c r="C193" s="426"/>
      <c r="D193" s="440"/>
      <c r="E193" s="440"/>
      <c r="F193" s="427"/>
      <c r="G193" s="428"/>
      <c r="H193" s="429">
        <f>G193*BRISES!$F193</f>
        <v>0</v>
      </c>
      <c r="I193" s="289"/>
      <c r="J193" s="442"/>
      <c r="K193" s="429"/>
      <c r="L193" s="285"/>
    </row>
    <row r="194" spans="1:12" ht="14.25" customHeight="1" x14ac:dyDescent="0.25">
      <c r="A194" s="284"/>
      <c r="B194" s="425"/>
      <c r="C194" s="426"/>
      <c r="D194" s="440"/>
      <c r="E194" s="440"/>
      <c r="F194" s="427"/>
      <c r="G194" s="428"/>
      <c r="H194" s="429">
        <f>G194*BRISES!$F194</f>
        <v>0</v>
      </c>
      <c r="I194" s="289"/>
      <c r="J194" s="442"/>
      <c r="K194" s="429"/>
      <c r="L194" s="285"/>
    </row>
    <row r="195" spans="1:12" ht="14.25" customHeight="1" x14ac:dyDescent="0.25">
      <c r="A195" s="284"/>
      <c r="B195" s="425"/>
      <c r="C195" s="426"/>
      <c r="D195" s="440"/>
      <c r="E195" s="440"/>
      <c r="F195" s="427"/>
      <c r="G195" s="428"/>
      <c r="H195" s="429">
        <f>G195*BRISES!$F195</f>
        <v>0</v>
      </c>
      <c r="I195" s="289"/>
      <c r="J195" s="442"/>
      <c r="K195" s="429"/>
      <c r="L195" s="285"/>
    </row>
    <row r="196" spans="1:12" ht="14.25" customHeight="1" x14ac:dyDescent="0.25">
      <c r="A196" s="284"/>
      <c r="B196" s="425"/>
      <c r="C196" s="426"/>
      <c r="D196" s="440"/>
      <c r="E196" s="440"/>
      <c r="F196" s="427"/>
      <c r="G196" s="428"/>
      <c r="H196" s="429">
        <f>G196*BRISES!$F196</f>
        <v>0</v>
      </c>
      <c r="I196" s="289"/>
      <c r="J196" s="442"/>
      <c r="K196" s="429"/>
      <c r="L196" s="285"/>
    </row>
    <row r="197" spans="1:12" ht="14.25" customHeight="1" x14ac:dyDescent="0.25">
      <c r="A197" s="284"/>
      <c r="B197" s="425"/>
      <c r="C197" s="426"/>
      <c r="D197" s="440"/>
      <c r="E197" s="440"/>
      <c r="F197" s="427"/>
      <c r="G197" s="428"/>
      <c r="H197" s="429">
        <f>G197*BRISES!$F197</f>
        <v>0</v>
      </c>
      <c r="I197" s="289"/>
      <c r="J197" s="442"/>
      <c r="K197" s="429"/>
      <c r="L197" s="285"/>
    </row>
    <row r="198" spans="1:12" ht="14.25" customHeight="1" x14ac:dyDescent="0.25">
      <c r="A198" s="284"/>
      <c r="B198" s="425"/>
      <c r="C198" s="426"/>
      <c r="D198" s="440"/>
      <c r="E198" s="440"/>
      <c r="F198" s="427"/>
      <c r="G198" s="428"/>
      <c r="H198" s="429">
        <f>G198*BRISES!$F198</f>
        <v>0</v>
      </c>
      <c r="I198" s="289"/>
      <c r="J198" s="442"/>
      <c r="K198" s="429"/>
      <c r="L198" s="285"/>
    </row>
    <row r="199" spans="1:12" ht="14.25" customHeight="1" x14ac:dyDescent="0.25">
      <c r="A199" s="284"/>
      <c r="B199" s="425"/>
      <c r="C199" s="426"/>
      <c r="D199" s="440"/>
      <c r="E199" s="440"/>
      <c r="F199" s="427"/>
      <c r="G199" s="428"/>
      <c r="H199" s="429">
        <f>G199*BRISES!$F199</f>
        <v>0</v>
      </c>
      <c r="I199" s="289"/>
      <c r="J199" s="442"/>
      <c r="K199" s="429"/>
      <c r="L199" s="285"/>
    </row>
    <row r="200" spans="1:12" ht="14.25" customHeight="1" x14ac:dyDescent="0.25">
      <c r="A200" s="284"/>
      <c r="B200" s="425"/>
      <c r="C200" s="426"/>
      <c r="D200" s="440"/>
      <c r="E200" s="440"/>
      <c r="F200" s="427"/>
      <c r="G200" s="428"/>
      <c r="H200" s="429">
        <f>G200*BRISES!$F200</f>
        <v>0</v>
      </c>
      <c r="I200" s="289"/>
      <c r="J200" s="442"/>
      <c r="K200" s="429"/>
      <c r="L200" s="285"/>
    </row>
    <row r="201" spans="1:12" ht="14.25" customHeight="1" x14ac:dyDescent="0.25">
      <c r="A201" s="284"/>
      <c r="B201" s="425"/>
      <c r="C201" s="426"/>
      <c r="D201" s="440"/>
      <c r="E201" s="440"/>
      <c r="F201" s="427"/>
      <c r="G201" s="428"/>
      <c r="H201" s="429">
        <f>G201*BRISES!$F201</f>
        <v>0</v>
      </c>
      <c r="I201" s="289"/>
      <c r="J201" s="442"/>
      <c r="K201" s="429"/>
      <c r="L201" s="285"/>
    </row>
    <row r="202" spans="1:12" ht="14.25" customHeight="1" x14ac:dyDescent="0.25">
      <c r="A202" s="284"/>
      <c r="B202" s="425"/>
      <c r="C202" s="426"/>
      <c r="D202" s="440"/>
      <c r="E202" s="440"/>
      <c r="F202" s="427"/>
      <c r="G202" s="428"/>
      <c r="H202" s="429">
        <f>G202*BRISES!$F202</f>
        <v>0</v>
      </c>
      <c r="I202" s="289"/>
      <c r="J202" s="442"/>
      <c r="K202" s="429"/>
      <c r="L202" s="285"/>
    </row>
    <row r="203" spans="1:12" ht="14.25" customHeight="1" x14ac:dyDescent="0.25">
      <c r="A203" s="284"/>
      <c r="B203" s="425"/>
      <c r="C203" s="426"/>
      <c r="D203" s="440"/>
      <c r="E203" s="440"/>
      <c r="F203" s="427"/>
      <c r="G203" s="428"/>
      <c r="H203" s="429">
        <f>G203*BRISES!$F203</f>
        <v>0</v>
      </c>
      <c r="I203" s="289"/>
      <c r="J203" s="442"/>
      <c r="K203" s="429"/>
      <c r="L203" s="285"/>
    </row>
    <row r="204" spans="1:12" ht="14.25" customHeight="1" x14ac:dyDescent="0.25">
      <c r="A204" s="284"/>
      <c r="B204" s="425"/>
      <c r="C204" s="426"/>
      <c r="D204" s="440"/>
      <c r="E204" s="440"/>
      <c r="F204" s="427"/>
      <c r="G204" s="428"/>
      <c r="H204" s="429">
        <f>G204*BRISES!$F204</f>
        <v>0</v>
      </c>
      <c r="I204" s="289"/>
      <c r="J204" s="442"/>
      <c r="K204" s="429"/>
      <c r="L204" s="285"/>
    </row>
    <row r="205" spans="1:12" ht="14.25" customHeight="1" x14ac:dyDescent="0.25">
      <c r="A205" s="284"/>
      <c r="B205" s="425"/>
      <c r="C205" s="426"/>
      <c r="D205" s="440"/>
      <c r="E205" s="440"/>
      <c r="F205" s="427"/>
      <c r="G205" s="428"/>
      <c r="H205" s="429">
        <f>G205*BRISES!$F205</f>
        <v>0</v>
      </c>
      <c r="I205" s="289"/>
      <c r="J205" s="442"/>
      <c r="K205" s="429"/>
      <c r="L205" s="285"/>
    </row>
    <row r="206" spans="1:12" ht="14.25" customHeight="1" x14ac:dyDescent="0.25">
      <c r="A206" s="284"/>
      <c r="B206" s="425"/>
      <c r="C206" s="426"/>
      <c r="D206" s="440"/>
      <c r="E206" s="440"/>
      <c r="F206" s="427"/>
      <c r="G206" s="428"/>
      <c r="H206" s="429">
        <f>G206*BRISES!$F206</f>
        <v>0</v>
      </c>
      <c r="I206" s="289"/>
      <c r="J206" s="442"/>
      <c r="K206" s="429"/>
      <c r="L206" s="285"/>
    </row>
    <row r="207" spans="1:12" ht="14.25" customHeight="1" x14ac:dyDescent="0.25">
      <c r="A207" s="284"/>
      <c r="B207" s="425"/>
      <c r="C207" s="426"/>
      <c r="D207" s="440"/>
      <c r="E207" s="440"/>
      <c r="F207" s="427"/>
      <c r="G207" s="428"/>
      <c r="H207" s="429">
        <f>G207*BRISES!$F207</f>
        <v>0</v>
      </c>
      <c r="I207" s="289"/>
      <c r="J207" s="442"/>
      <c r="K207" s="429"/>
      <c r="L207" s="285"/>
    </row>
    <row r="208" spans="1:12" ht="14.25" customHeight="1" x14ac:dyDescent="0.25">
      <c r="A208" s="284"/>
      <c r="B208" s="425"/>
      <c r="C208" s="426"/>
      <c r="D208" s="440"/>
      <c r="E208" s="440"/>
      <c r="F208" s="427"/>
      <c r="G208" s="428"/>
      <c r="H208" s="429">
        <f>G208*BRISES!$F208</f>
        <v>0</v>
      </c>
      <c r="I208" s="289"/>
      <c r="J208" s="442"/>
      <c r="K208" s="429"/>
      <c r="L208" s="285"/>
    </row>
    <row r="209" spans="1:12" ht="14.25" customHeight="1" x14ac:dyDescent="0.25">
      <c r="A209" s="284"/>
      <c r="B209" s="425"/>
      <c r="C209" s="426"/>
      <c r="D209" s="440"/>
      <c r="E209" s="440"/>
      <c r="F209" s="427"/>
      <c r="G209" s="428"/>
      <c r="H209" s="429">
        <f>G209*BRISES!$F209</f>
        <v>0</v>
      </c>
      <c r="I209" s="289"/>
      <c r="J209" s="442"/>
      <c r="K209" s="429"/>
      <c r="L209" s="285"/>
    </row>
    <row r="210" spans="1:12" ht="14.25" customHeight="1" x14ac:dyDescent="0.25">
      <c r="A210" s="284"/>
      <c r="B210" s="425"/>
      <c r="C210" s="426"/>
      <c r="D210" s="440"/>
      <c r="E210" s="440"/>
      <c r="F210" s="427"/>
      <c r="G210" s="428"/>
      <c r="H210" s="429">
        <f>G210*BRISES!$F210</f>
        <v>0</v>
      </c>
      <c r="I210" s="289"/>
      <c r="J210" s="442"/>
      <c r="K210" s="429"/>
      <c r="L210" s="285"/>
    </row>
    <row r="211" spans="1:12" ht="14.25" customHeight="1" x14ac:dyDescent="0.25">
      <c r="A211" s="284"/>
      <c r="B211" s="425"/>
      <c r="C211" s="426"/>
      <c r="D211" s="440"/>
      <c r="E211" s="440"/>
      <c r="F211" s="427"/>
      <c r="G211" s="428"/>
      <c r="H211" s="429">
        <f>G211*BRISES!$F211</f>
        <v>0</v>
      </c>
      <c r="I211" s="289"/>
      <c r="J211" s="442"/>
      <c r="K211" s="429"/>
      <c r="L211" s="285"/>
    </row>
    <row r="212" spans="1:12" ht="14.25" customHeight="1" x14ac:dyDescent="0.25">
      <c r="A212" s="284"/>
      <c r="B212" s="425"/>
      <c r="C212" s="426"/>
      <c r="D212" s="440"/>
      <c r="E212" s="440"/>
      <c r="F212" s="427"/>
      <c r="G212" s="428"/>
      <c r="H212" s="429">
        <f>G212*BRISES!$F212</f>
        <v>0</v>
      </c>
      <c r="I212" s="289"/>
      <c r="J212" s="442"/>
      <c r="K212" s="429"/>
      <c r="L212" s="285"/>
    </row>
    <row r="213" spans="1:12" ht="14.25" customHeight="1" x14ac:dyDescent="0.25">
      <c r="A213" s="284"/>
      <c r="B213" s="425"/>
      <c r="C213" s="426"/>
      <c r="D213" s="440"/>
      <c r="E213" s="440"/>
      <c r="F213" s="427"/>
      <c r="G213" s="428"/>
      <c r="H213" s="429">
        <f>G213*BRISES!$F213</f>
        <v>0</v>
      </c>
      <c r="I213" s="289"/>
      <c r="J213" s="442"/>
      <c r="K213" s="429"/>
      <c r="L213" s="285"/>
    </row>
    <row r="214" spans="1:12" ht="14.25" customHeight="1" x14ac:dyDescent="0.25">
      <c r="A214" s="284"/>
      <c r="B214" s="425"/>
      <c r="C214" s="426"/>
      <c r="D214" s="440"/>
      <c r="E214" s="440"/>
      <c r="F214" s="427"/>
      <c r="G214" s="428"/>
      <c r="H214" s="429">
        <f>G214*BRISES!$F214</f>
        <v>0</v>
      </c>
      <c r="I214" s="289"/>
      <c r="J214" s="442"/>
      <c r="K214" s="429"/>
      <c r="L214" s="285"/>
    </row>
    <row r="215" spans="1:12" ht="14.25" customHeight="1" x14ac:dyDescent="0.25">
      <c r="A215" s="284"/>
      <c r="B215" s="425"/>
      <c r="C215" s="426"/>
      <c r="D215" s="440"/>
      <c r="E215" s="440"/>
      <c r="F215" s="427"/>
      <c r="G215" s="428"/>
      <c r="H215" s="429">
        <f>G215*BRISES!$F215</f>
        <v>0</v>
      </c>
      <c r="I215" s="289"/>
      <c r="J215" s="442"/>
      <c r="K215" s="429"/>
      <c r="L215" s="285"/>
    </row>
    <row r="216" spans="1:12" ht="14.25" customHeight="1" x14ac:dyDescent="0.25">
      <c r="A216" s="284"/>
      <c r="B216" s="425"/>
      <c r="C216" s="426"/>
      <c r="D216" s="440"/>
      <c r="E216" s="440"/>
      <c r="F216" s="427"/>
      <c r="G216" s="428"/>
      <c r="H216" s="429">
        <f>G216*BRISES!$F216</f>
        <v>0</v>
      </c>
      <c r="I216" s="289"/>
      <c r="J216" s="442"/>
      <c r="K216" s="429"/>
      <c r="L216" s="285"/>
    </row>
    <row r="217" spans="1:12" ht="14.25" customHeight="1" x14ac:dyDescent="0.25">
      <c r="A217" s="284"/>
      <c r="B217" s="425"/>
      <c r="C217" s="426"/>
      <c r="D217" s="440"/>
      <c r="E217" s="440"/>
      <c r="F217" s="427"/>
      <c r="G217" s="428"/>
      <c r="H217" s="429">
        <f>G217*BRISES!$F217</f>
        <v>0</v>
      </c>
      <c r="I217" s="289"/>
      <c r="J217" s="442"/>
      <c r="K217" s="429"/>
      <c r="L217" s="285"/>
    </row>
    <row r="218" spans="1:12" ht="14.25" customHeight="1" x14ac:dyDescent="0.25">
      <c r="A218" s="284"/>
      <c r="B218" s="425"/>
      <c r="C218" s="426"/>
      <c r="D218" s="440"/>
      <c r="E218" s="440"/>
      <c r="F218" s="427"/>
      <c r="G218" s="428"/>
      <c r="H218" s="429">
        <f>G218*BRISES!$F218</f>
        <v>0</v>
      </c>
      <c r="I218" s="289"/>
      <c r="J218" s="442"/>
      <c r="K218" s="429"/>
      <c r="L218" s="285"/>
    </row>
    <row r="219" spans="1:12" ht="14.25" customHeight="1" x14ac:dyDescent="0.25">
      <c r="A219" s="284"/>
      <c r="B219" s="425"/>
      <c r="C219" s="426"/>
      <c r="D219" s="440"/>
      <c r="E219" s="440"/>
      <c r="F219" s="427"/>
      <c r="G219" s="428"/>
      <c r="H219" s="429">
        <f>G219*BRISES!$F219</f>
        <v>0</v>
      </c>
      <c r="I219" s="289"/>
      <c r="J219" s="442"/>
      <c r="K219" s="429"/>
      <c r="L219" s="285"/>
    </row>
    <row r="220" spans="1:12" ht="14.25" customHeight="1" x14ac:dyDescent="0.25">
      <c r="A220" s="284"/>
      <c r="B220" s="432"/>
      <c r="C220" s="433"/>
      <c r="D220" s="443"/>
      <c r="E220" s="443"/>
      <c r="F220" s="434"/>
      <c r="G220" s="428"/>
      <c r="H220" s="429">
        <f>G220*BRISES!$F220</f>
        <v>0</v>
      </c>
      <c r="I220" s="289"/>
      <c r="J220" s="442"/>
      <c r="K220" s="429"/>
      <c r="L220" s="285"/>
    </row>
    <row r="221" spans="1:12" ht="14.25" customHeight="1" x14ac:dyDescent="0.25">
      <c r="A221" s="284"/>
      <c r="B221" s="305"/>
      <c r="C221" s="305"/>
      <c r="D221" s="251"/>
      <c r="E221" s="251"/>
      <c r="F221" s="251"/>
      <c r="G221" s="251"/>
      <c r="H221" s="251"/>
      <c r="I221" s="289"/>
      <c r="J221" s="305"/>
      <c r="K221" s="251"/>
      <c r="L221" s="285"/>
    </row>
    <row r="222" spans="1:12" ht="14.25" customHeight="1" x14ac:dyDescent="0.25">
      <c r="A222" s="284"/>
      <c r="B222" s="305"/>
      <c r="C222" s="305"/>
      <c r="D222" s="251"/>
      <c r="E222" s="251"/>
      <c r="F222" s="251"/>
      <c r="G222" s="251"/>
      <c r="H222" s="251"/>
      <c r="I222" s="289"/>
      <c r="J222" s="305"/>
      <c r="K222" s="251"/>
      <c r="L222" s="285"/>
    </row>
    <row r="223" spans="1:12" ht="14.25" customHeight="1" x14ac:dyDescent="0.25">
      <c r="A223" s="284"/>
      <c r="B223" s="305"/>
      <c r="C223" s="305"/>
      <c r="D223" s="251"/>
      <c r="E223" s="251"/>
      <c r="F223" s="251"/>
      <c r="G223" s="251"/>
      <c r="H223" s="251"/>
      <c r="I223" s="289"/>
      <c r="J223" s="305"/>
      <c r="K223" s="251"/>
      <c r="L223" s="285"/>
    </row>
    <row r="224" spans="1:12" ht="14.25" customHeight="1" thickBot="1" x14ac:dyDescent="0.3">
      <c r="A224" s="297"/>
      <c r="B224" s="449"/>
      <c r="C224" s="449"/>
      <c r="D224" s="450"/>
      <c r="E224" s="450"/>
      <c r="F224" s="450"/>
      <c r="G224" s="450"/>
      <c r="H224" s="450"/>
      <c r="I224" s="298"/>
      <c r="J224" s="449"/>
      <c r="K224" s="450"/>
      <c r="L224" s="299"/>
    </row>
    <row r="225" spans="1:12" ht="14.25" customHeight="1" x14ac:dyDescent="0.25">
      <c r="A225" s="289"/>
      <c r="D225" s="251"/>
      <c r="E225" s="251"/>
      <c r="F225" s="251"/>
      <c r="G225" s="251"/>
      <c r="H225" s="251"/>
      <c r="I225" s="289"/>
      <c r="K225" s="251"/>
      <c r="L225" s="289"/>
    </row>
    <row r="226" spans="1:12" ht="14.25" customHeight="1" x14ac:dyDescent="0.25">
      <c r="A226" s="289"/>
      <c r="D226" s="251"/>
      <c r="E226" s="251"/>
      <c r="F226" s="251"/>
      <c r="G226" s="251"/>
      <c r="H226" s="251"/>
      <c r="I226" s="289"/>
      <c r="K226" s="251"/>
      <c r="L226" s="289"/>
    </row>
    <row r="227" spans="1:12" ht="14.25" customHeight="1" x14ac:dyDescent="0.25">
      <c r="A227" s="289"/>
      <c r="D227" s="251"/>
      <c r="E227" s="251"/>
      <c r="F227" s="251"/>
      <c r="G227" s="251"/>
      <c r="H227" s="251"/>
      <c r="I227" s="289"/>
      <c r="K227" s="251"/>
      <c r="L227" s="289"/>
    </row>
    <row r="228" spans="1:12" ht="14.25" customHeight="1" x14ac:dyDescent="0.25">
      <c r="A228" s="289"/>
      <c r="D228" s="251"/>
      <c r="E228" s="251"/>
      <c r="F228" s="251"/>
      <c r="G228" s="251"/>
      <c r="H228" s="251"/>
      <c r="I228" s="289"/>
      <c r="K228" s="251"/>
      <c r="L228" s="289"/>
    </row>
    <row r="229" spans="1:12" ht="14.25" customHeight="1" x14ac:dyDescent="0.25">
      <c r="A229" s="289"/>
      <c r="D229" s="251"/>
      <c r="E229" s="251"/>
      <c r="F229" s="251"/>
      <c r="G229" s="251"/>
      <c r="H229" s="251"/>
      <c r="I229" s="289"/>
      <c r="K229" s="251"/>
      <c r="L229" s="289"/>
    </row>
    <row r="230" spans="1:12" ht="14.25" customHeight="1" x14ac:dyDescent="0.25">
      <c r="A230" s="289"/>
      <c r="D230" s="251"/>
      <c r="E230" s="251"/>
      <c r="F230" s="251"/>
      <c r="G230" s="251"/>
      <c r="H230" s="251"/>
      <c r="I230" s="289"/>
      <c r="K230" s="251"/>
      <c r="L230" s="289"/>
    </row>
    <row r="231" spans="1:12" ht="14.25" customHeight="1" x14ac:dyDescent="0.25">
      <c r="A231" s="289"/>
      <c r="D231" s="251"/>
      <c r="E231" s="251"/>
      <c r="F231" s="251"/>
      <c r="G231" s="251"/>
      <c r="H231" s="251"/>
      <c r="I231" s="289"/>
      <c r="K231" s="251"/>
      <c r="L231" s="289"/>
    </row>
    <row r="232" spans="1:12" ht="14.25" customHeight="1" x14ac:dyDescent="0.25">
      <c r="A232" s="289"/>
      <c r="D232" s="251"/>
      <c r="E232" s="251"/>
      <c r="F232" s="251"/>
      <c r="G232" s="251"/>
      <c r="H232" s="251"/>
      <c r="I232" s="289"/>
      <c r="K232" s="251"/>
      <c r="L232" s="289"/>
    </row>
    <row r="233" spans="1:12" ht="14.25" customHeight="1" x14ac:dyDescent="0.25">
      <c r="A233" s="289"/>
      <c r="D233" s="251"/>
      <c r="E233" s="251"/>
      <c r="F233" s="251"/>
      <c r="G233" s="251"/>
      <c r="H233" s="251"/>
      <c r="I233" s="289"/>
      <c r="K233" s="251"/>
      <c r="L233" s="289"/>
    </row>
    <row r="234" spans="1:12" ht="14.25" customHeight="1" x14ac:dyDescent="0.25">
      <c r="A234" s="289"/>
      <c r="D234" s="251"/>
      <c r="E234" s="251"/>
      <c r="F234" s="251"/>
      <c r="G234" s="251"/>
      <c r="H234" s="251"/>
      <c r="I234" s="289"/>
      <c r="K234" s="251"/>
      <c r="L234" s="289"/>
    </row>
    <row r="235" spans="1:12" ht="14.25" customHeight="1" x14ac:dyDescent="0.25">
      <c r="A235" s="289"/>
      <c r="D235" s="251"/>
      <c r="E235" s="251"/>
      <c r="F235" s="251"/>
      <c r="G235" s="251"/>
      <c r="H235" s="251"/>
      <c r="I235" s="289"/>
      <c r="K235" s="251"/>
      <c r="L235" s="289"/>
    </row>
    <row r="236" spans="1:12" ht="14.25" customHeight="1" x14ac:dyDescent="0.25">
      <c r="A236" s="289"/>
      <c r="D236" s="251"/>
      <c r="E236" s="251"/>
      <c r="F236" s="251"/>
      <c r="G236" s="251"/>
      <c r="H236" s="251"/>
      <c r="I236" s="289"/>
      <c r="K236" s="251"/>
      <c r="L236" s="289"/>
    </row>
    <row r="237" spans="1:12" ht="14.25" customHeight="1" x14ac:dyDescent="0.25">
      <c r="A237" s="289"/>
      <c r="D237" s="251"/>
      <c r="E237" s="251"/>
      <c r="F237" s="251"/>
      <c r="G237" s="251"/>
      <c r="H237" s="251"/>
      <c r="I237" s="289"/>
      <c r="K237" s="251"/>
      <c r="L237" s="289"/>
    </row>
    <row r="238" spans="1:12" ht="14.25" customHeight="1" x14ac:dyDescent="0.25">
      <c r="A238" s="289"/>
      <c r="D238" s="251"/>
      <c r="E238" s="251"/>
      <c r="F238" s="251"/>
      <c r="G238" s="251"/>
      <c r="H238" s="251"/>
      <c r="I238" s="289"/>
      <c r="K238" s="251"/>
      <c r="L238" s="289"/>
    </row>
    <row r="239" spans="1:12" ht="14.25" customHeight="1" x14ac:dyDescent="0.25">
      <c r="A239" s="289"/>
      <c r="D239" s="251"/>
      <c r="E239" s="251"/>
      <c r="F239" s="251"/>
      <c r="G239" s="251"/>
      <c r="H239" s="251"/>
      <c r="I239" s="289"/>
      <c r="K239" s="251"/>
      <c r="L239" s="289"/>
    </row>
    <row r="240" spans="1:12" ht="14.25" customHeight="1" x14ac:dyDescent="0.25">
      <c r="A240" s="289"/>
      <c r="D240" s="251"/>
      <c r="E240" s="251"/>
      <c r="F240" s="251"/>
      <c r="G240" s="251"/>
      <c r="H240" s="251"/>
      <c r="I240" s="289"/>
      <c r="K240" s="251"/>
      <c r="L240" s="289"/>
    </row>
    <row r="241" spans="1:12" ht="14.25" customHeight="1" x14ac:dyDescent="0.25">
      <c r="A241" s="289"/>
      <c r="D241" s="251"/>
      <c r="E241" s="251"/>
      <c r="F241" s="251"/>
      <c r="G241" s="251"/>
      <c r="H241" s="251"/>
      <c r="I241" s="289"/>
      <c r="K241" s="251"/>
      <c r="L241" s="289"/>
    </row>
    <row r="242" spans="1:12" ht="14.25" customHeight="1" x14ac:dyDescent="0.25">
      <c r="A242" s="289"/>
      <c r="D242" s="251"/>
      <c r="E242" s="251"/>
      <c r="F242" s="251"/>
      <c r="G242" s="251"/>
      <c r="H242" s="251"/>
      <c r="I242" s="289"/>
      <c r="K242" s="251"/>
      <c r="L242" s="289"/>
    </row>
    <row r="243" spans="1:12" ht="14.25" customHeight="1" x14ac:dyDescent="0.25">
      <c r="A243" s="289"/>
      <c r="D243" s="251"/>
      <c r="E243" s="251"/>
      <c r="F243" s="251"/>
      <c r="G243" s="251"/>
      <c r="H243" s="251"/>
      <c r="I243" s="289"/>
      <c r="K243" s="251"/>
      <c r="L243" s="289"/>
    </row>
    <row r="244" spans="1:12" ht="14.25" customHeight="1" x14ac:dyDescent="0.25">
      <c r="A244" s="289"/>
      <c r="D244" s="251"/>
      <c r="E244" s="251"/>
      <c r="F244" s="251"/>
      <c r="G244" s="251"/>
      <c r="H244" s="251"/>
      <c r="I244" s="289"/>
      <c r="K244" s="251"/>
      <c r="L244" s="289"/>
    </row>
    <row r="245" spans="1:12" ht="14.25" customHeight="1" x14ac:dyDescent="0.25">
      <c r="A245" s="289"/>
      <c r="D245" s="251"/>
      <c r="E245" s="251"/>
      <c r="F245" s="251"/>
      <c r="G245" s="251"/>
      <c r="H245" s="251"/>
      <c r="I245" s="289"/>
      <c r="K245" s="251"/>
      <c r="L245" s="289"/>
    </row>
    <row r="246" spans="1:12" ht="14.25" customHeight="1" x14ac:dyDescent="0.25">
      <c r="A246" s="289"/>
      <c r="D246" s="251"/>
      <c r="E246" s="251"/>
      <c r="F246" s="251"/>
      <c r="G246" s="251"/>
      <c r="H246" s="251"/>
      <c r="I246" s="289"/>
      <c r="K246" s="251"/>
      <c r="L246" s="289"/>
    </row>
    <row r="247" spans="1:12" ht="14.25" customHeight="1" x14ac:dyDescent="0.25">
      <c r="A247" s="289"/>
      <c r="D247" s="251"/>
      <c r="E247" s="251"/>
      <c r="F247" s="251"/>
      <c r="G247" s="251"/>
      <c r="H247" s="251"/>
      <c r="I247" s="289"/>
      <c r="K247" s="251"/>
      <c r="L247" s="289"/>
    </row>
    <row r="248" spans="1:12" ht="14.25" customHeight="1" x14ac:dyDescent="0.25">
      <c r="A248" s="289"/>
      <c r="D248" s="251"/>
      <c r="E248" s="251"/>
      <c r="F248" s="251"/>
      <c r="G248" s="251"/>
      <c r="H248" s="251"/>
      <c r="I248" s="289"/>
      <c r="K248" s="251"/>
      <c r="L248" s="289"/>
    </row>
    <row r="249" spans="1:12" ht="14.25" customHeight="1" x14ac:dyDescent="0.25">
      <c r="A249" s="289"/>
      <c r="D249" s="251"/>
      <c r="E249" s="251"/>
      <c r="F249" s="251"/>
      <c r="G249" s="251"/>
      <c r="H249" s="251"/>
      <c r="I249" s="289"/>
      <c r="K249" s="251"/>
      <c r="L249" s="289"/>
    </row>
    <row r="250" spans="1:12" ht="14.25" customHeight="1" x14ac:dyDescent="0.25">
      <c r="A250" s="289"/>
      <c r="D250" s="251"/>
      <c r="E250" s="251"/>
      <c r="F250" s="251"/>
      <c r="G250" s="251"/>
      <c r="H250" s="251"/>
      <c r="I250" s="289"/>
      <c r="K250" s="251"/>
      <c r="L250" s="289"/>
    </row>
    <row r="251" spans="1:12" ht="14.25" customHeight="1" x14ac:dyDescent="0.25">
      <c r="A251" s="289"/>
      <c r="D251" s="251"/>
      <c r="E251" s="251"/>
      <c r="F251" s="251"/>
      <c r="G251" s="251"/>
      <c r="H251" s="251"/>
      <c r="I251" s="289"/>
      <c r="K251" s="251"/>
      <c r="L251" s="289"/>
    </row>
    <row r="252" spans="1:12" ht="14.25" customHeight="1" x14ac:dyDescent="0.25">
      <c r="A252" s="289"/>
      <c r="D252" s="251"/>
      <c r="E252" s="251"/>
      <c r="F252" s="251"/>
      <c r="G252" s="251"/>
      <c r="H252" s="251"/>
      <c r="I252" s="289"/>
      <c r="K252" s="251"/>
      <c r="L252" s="289"/>
    </row>
    <row r="253" spans="1:12" ht="14.25" customHeight="1" x14ac:dyDescent="0.25">
      <c r="A253" s="289"/>
      <c r="D253" s="251"/>
      <c r="E253" s="251"/>
      <c r="F253" s="251"/>
      <c r="G253" s="251"/>
      <c r="H253" s="251"/>
      <c r="I253" s="289"/>
      <c r="K253" s="251"/>
      <c r="L253" s="289"/>
    </row>
    <row r="254" spans="1:12" ht="14.25" customHeight="1" x14ac:dyDescent="0.25">
      <c r="A254" s="289"/>
      <c r="D254" s="251"/>
      <c r="E254" s="251"/>
      <c r="F254" s="251"/>
      <c r="G254" s="251"/>
      <c r="H254" s="251"/>
      <c r="I254" s="289"/>
      <c r="K254" s="251"/>
      <c r="L254" s="289"/>
    </row>
    <row r="255" spans="1:12" ht="14.25" customHeight="1" x14ac:dyDescent="0.25">
      <c r="A255" s="289"/>
      <c r="D255" s="251"/>
      <c r="E255" s="251"/>
      <c r="F255" s="251"/>
      <c r="G255" s="251"/>
      <c r="H255" s="251"/>
      <c r="I255" s="289"/>
      <c r="K255" s="251"/>
      <c r="L255" s="289"/>
    </row>
    <row r="256" spans="1:12" ht="14.25" customHeight="1" x14ac:dyDescent="0.25">
      <c r="A256" s="289"/>
      <c r="D256" s="251"/>
      <c r="E256" s="251"/>
      <c r="F256" s="251"/>
      <c r="G256" s="251"/>
      <c r="H256" s="251"/>
      <c r="I256" s="289"/>
      <c r="K256" s="251"/>
      <c r="L256" s="289"/>
    </row>
    <row r="257" spans="1:12" ht="14.25" customHeight="1" x14ac:dyDescent="0.25">
      <c r="A257" s="289"/>
      <c r="D257" s="251"/>
      <c r="E257" s="251"/>
      <c r="F257" s="251"/>
      <c r="G257" s="251"/>
      <c r="H257" s="251"/>
      <c r="I257" s="289"/>
      <c r="K257" s="251"/>
      <c r="L257" s="289"/>
    </row>
    <row r="258" spans="1:12" ht="14.25" customHeight="1" x14ac:dyDescent="0.25">
      <c r="A258" s="289"/>
      <c r="D258" s="251"/>
      <c r="E258" s="251"/>
      <c r="F258" s="251"/>
      <c r="G258" s="251"/>
      <c r="H258" s="251"/>
      <c r="I258" s="289"/>
      <c r="K258" s="251"/>
      <c r="L258" s="289"/>
    </row>
    <row r="259" spans="1:12" ht="14.25" customHeight="1" x14ac:dyDescent="0.25">
      <c r="A259" s="289"/>
      <c r="D259" s="251"/>
      <c r="E259" s="251"/>
      <c r="F259" s="251"/>
      <c r="G259" s="251"/>
      <c r="H259" s="251"/>
      <c r="I259" s="289"/>
      <c r="K259" s="251"/>
      <c r="L259" s="289"/>
    </row>
    <row r="260" spans="1:12" ht="14.25" customHeight="1" x14ac:dyDescent="0.25">
      <c r="A260" s="289"/>
      <c r="D260" s="251"/>
      <c r="E260" s="251"/>
      <c r="F260" s="251"/>
      <c r="G260" s="251"/>
      <c r="H260" s="251"/>
      <c r="I260" s="289"/>
      <c r="K260" s="251"/>
      <c r="L260" s="289"/>
    </row>
    <row r="261" spans="1:12" ht="14.25" customHeight="1" x14ac:dyDescent="0.25">
      <c r="A261" s="289"/>
      <c r="D261" s="251"/>
      <c r="E261" s="251"/>
      <c r="F261" s="251"/>
      <c r="G261" s="251"/>
      <c r="H261" s="251"/>
      <c r="I261" s="289"/>
      <c r="K261" s="251"/>
      <c r="L261" s="289"/>
    </row>
    <row r="262" spans="1:12" ht="14.25" customHeight="1" x14ac:dyDescent="0.25">
      <c r="A262" s="289"/>
      <c r="D262" s="251"/>
      <c r="E262" s="251"/>
      <c r="F262" s="251"/>
      <c r="G262" s="251"/>
      <c r="H262" s="251"/>
      <c r="I262" s="289"/>
      <c r="K262" s="251"/>
      <c r="L262" s="289"/>
    </row>
    <row r="263" spans="1:12" ht="14.25" customHeight="1" x14ac:dyDescent="0.25">
      <c r="A263" s="289"/>
      <c r="D263" s="251"/>
      <c r="E263" s="251"/>
      <c r="F263" s="251"/>
      <c r="G263" s="251"/>
      <c r="H263" s="251"/>
      <c r="I263" s="289"/>
      <c r="K263" s="251"/>
      <c r="L263" s="289"/>
    </row>
    <row r="264" spans="1:12" ht="14.25" customHeight="1" x14ac:dyDescent="0.25">
      <c r="A264" s="289"/>
      <c r="D264" s="251"/>
      <c r="E264" s="251"/>
      <c r="F264" s="251"/>
      <c r="G264" s="251"/>
      <c r="H264" s="251"/>
      <c r="I264" s="289"/>
      <c r="K264" s="251"/>
      <c r="L264" s="289"/>
    </row>
    <row r="265" spans="1:12" ht="14.25" customHeight="1" x14ac:dyDescent="0.25">
      <c r="A265" s="289"/>
      <c r="D265" s="251"/>
      <c r="E265" s="251"/>
      <c r="F265" s="251"/>
      <c r="G265" s="251"/>
      <c r="H265" s="251"/>
      <c r="I265" s="289"/>
      <c r="K265" s="251"/>
      <c r="L265" s="289"/>
    </row>
    <row r="266" spans="1:12" ht="14.25" customHeight="1" x14ac:dyDescent="0.25">
      <c r="A266" s="289"/>
      <c r="D266" s="251"/>
      <c r="E266" s="251"/>
      <c r="F266" s="251"/>
      <c r="G266" s="251"/>
      <c r="H266" s="251"/>
      <c r="I266" s="289"/>
      <c r="K266" s="251"/>
      <c r="L266" s="289"/>
    </row>
    <row r="267" spans="1:12" ht="14.25" customHeight="1" x14ac:dyDescent="0.25">
      <c r="A267" s="289"/>
      <c r="D267" s="251"/>
      <c r="E267" s="251"/>
      <c r="F267" s="251"/>
      <c r="G267" s="251"/>
      <c r="H267" s="251"/>
      <c r="I267" s="289"/>
      <c r="K267" s="251"/>
      <c r="L267" s="289"/>
    </row>
    <row r="268" spans="1:12" ht="14.25" customHeight="1" x14ac:dyDescent="0.25">
      <c r="A268" s="289"/>
      <c r="D268" s="251"/>
      <c r="E268" s="251"/>
      <c r="F268" s="251"/>
      <c r="G268" s="251"/>
      <c r="H268" s="251"/>
      <c r="I268" s="289"/>
      <c r="K268" s="251"/>
      <c r="L268" s="289"/>
    </row>
    <row r="269" spans="1:12" ht="14.25" customHeight="1" x14ac:dyDescent="0.25">
      <c r="A269" s="289"/>
      <c r="D269" s="251"/>
      <c r="E269" s="251"/>
      <c r="F269" s="251"/>
      <c r="G269" s="251"/>
      <c r="H269" s="251"/>
      <c r="I269" s="289"/>
      <c r="K269" s="251"/>
      <c r="L269" s="289"/>
    </row>
    <row r="270" spans="1:12" ht="14.25" customHeight="1" x14ac:dyDescent="0.25">
      <c r="A270" s="289"/>
      <c r="D270" s="251"/>
      <c r="E270" s="251"/>
      <c r="F270" s="251"/>
      <c r="G270" s="251"/>
      <c r="H270" s="251"/>
      <c r="I270" s="289"/>
      <c r="K270" s="251"/>
      <c r="L270" s="289"/>
    </row>
    <row r="271" spans="1:12" ht="14.25" customHeight="1" x14ac:dyDescent="0.25">
      <c r="A271" s="289"/>
      <c r="D271" s="251"/>
      <c r="E271" s="251"/>
      <c r="F271" s="251"/>
      <c r="G271" s="251"/>
      <c r="H271" s="251"/>
      <c r="I271" s="289"/>
      <c r="K271" s="251"/>
      <c r="L271" s="289"/>
    </row>
    <row r="272" spans="1:12" ht="14.25" customHeight="1" x14ac:dyDescent="0.25">
      <c r="A272" s="289"/>
      <c r="D272" s="251"/>
      <c r="E272" s="251"/>
      <c r="F272" s="251"/>
      <c r="G272" s="251"/>
      <c r="H272" s="251"/>
      <c r="I272" s="289"/>
      <c r="K272" s="251"/>
      <c r="L272" s="289"/>
    </row>
    <row r="273" spans="1:12" ht="14.25" customHeight="1" x14ac:dyDescent="0.25">
      <c r="A273" s="289"/>
      <c r="D273" s="251"/>
      <c r="E273" s="251"/>
      <c r="F273" s="251"/>
      <c r="G273" s="251"/>
      <c r="H273" s="251"/>
      <c r="I273" s="289"/>
      <c r="K273" s="251"/>
      <c r="L273" s="289"/>
    </row>
    <row r="274" spans="1:12" ht="14.25" customHeight="1" x14ac:dyDescent="0.25">
      <c r="A274" s="289"/>
      <c r="D274" s="251"/>
      <c r="E274" s="251"/>
      <c r="F274" s="251"/>
      <c r="G274" s="251"/>
      <c r="H274" s="251"/>
      <c r="I274" s="289"/>
      <c r="K274" s="251"/>
      <c r="L274" s="289"/>
    </row>
    <row r="275" spans="1:12" ht="14.25" customHeight="1" x14ac:dyDescent="0.25">
      <c r="A275" s="289"/>
      <c r="D275" s="251"/>
      <c r="E275" s="251"/>
      <c r="F275" s="251"/>
      <c r="G275" s="251"/>
      <c r="H275" s="251"/>
      <c r="I275" s="289"/>
      <c r="K275" s="251"/>
      <c r="L275" s="289"/>
    </row>
    <row r="276" spans="1:12" ht="14.25" customHeight="1" x14ac:dyDescent="0.25">
      <c r="A276" s="289"/>
      <c r="D276" s="251"/>
      <c r="E276" s="251"/>
      <c r="F276" s="251"/>
      <c r="G276" s="251"/>
      <c r="H276" s="251"/>
      <c r="I276" s="289"/>
      <c r="K276" s="251"/>
      <c r="L276" s="289"/>
    </row>
    <row r="277" spans="1:12" ht="14.25" customHeight="1" x14ac:dyDescent="0.25">
      <c r="A277" s="289"/>
      <c r="D277" s="251"/>
      <c r="E277" s="251"/>
      <c r="F277" s="251"/>
      <c r="G277" s="251"/>
      <c r="H277" s="251"/>
      <c r="I277" s="289"/>
      <c r="K277" s="251"/>
      <c r="L277" s="289"/>
    </row>
    <row r="278" spans="1:12" ht="14.25" customHeight="1" x14ac:dyDescent="0.25">
      <c r="A278" s="289"/>
      <c r="D278" s="251"/>
      <c r="E278" s="251"/>
      <c r="F278" s="251"/>
      <c r="G278" s="251"/>
      <c r="H278" s="251"/>
      <c r="I278" s="289"/>
      <c r="K278" s="251"/>
      <c r="L278" s="289"/>
    </row>
    <row r="279" spans="1:12" ht="14.25" customHeight="1" x14ac:dyDescent="0.25">
      <c r="A279" s="289"/>
      <c r="D279" s="251"/>
      <c r="E279" s="251"/>
      <c r="F279" s="251"/>
      <c r="G279" s="251"/>
      <c r="H279" s="251"/>
      <c r="I279" s="289"/>
      <c r="K279" s="251"/>
      <c r="L279" s="289"/>
    </row>
    <row r="280" spans="1:12" ht="14.25" customHeight="1" x14ac:dyDescent="0.25">
      <c r="A280" s="289"/>
      <c r="D280" s="251"/>
      <c r="E280" s="251"/>
      <c r="F280" s="251"/>
      <c r="G280" s="251"/>
      <c r="H280" s="251"/>
      <c r="I280" s="289"/>
      <c r="K280" s="251"/>
      <c r="L280" s="289"/>
    </row>
    <row r="281" spans="1:12" ht="14.25" customHeight="1" x14ac:dyDescent="0.25">
      <c r="A281" s="289"/>
      <c r="D281" s="251"/>
      <c r="E281" s="251"/>
      <c r="F281" s="251"/>
      <c r="G281" s="251"/>
      <c r="H281" s="251"/>
      <c r="I281" s="289"/>
      <c r="K281" s="251"/>
      <c r="L281" s="289"/>
    </row>
    <row r="282" spans="1:12" ht="14.25" customHeight="1" x14ac:dyDescent="0.25">
      <c r="A282" s="289"/>
      <c r="D282" s="251"/>
      <c r="E282" s="251"/>
      <c r="F282" s="251"/>
      <c r="G282" s="251"/>
      <c r="H282" s="251"/>
      <c r="I282" s="289"/>
      <c r="K282" s="251"/>
      <c r="L282" s="289"/>
    </row>
    <row r="283" spans="1:12" ht="14.25" customHeight="1" x14ac:dyDescent="0.25">
      <c r="A283" s="289"/>
      <c r="D283" s="251"/>
      <c r="E283" s="251"/>
      <c r="F283" s="251"/>
      <c r="G283" s="251"/>
      <c r="H283" s="251"/>
      <c r="I283" s="289"/>
      <c r="K283" s="251"/>
      <c r="L283" s="289"/>
    </row>
    <row r="284" spans="1:12" ht="14.25" customHeight="1" x14ac:dyDescent="0.25">
      <c r="A284" s="289"/>
      <c r="D284" s="251"/>
      <c r="E284" s="251"/>
      <c r="F284" s="251"/>
      <c r="G284" s="251"/>
      <c r="H284" s="251"/>
      <c r="I284" s="289"/>
      <c r="K284" s="251"/>
      <c r="L284" s="289"/>
    </row>
    <row r="285" spans="1:12" ht="14.25" customHeight="1" x14ac:dyDescent="0.25">
      <c r="A285" s="289"/>
      <c r="D285" s="251"/>
      <c r="E285" s="251"/>
      <c r="F285" s="251"/>
      <c r="G285" s="251"/>
      <c r="H285" s="251"/>
      <c r="I285" s="289"/>
      <c r="K285" s="251"/>
      <c r="L285" s="289"/>
    </row>
    <row r="286" spans="1:12" ht="14.25" customHeight="1" x14ac:dyDescent="0.25">
      <c r="A286" s="289"/>
      <c r="D286" s="251"/>
      <c r="E286" s="251"/>
      <c r="F286" s="251"/>
      <c r="G286" s="251"/>
      <c r="H286" s="251"/>
      <c r="I286" s="289"/>
      <c r="K286" s="251"/>
      <c r="L286" s="289"/>
    </row>
    <row r="287" spans="1:12" ht="14.25" customHeight="1" x14ac:dyDescent="0.25">
      <c r="A287" s="289"/>
      <c r="D287" s="251"/>
      <c r="E287" s="251"/>
      <c r="F287" s="251"/>
      <c r="G287" s="251"/>
      <c r="H287" s="251"/>
      <c r="I287" s="289"/>
      <c r="K287" s="251"/>
      <c r="L287" s="289"/>
    </row>
    <row r="288" spans="1:12" ht="14.25" customHeight="1" x14ac:dyDescent="0.25">
      <c r="A288" s="289"/>
      <c r="D288" s="251"/>
      <c r="E288" s="251"/>
      <c r="F288" s="251"/>
      <c r="G288" s="251"/>
      <c r="H288" s="251"/>
      <c r="I288" s="289"/>
      <c r="K288" s="251"/>
      <c r="L288" s="289"/>
    </row>
    <row r="289" spans="1:12" ht="14.25" customHeight="1" x14ac:dyDescent="0.25">
      <c r="A289" s="289"/>
      <c r="D289" s="251"/>
      <c r="E289" s="251"/>
      <c r="F289" s="251"/>
      <c r="G289" s="251"/>
      <c r="H289" s="251"/>
      <c r="I289" s="289"/>
      <c r="K289" s="251"/>
      <c r="L289" s="289"/>
    </row>
    <row r="290" spans="1:12" ht="14.25" customHeight="1" x14ac:dyDescent="0.25">
      <c r="A290" s="289"/>
      <c r="D290" s="251"/>
      <c r="E290" s="251"/>
      <c r="F290" s="251"/>
      <c r="G290" s="251"/>
      <c r="H290" s="251"/>
      <c r="I290" s="289"/>
      <c r="K290" s="251"/>
      <c r="L290" s="289"/>
    </row>
    <row r="291" spans="1:12" ht="14.25" customHeight="1" x14ac:dyDescent="0.25">
      <c r="A291" s="289"/>
      <c r="D291" s="251"/>
      <c r="E291" s="251"/>
      <c r="F291" s="251"/>
      <c r="G291" s="251"/>
      <c r="H291" s="251"/>
      <c r="I291" s="289"/>
      <c r="K291" s="251"/>
      <c r="L291" s="289"/>
    </row>
    <row r="292" spans="1:12" ht="14.25" customHeight="1" x14ac:dyDescent="0.25">
      <c r="A292" s="289"/>
      <c r="D292" s="251"/>
      <c r="E292" s="251"/>
      <c r="F292" s="251"/>
      <c r="G292" s="251"/>
      <c r="H292" s="251"/>
      <c r="I292" s="289"/>
      <c r="K292" s="251"/>
      <c r="L292" s="289"/>
    </row>
    <row r="293" spans="1:12" ht="14.25" customHeight="1" x14ac:dyDescent="0.25">
      <c r="A293" s="289"/>
      <c r="D293" s="251"/>
      <c r="E293" s="251"/>
      <c r="F293" s="251"/>
      <c r="G293" s="251"/>
      <c r="H293" s="251"/>
      <c r="I293" s="289"/>
      <c r="K293" s="251"/>
      <c r="L293" s="289"/>
    </row>
    <row r="294" spans="1:12" ht="14.25" customHeight="1" x14ac:dyDescent="0.25">
      <c r="A294" s="289"/>
      <c r="D294" s="251"/>
      <c r="E294" s="251"/>
      <c r="F294" s="251"/>
      <c r="G294" s="251"/>
      <c r="H294" s="251"/>
      <c r="I294" s="289"/>
      <c r="K294" s="251"/>
      <c r="L294" s="289"/>
    </row>
    <row r="295" spans="1:12" ht="14.25" customHeight="1" x14ac:dyDescent="0.25">
      <c r="A295" s="289"/>
      <c r="D295" s="251"/>
      <c r="E295" s="251"/>
      <c r="F295" s="251"/>
      <c r="G295" s="251"/>
      <c r="H295" s="251"/>
      <c r="I295" s="289"/>
      <c r="K295" s="251"/>
      <c r="L295" s="289"/>
    </row>
    <row r="296" spans="1:12" ht="14.25" customHeight="1" x14ac:dyDescent="0.25">
      <c r="A296" s="289"/>
      <c r="D296" s="251"/>
      <c r="E296" s="251"/>
      <c r="F296" s="251"/>
      <c r="G296" s="251"/>
      <c r="H296" s="251"/>
      <c r="I296" s="289"/>
      <c r="K296" s="251"/>
      <c r="L296" s="289"/>
    </row>
    <row r="297" spans="1:12" ht="14.25" customHeight="1" x14ac:dyDescent="0.25">
      <c r="A297" s="289"/>
      <c r="D297" s="251"/>
      <c r="E297" s="251"/>
      <c r="F297" s="251"/>
      <c r="G297" s="251"/>
      <c r="H297" s="251"/>
      <c r="I297" s="289"/>
      <c r="K297" s="251"/>
      <c r="L297" s="289"/>
    </row>
    <row r="298" spans="1:12" ht="14.25" customHeight="1" x14ac:dyDescent="0.25">
      <c r="A298" s="289"/>
      <c r="D298" s="251"/>
      <c r="E298" s="251"/>
      <c r="F298" s="251"/>
      <c r="G298" s="251"/>
      <c r="H298" s="251"/>
      <c r="I298" s="289"/>
      <c r="K298" s="251"/>
      <c r="L298" s="289"/>
    </row>
    <row r="299" spans="1:12" ht="14.25" customHeight="1" x14ac:dyDescent="0.25">
      <c r="A299" s="289"/>
      <c r="D299" s="251"/>
      <c r="E299" s="251"/>
      <c r="F299" s="251"/>
      <c r="G299" s="251"/>
      <c r="H299" s="251"/>
      <c r="I299" s="289"/>
      <c r="K299" s="251"/>
      <c r="L299" s="289"/>
    </row>
    <row r="300" spans="1:12" ht="14.25" customHeight="1" x14ac:dyDescent="0.25">
      <c r="A300" s="289"/>
      <c r="D300" s="251"/>
      <c r="E300" s="251"/>
      <c r="F300" s="251"/>
      <c r="G300" s="251"/>
      <c r="H300" s="251"/>
      <c r="I300" s="289"/>
      <c r="K300" s="251"/>
      <c r="L300" s="289"/>
    </row>
    <row r="301" spans="1:12" ht="14.25" customHeight="1" x14ac:dyDescent="0.25">
      <c r="A301" s="289"/>
      <c r="D301" s="251"/>
      <c r="E301" s="251"/>
      <c r="F301" s="251"/>
      <c r="G301" s="251"/>
      <c r="H301" s="251"/>
      <c r="I301" s="289"/>
      <c r="K301" s="251"/>
      <c r="L301" s="289"/>
    </row>
    <row r="302" spans="1:12" ht="14.25" customHeight="1" x14ac:dyDescent="0.25">
      <c r="A302" s="289"/>
      <c r="D302" s="251"/>
      <c r="E302" s="251"/>
      <c r="F302" s="251"/>
      <c r="G302" s="251"/>
      <c r="H302" s="251"/>
      <c r="I302" s="289"/>
      <c r="K302" s="251"/>
      <c r="L302" s="289"/>
    </row>
    <row r="303" spans="1:12" ht="14.25" customHeight="1" x14ac:dyDescent="0.25">
      <c r="A303" s="289"/>
      <c r="D303" s="251"/>
      <c r="E303" s="251"/>
      <c r="F303" s="251"/>
      <c r="G303" s="251"/>
      <c r="H303" s="251"/>
      <c r="I303" s="289"/>
      <c r="K303" s="251"/>
      <c r="L303" s="289"/>
    </row>
    <row r="304" spans="1:12" ht="14.25" customHeight="1" x14ac:dyDescent="0.25">
      <c r="A304" s="289"/>
      <c r="D304" s="251"/>
      <c r="E304" s="251"/>
      <c r="F304" s="251"/>
      <c r="G304" s="251"/>
      <c r="H304" s="251"/>
      <c r="I304" s="289"/>
      <c r="K304" s="251"/>
      <c r="L304" s="289"/>
    </row>
    <row r="305" spans="1:12" ht="14.25" customHeight="1" x14ac:dyDescent="0.25">
      <c r="A305" s="289"/>
      <c r="D305" s="251"/>
      <c r="E305" s="251"/>
      <c r="F305" s="251"/>
      <c r="G305" s="251"/>
      <c r="H305" s="251"/>
      <c r="I305" s="289"/>
      <c r="K305" s="251"/>
      <c r="L305" s="289"/>
    </row>
    <row r="306" spans="1:12" ht="14.25" customHeight="1" x14ac:dyDescent="0.25">
      <c r="A306" s="289"/>
      <c r="D306" s="251"/>
      <c r="E306" s="251"/>
      <c r="F306" s="251"/>
      <c r="G306" s="251"/>
      <c r="H306" s="251"/>
      <c r="I306" s="289"/>
      <c r="K306" s="251"/>
      <c r="L306" s="289"/>
    </row>
    <row r="307" spans="1:12" ht="14.25" customHeight="1" x14ac:dyDescent="0.25">
      <c r="A307" s="289"/>
      <c r="D307" s="251"/>
      <c r="E307" s="251"/>
      <c r="F307" s="251"/>
      <c r="G307" s="251"/>
      <c r="H307" s="251"/>
      <c r="I307" s="289"/>
      <c r="K307" s="251"/>
      <c r="L307" s="289"/>
    </row>
    <row r="308" spans="1:12" ht="14.25" customHeight="1" x14ac:dyDescent="0.25">
      <c r="A308" s="289"/>
      <c r="D308" s="251"/>
      <c r="E308" s="251"/>
      <c r="F308" s="251"/>
      <c r="G308" s="251"/>
      <c r="H308" s="251"/>
      <c r="I308" s="289"/>
      <c r="K308" s="251"/>
      <c r="L308" s="289"/>
    </row>
    <row r="309" spans="1:12" ht="14.25" customHeight="1" x14ac:dyDescent="0.25">
      <c r="A309" s="289"/>
      <c r="D309" s="251"/>
      <c r="E309" s="251"/>
      <c r="F309" s="251"/>
      <c r="G309" s="251"/>
      <c r="H309" s="251"/>
      <c r="I309" s="289"/>
      <c r="K309" s="251"/>
      <c r="L309" s="289"/>
    </row>
    <row r="310" spans="1:12" ht="14.25" customHeight="1" x14ac:dyDescent="0.25">
      <c r="A310" s="289"/>
      <c r="D310" s="251"/>
      <c r="E310" s="251"/>
      <c r="F310" s="251"/>
      <c r="G310" s="251"/>
      <c r="H310" s="251"/>
      <c r="I310" s="289"/>
      <c r="K310" s="251"/>
      <c r="L310" s="289"/>
    </row>
    <row r="311" spans="1:12" ht="14.25" customHeight="1" x14ac:dyDescent="0.25">
      <c r="A311" s="289"/>
      <c r="D311" s="251"/>
      <c r="E311" s="251"/>
      <c r="F311" s="251"/>
      <c r="G311" s="251"/>
      <c r="H311" s="251"/>
      <c r="I311" s="289"/>
      <c r="K311" s="251"/>
      <c r="L311" s="289"/>
    </row>
    <row r="312" spans="1:12" ht="14.25" customHeight="1" x14ac:dyDescent="0.25">
      <c r="A312" s="289"/>
      <c r="D312" s="251"/>
      <c r="E312" s="251"/>
      <c r="F312" s="251"/>
      <c r="G312" s="251"/>
      <c r="H312" s="251"/>
      <c r="I312" s="289"/>
      <c r="K312" s="251"/>
      <c r="L312" s="289"/>
    </row>
    <row r="313" spans="1:12" ht="14.25" customHeight="1" x14ac:dyDescent="0.25">
      <c r="A313" s="289"/>
      <c r="D313" s="251"/>
      <c r="E313" s="251"/>
      <c r="F313" s="251"/>
      <c r="G313" s="251"/>
      <c r="H313" s="251"/>
      <c r="I313" s="289"/>
      <c r="K313" s="251"/>
      <c r="L313" s="289"/>
    </row>
    <row r="314" spans="1:12" ht="14.25" customHeight="1" x14ac:dyDescent="0.25">
      <c r="A314" s="289"/>
      <c r="D314" s="251"/>
      <c r="E314" s="251"/>
      <c r="F314" s="251"/>
      <c r="G314" s="251"/>
      <c r="H314" s="251"/>
      <c r="I314" s="289"/>
      <c r="K314" s="251"/>
      <c r="L314" s="289"/>
    </row>
    <row r="315" spans="1:12" ht="14.25" customHeight="1" x14ac:dyDescent="0.25">
      <c r="A315" s="289"/>
      <c r="D315" s="251"/>
      <c r="E315" s="251"/>
      <c r="F315" s="251"/>
      <c r="G315" s="251"/>
      <c r="H315" s="251"/>
      <c r="I315" s="289"/>
      <c r="K315" s="251"/>
      <c r="L315" s="289"/>
    </row>
    <row r="316" spans="1:12" ht="14.25" customHeight="1" x14ac:dyDescent="0.25">
      <c r="A316" s="289"/>
      <c r="D316" s="251"/>
      <c r="E316" s="251"/>
      <c r="F316" s="251"/>
      <c r="G316" s="251"/>
      <c r="H316" s="251"/>
      <c r="I316" s="289"/>
      <c r="K316" s="251"/>
      <c r="L316" s="289"/>
    </row>
    <row r="317" spans="1:12" ht="14.25" customHeight="1" x14ac:dyDescent="0.25">
      <c r="A317" s="289"/>
      <c r="D317" s="251"/>
      <c r="E317" s="251"/>
      <c r="F317" s="251"/>
      <c r="G317" s="251"/>
      <c r="H317" s="251"/>
      <c r="I317" s="289"/>
      <c r="K317" s="251"/>
      <c r="L317" s="289"/>
    </row>
    <row r="318" spans="1:12" ht="14.25" customHeight="1" x14ac:dyDescent="0.25">
      <c r="A318" s="289"/>
      <c r="D318" s="251"/>
      <c r="E318" s="251"/>
      <c r="F318" s="251"/>
      <c r="G318" s="251"/>
      <c r="H318" s="251"/>
      <c r="I318" s="289"/>
      <c r="K318" s="251"/>
      <c r="L318" s="289"/>
    </row>
    <row r="319" spans="1:12" ht="14.25" customHeight="1" x14ac:dyDescent="0.25">
      <c r="A319" s="289"/>
      <c r="D319" s="251"/>
      <c r="E319" s="251"/>
      <c r="F319" s="251"/>
      <c r="G319" s="251"/>
      <c r="H319" s="251"/>
      <c r="I319" s="289"/>
      <c r="K319" s="251"/>
      <c r="L319" s="289"/>
    </row>
    <row r="320" spans="1:12" ht="14.25" customHeight="1" x14ac:dyDescent="0.25">
      <c r="A320" s="289"/>
      <c r="D320" s="251"/>
      <c r="E320" s="251"/>
      <c r="F320" s="251"/>
      <c r="G320" s="251"/>
      <c r="H320" s="251"/>
      <c r="I320" s="289"/>
      <c r="K320" s="251"/>
      <c r="L320" s="289"/>
    </row>
    <row r="321" spans="1:12" ht="14.25" customHeight="1" x14ac:dyDescent="0.25">
      <c r="A321" s="289"/>
      <c r="D321" s="251"/>
      <c r="E321" s="251"/>
      <c r="F321" s="251"/>
      <c r="G321" s="251"/>
      <c r="H321" s="251"/>
      <c r="I321" s="289"/>
      <c r="K321" s="251"/>
      <c r="L321" s="289"/>
    </row>
    <row r="322" spans="1:12" ht="14.25" customHeight="1" x14ac:dyDescent="0.25">
      <c r="A322" s="289"/>
      <c r="D322" s="251"/>
      <c r="E322" s="251"/>
      <c r="F322" s="251"/>
      <c r="G322" s="251"/>
      <c r="H322" s="251"/>
      <c r="I322" s="289"/>
      <c r="K322" s="251"/>
      <c r="L322" s="289"/>
    </row>
    <row r="323" spans="1:12" ht="14.25" customHeight="1" x14ac:dyDescent="0.25">
      <c r="A323" s="289"/>
      <c r="D323" s="251"/>
      <c r="E323" s="251"/>
      <c r="F323" s="251"/>
      <c r="G323" s="251"/>
      <c r="H323" s="251"/>
      <c r="I323" s="289"/>
      <c r="K323" s="251"/>
      <c r="L323" s="289"/>
    </row>
    <row r="324" spans="1:12" ht="14.25" customHeight="1" x14ac:dyDescent="0.25">
      <c r="A324" s="289"/>
      <c r="D324" s="251"/>
      <c r="E324" s="251"/>
      <c r="F324" s="251"/>
      <c r="G324" s="251"/>
      <c r="H324" s="251"/>
      <c r="I324" s="289"/>
      <c r="K324" s="251"/>
      <c r="L324" s="289"/>
    </row>
    <row r="325" spans="1:12" ht="14.25" customHeight="1" x14ac:dyDescent="0.25">
      <c r="A325" s="289"/>
      <c r="D325" s="251"/>
      <c r="E325" s="251"/>
      <c r="F325" s="251"/>
      <c r="G325" s="251"/>
      <c r="H325" s="251"/>
      <c r="I325" s="289"/>
      <c r="K325" s="251"/>
      <c r="L325" s="289"/>
    </row>
    <row r="326" spans="1:12" ht="14.25" customHeight="1" x14ac:dyDescent="0.25">
      <c r="A326" s="289"/>
      <c r="D326" s="251"/>
      <c r="E326" s="251"/>
      <c r="F326" s="251"/>
      <c r="G326" s="251"/>
      <c r="H326" s="251"/>
      <c r="I326" s="289"/>
      <c r="K326" s="251"/>
      <c r="L326" s="289"/>
    </row>
    <row r="327" spans="1:12" ht="14.25" customHeight="1" x14ac:dyDescent="0.25">
      <c r="A327" s="289"/>
      <c r="D327" s="251"/>
      <c r="E327" s="251"/>
      <c r="F327" s="251"/>
      <c r="G327" s="251"/>
      <c r="H327" s="251"/>
      <c r="I327" s="289"/>
      <c r="K327" s="251"/>
      <c r="L327" s="289"/>
    </row>
    <row r="328" spans="1:12" ht="14.25" customHeight="1" x14ac:dyDescent="0.25">
      <c r="A328" s="289"/>
      <c r="D328" s="251"/>
      <c r="E328" s="251"/>
      <c r="F328" s="251"/>
      <c r="G328" s="251"/>
      <c r="H328" s="251"/>
      <c r="I328" s="289"/>
      <c r="K328" s="251"/>
      <c r="L328" s="289"/>
    </row>
    <row r="329" spans="1:12" ht="14.25" customHeight="1" x14ac:dyDescent="0.25">
      <c r="A329" s="289"/>
      <c r="D329" s="251"/>
      <c r="E329" s="251"/>
      <c r="F329" s="251"/>
      <c r="G329" s="251"/>
      <c r="H329" s="251"/>
      <c r="I329" s="289"/>
      <c r="K329" s="251"/>
      <c r="L329" s="289"/>
    </row>
    <row r="330" spans="1:12" ht="14.25" customHeight="1" x14ac:dyDescent="0.25">
      <c r="A330" s="289"/>
      <c r="D330" s="251"/>
      <c r="E330" s="251"/>
      <c r="F330" s="251"/>
      <c r="G330" s="251"/>
      <c r="H330" s="251"/>
      <c r="I330" s="289"/>
      <c r="K330" s="251"/>
      <c r="L330" s="289"/>
    </row>
    <row r="331" spans="1:12" ht="14.25" customHeight="1" x14ac:dyDescent="0.25">
      <c r="A331" s="289"/>
      <c r="D331" s="251"/>
      <c r="E331" s="251"/>
      <c r="F331" s="251"/>
      <c r="G331" s="251"/>
      <c r="H331" s="251"/>
      <c r="I331" s="289"/>
      <c r="K331" s="251"/>
      <c r="L331" s="289"/>
    </row>
    <row r="332" spans="1:12" ht="14.25" customHeight="1" x14ac:dyDescent="0.25">
      <c r="A332" s="289"/>
      <c r="D332" s="251"/>
      <c r="E332" s="251"/>
      <c r="F332" s="251"/>
      <c r="G332" s="251"/>
      <c r="H332" s="251"/>
      <c r="I332" s="289"/>
      <c r="K332" s="251"/>
      <c r="L332" s="289"/>
    </row>
    <row r="333" spans="1:12" ht="14.25" customHeight="1" x14ac:dyDescent="0.25">
      <c r="A333" s="289"/>
      <c r="D333" s="251"/>
      <c r="E333" s="251"/>
      <c r="F333" s="251"/>
      <c r="G333" s="251"/>
      <c r="H333" s="251"/>
      <c r="I333" s="289"/>
      <c r="K333" s="251"/>
      <c r="L333" s="289"/>
    </row>
    <row r="334" spans="1:12" ht="14.25" customHeight="1" x14ac:dyDescent="0.25">
      <c r="A334" s="289"/>
      <c r="D334" s="251"/>
      <c r="E334" s="251"/>
      <c r="F334" s="251"/>
      <c r="G334" s="251"/>
      <c r="H334" s="251"/>
      <c r="I334" s="289"/>
      <c r="K334" s="251"/>
      <c r="L334" s="289"/>
    </row>
    <row r="335" spans="1:12" ht="14.25" customHeight="1" x14ac:dyDescent="0.25">
      <c r="A335" s="289"/>
      <c r="D335" s="251"/>
      <c r="E335" s="251"/>
      <c r="F335" s="251"/>
      <c r="G335" s="251"/>
      <c r="H335" s="251"/>
      <c r="I335" s="289"/>
      <c r="K335" s="251"/>
      <c r="L335" s="289"/>
    </row>
    <row r="336" spans="1:12" ht="14.25" customHeight="1" x14ac:dyDescent="0.25">
      <c r="A336" s="289"/>
      <c r="D336" s="251"/>
      <c r="E336" s="251"/>
      <c r="F336" s="251"/>
      <c r="G336" s="251"/>
      <c r="H336" s="251"/>
      <c r="I336" s="289"/>
      <c r="K336" s="251"/>
      <c r="L336" s="289"/>
    </row>
    <row r="337" spans="1:12" ht="14.25" customHeight="1" x14ac:dyDescent="0.25">
      <c r="A337" s="289"/>
      <c r="D337" s="251"/>
      <c r="E337" s="251"/>
      <c r="F337" s="251"/>
      <c r="G337" s="251"/>
      <c r="H337" s="251"/>
      <c r="I337" s="289"/>
      <c r="K337" s="251"/>
      <c r="L337" s="289"/>
    </row>
    <row r="338" spans="1:12" ht="14.25" customHeight="1" x14ac:dyDescent="0.25">
      <c r="A338" s="289"/>
      <c r="D338" s="251"/>
      <c r="E338" s="251"/>
      <c r="F338" s="251"/>
      <c r="G338" s="251"/>
      <c r="H338" s="251"/>
      <c r="I338" s="289"/>
      <c r="K338" s="251"/>
      <c r="L338" s="289"/>
    </row>
    <row r="339" spans="1:12" ht="14.25" customHeight="1" x14ac:dyDescent="0.25">
      <c r="A339" s="289"/>
      <c r="D339" s="251"/>
      <c r="E339" s="251"/>
      <c r="F339" s="251"/>
      <c r="G339" s="251"/>
      <c r="H339" s="251"/>
      <c r="I339" s="289"/>
      <c r="K339" s="251"/>
      <c r="L339" s="289"/>
    </row>
    <row r="340" spans="1:12" ht="14.25" customHeight="1" x14ac:dyDescent="0.25">
      <c r="A340" s="289"/>
      <c r="D340" s="251"/>
      <c r="E340" s="251"/>
      <c r="F340" s="251"/>
      <c r="G340" s="251"/>
      <c r="H340" s="251"/>
      <c r="I340" s="289"/>
      <c r="K340" s="251"/>
      <c r="L340" s="289"/>
    </row>
    <row r="341" spans="1:12" ht="14.25" customHeight="1" x14ac:dyDescent="0.25">
      <c r="A341" s="289"/>
      <c r="D341" s="251"/>
      <c r="E341" s="251"/>
      <c r="F341" s="251"/>
      <c r="G341" s="251"/>
      <c r="H341" s="251"/>
      <c r="I341" s="289"/>
      <c r="K341" s="251"/>
      <c r="L341" s="289"/>
    </row>
    <row r="342" spans="1:12" ht="14.25" customHeight="1" x14ac:dyDescent="0.25">
      <c r="A342" s="289"/>
      <c r="D342" s="251"/>
      <c r="E342" s="251"/>
      <c r="F342" s="251"/>
      <c r="G342" s="251"/>
      <c r="H342" s="251"/>
      <c r="I342" s="289"/>
      <c r="K342" s="251"/>
      <c r="L342" s="289"/>
    </row>
    <row r="343" spans="1:12" ht="14.25" customHeight="1" x14ac:dyDescent="0.25">
      <c r="A343" s="289"/>
      <c r="D343" s="251"/>
      <c r="E343" s="251"/>
      <c r="F343" s="251"/>
      <c r="G343" s="251"/>
      <c r="H343" s="251"/>
      <c r="I343" s="289"/>
      <c r="K343" s="251"/>
      <c r="L343" s="289"/>
    </row>
    <row r="344" spans="1:12" ht="14.25" customHeight="1" x14ac:dyDescent="0.25">
      <c r="A344" s="289"/>
      <c r="D344" s="251"/>
      <c r="E344" s="251"/>
      <c r="F344" s="251"/>
      <c r="G344" s="251"/>
      <c r="H344" s="251"/>
      <c r="I344" s="289"/>
      <c r="K344" s="251"/>
      <c r="L344" s="289"/>
    </row>
    <row r="345" spans="1:12" ht="14.25" customHeight="1" x14ac:dyDescent="0.25">
      <c r="A345" s="289"/>
      <c r="D345" s="251"/>
      <c r="E345" s="251"/>
      <c r="F345" s="251"/>
      <c r="G345" s="251"/>
      <c r="H345" s="251"/>
      <c r="I345" s="289"/>
      <c r="K345" s="251"/>
      <c r="L345" s="289"/>
    </row>
    <row r="346" spans="1:12" ht="14.25" customHeight="1" x14ac:dyDescent="0.25">
      <c r="A346" s="289"/>
      <c r="D346" s="251"/>
      <c r="E346" s="251"/>
      <c r="F346" s="251"/>
      <c r="G346" s="251"/>
      <c r="H346" s="251"/>
      <c r="I346" s="289"/>
      <c r="K346" s="251"/>
      <c r="L346" s="289"/>
    </row>
    <row r="347" spans="1:12" ht="14.25" customHeight="1" x14ac:dyDescent="0.25">
      <c r="A347" s="289"/>
      <c r="D347" s="251"/>
      <c r="E347" s="251"/>
      <c r="F347" s="251"/>
      <c r="G347" s="251"/>
      <c r="H347" s="251"/>
      <c r="I347" s="289"/>
      <c r="K347" s="251"/>
      <c r="L347" s="289"/>
    </row>
    <row r="348" spans="1:12" ht="14.25" customHeight="1" x14ac:dyDescent="0.25">
      <c r="A348" s="289"/>
      <c r="D348" s="251"/>
      <c r="E348" s="251"/>
      <c r="F348" s="251"/>
      <c r="G348" s="251"/>
      <c r="H348" s="251"/>
      <c r="I348" s="289"/>
      <c r="K348" s="251"/>
      <c r="L348" s="289"/>
    </row>
    <row r="349" spans="1:12" ht="14.25" customHeight="1" x14ac:dyDescent="0.25">
      <c r="A349" s="289"/>
      <c r="D349" s="251"/>
      <c r="E349" s="251"/>
      <c r="F349" s="251"/>
      <c r="G349" s="251"/>
      <c r="H349" s="251"/>
      <c r="I349" s="289"/>
      <c r="K349" s="251"/>
      <c r="L349" s="289"/>
    </row>
    <row r="350" spans="1:12" ht="14.25" customHeight="1" x14ac:dyDescent="0.25">
      <c r="A350" s="289"/>
      <c r="D350" s="251"/>
      <c r="E350" s="251"/>
      <c r="F350" s="251"/>
      <c r="G350" s="251"/>
      <c r="H350" s="251"/>
      <c r="I350" s="289"/>
      <c r="K350" s="251"/>
      <c r="L350" s="289"/>
    </row>
    <row r="351" spans="1:12" ht="14.25" customHeight="1" x14ac:dyDescent="0.25">
      <c r="A351" s="289"/>
      <c r="D351" s="251"/>
      <c r="E351" s="251"/>
      <c r="F351" s="251"/>
      <c r="G351" s="251"/>
      <c r="H351" s="251"/>
      <c r="I351" s="289"/>
      <c r="K351" s="251"/>
      <c r="L351" s="289"/>
    </row>
    <row r="352" spans="1:12" ht="14.25" customHeight="1" x14ac:dyDescent="0.25">
      <c r="A352" s="289"/>
      <c r="D352" s="251"/>
      <c r="E352" s="251"/>
      <c r="F352" s="251"/>
      <c r="G352" s="251"/>
      <c r="H352" s="251"/>
      <c r="I352" s="289"/>
      <c r="K352" s="251"/>
      <c r="L352" s="289"/>
    </row>
    <row r="353" spans="1:12" ht="14.25" customHeight="1" x14ac:dyDescent="0.25">
      <c r="A353" s="289"/>
      <c r="D353" s="251"/>
      <c r="E353" s="251"/>
      <c r="F353" s="251"/>
      <c r="G353" s="251"/>
      <c r="H353" s="251"/>
      <c r="I353" s="289"/>
      <c r="K353" s="251"/>
      <c r="L353" s="289"/>
    </row>
    <row r="354" spans="1:12" ht="14.25" customHeight="1" x14ac:dyDescent="0.25">
      <c r="A354" s="289"/>
      <c r="D354" s="251"/>
      <c r="E354" s="251"/>
      <c r="F354" s="251"/>
      <c r="G354" s="251"/>
      <c r="H354" s="251"/>
      <c r="I354" s="289"/>
      <c r="K354" s="251"/>
      <c r="L354" s="289"/>
    </row>
    <row r="355" spans="1:12" ht="14.25" customHeight="1" x14ac:dyDescent="0.25">
      <c r="A355" s="289"/>
      <c r="D355" s="251"/>
      <c r="E355" s="251"/>
      <c r="F355" s="251"/>
      <c r="G355" s="251"/>
      <c r="H355" s="251"/>
      <c r="I355" s="289"/>
      <c r="K355" s="251"/>
      <c r="L355" s="289"/>
    </row>
    <row r="356" spans="1:12" ht="14.25" customHeight="1" x14ac:dyDescent="0.25">
      <c r="A356" s="289"/>
      <c r="D356" s="251"/>
      <c r="E356" s="251"/>
      <c r="F356" s="251"/>
      <c r="G356" s="251"/>
      <c r="H356" s="251"/>
      <c r="I356" s="289"/>
      <c r="K356" s="251"/>
      <c r="L356" s="289"/>
    </row>
    <row r="357" spans="1:12" ht="14.25" customHeight="1" x14ac:dyDescent="0.25">
      <c r="A357" s="289"/>
      <c r="D357" s="251"/>
      <c r="E357" s="251"/>
      <c r="F357" s="251"/>
      <c r="G357" s="251"/>
      <c r="H357" s="251"/>
      <c r="I357" s="289"/>
      <c r="K357" s="251"/>
      <c r="L357" s="289"/>
    </row>
    <row r="358" spans="1:12" ht="14.25" customHeight="1" x14ac:dyDescent="0.25">
      <c r="A358" s="289"/>
      <c r="D358" s="251"/>
      <c r="E358" s="251"/>
      <c r="F358" s="251"/>
      <c r="G358" s="251"/>
      <c r="H358" s="251"/>
      <c r="I358" s="289"/>
      <c r="K358" s="251"/>
      <c r="L358" s="289"/>
    </row>
    <row r="359" spans="1:12" ht="14.25" customHeight="1" x14ac:dyDescent="0.25">
      <c r="A359" s="289"/>
      <c r="D359" s="251"/>
      <c r="E359" s="251"/>
      <c r="F359" s="251"/>
      <c r="G359" s="251"/>
      <c r="H359" s="251"/>
      <c r="I359" s="289"/>
      <c r="K359" s="251"/>
      <c r="L359" s="289"/>
    </row>
    <row r="360" spans="1:12" ht="14.25" customHeight="1" x14ac:dyDescent="0.25">
      <c r="A360" s="289"/>
      <c r="D360" s="251"/>
      <c r="E360" s="251"/>
      <c r="F360" s="251"/>
      <c r="G360" s="251"/>
      <c r="H360" s="251"/>
      <c r="I360" s="289"/>
      <c r="K360" s="251"/>
      <c r="L360" s="289"/>
    </row>
    <row r="361" spans="1:12" ht="14.25" customHeight="1" x14ac:dyDescent="0.25">
      <c r="A361" s="289"/>
      <c r="D361" s="251"/>
      <c r="E361" s="251"/>
      <c r="F361" s="251"/>
      <c r="G361" s="251"/>
      <c r="H361" s="251"/>
      <c r="I361" s="289"/>
      <c r="K361" s="251"/>
      <c r="L361" s="289"/>
    </row>
    <row r="362" spans="1:12" ht="14.25" customHeight="1" x14ac:dyDescent="0.25">
      <c r="A362" s="289"/>
      <c r="D362" s="251"/>
      <c r="E362" s="251"/>
      <c r="F362" s="251"/>
      <c r="G362" s="251"/>
      <c r="H362" s="251"/>
      <c r="I362" s="289"/>
      <c r="K362" s="251"/>
      <c r="L362" s="289"/>
    </row>
    <row r="363" spans="1:12" ht="14.25" customHeight="1" x14ac:dyDescent="0.25">
      <c r="A363" s="289"/>
      <c r="D363" s="251"/>
      <c r="E363" s="251"/>
      <c r="F363" s="251"/>
      <c r="G363" s="251"/>
      <c r="H363" s="251"/>
      <c r="I363" s="289"/>
      <c r="K363" s="251"/>
      <c r="L363" s="289"/>
    </row>
    <row r="364" spans="1:12" ht="14.25" customHeight="1" x14ac:dyDescent="0.25">
      <c r="A364" s="289"/>
      <c r="D364" s="251"/>
      <c r="E364" s="251"/>
      <c r="F364" s="251"/>
      <c r="G364" s="251"/>
      <c r="H364" s="251"/>
      <c r="I364" s="289"/>
      <c r="K364" s="251"/>
      <c r="L364" s="289"/>
    </row>
    <row r="365" spans="1:12" ht="14.25" customHeight="1" x14ac:dyDescent="0.25">
      <c r="A365" s="289"/>
      <c r="D365" s="251"/>
      <c r="E365" s="251"/>
      <c r="F365" s="251"/>
      <c r="G365" s="251"/>
      <c r="H365" s="251"/>
      <c r="I365" s="289"/>
      <c r="K365" s="251"/>
      <c r="L365" s="289"/>
    </row>
    <row r="366" spans="1:12" ht="14.25" customHeight="1" x14ac:dyDescent="0.25">
      <c r="A366" s="289"/>
      <c r="D366" s="251"/>
      <c r="E366" s="251"/>
      <c r="F366" s="251"/>
      <c r="G366" s="251"/>
      <c r="H366" s="251"/>
      <c r="I366" s="289"/>
      <c r="K366" s="251"/>
      <c r="L366" s="289"/>
    </row>
    <row r="367" spans="1:12" ht="14.25" customHeight="1" x14ac:dyDescent="0.25">
      <c r="A367" s="289"/>
      <c r="D367" s="251"/>
      <c r="E367" s="251"/>
      <c r="F367" s="251"/>
      <c r="G367" s="251"/>
      <c r="H367" s="251"/>
      <c r="I367" s="289"/>
      <c r="K367" s="251"/>
      <c r="L367" s="289"/>
    </row>
    <row r="368" spans="1:12" ht="14.25" customHeight="1" x14ac:dyDescent="0.25">
      <c r="A368" s="289"/>
      <c r="D368" s="251"/>
      <c r="E368" s="251"/>
      <c r="F368" s="251"/>
      <c r="G368" s="251"/>
      <c r="H368" s="251"/>
      <c r="I368" s="289"/>
      <c r="K368" s="251"/>
      <c r="L368" s="289"/>
    </row>
    <row r="369" spans="1:12" ht="14.25" customHeight="1" x14ac:dyDescent="0.25">
      <c r="A369" s="289"/>
      <c r="D369" s="251"/>
      <c r="E369" s="251"/>
      <c r="F369" s="251"/>
      <c r="G369" s="251"/>
      <c r="H369" s="251"/>
      <c r="I369" s="289"/>
      <c r="K369" s="251"/>
      <c r="L369" s="289"/>
    </row>
    <row r="370" spans="1:12" ht="14.25" customHeight="1" x14ac:dyDescent="0.25">
      <c r="A370" s="289"/>
      <c r="D370" s="251"/>
      <c r="E370" s="251"/>
      <c r="F370" s="251"/>
      <c r="G370" s="251"/>
      <c r="H370" s="251"/>
      <c r="I370" s="289"/>
      <c r="K370" s="251"/>
      <c r="L370" s="289"/>
    </row>
    <row r="371" spans="1:12" ht="14.25" customHeight="1" x14ac:dyDescent="0.25">
      <c r="A371" s="289"/>
      <c r="D371" s="251"/>
      <c r="E371" s="251"/>
      <c r="F371" s="251"/>
      <c r="G371" s="251"/>
      <c r="H371" s="251"/>
      <c r="I371" s="289"/>
      <c r="K371" s="251"/>
      <c r="L371" s="289"/>
    </row>
    <row r="372" spans="1:12" ht="14.25" customHeight="1" x14ac:dyDescent="0.25">
      <c r="A372" s="289"/>
      <c r="D372" s="251"/>
      <c r="E372" s="251"/>
      <c r="F372" s="251"/>
      <c r="G372" s="251"/>
      <c r="H372" s="251"/>
      <c r="I372" s="289"/>
      <c r="K372" s="251"/>
      <c r="L372" s="289"/>
    </row>
    <row r="373" spans="1:12" ht="14.25" customHeight="1" x14ac:dyDescent="0.25">
      <c r="A373" s="289"/>
      <c r="D373" s="251"/>
      <c r="E373" s="251"/>
      <c r="F373" s="251"/>
      <c r="G373" s="251"/>
      <c r="H373" s="251"/>
      <c r="I373" s="289"/>
      <c r="K373" s="251"/>
      <c r="L373" s="289"/>
    </row>
    <row r="374" spans="1:12" ht="14.25" customHeight="1" x14ac:dyDescent="0.25">
      <c r="A374" s="289"/>
      <c r="D374" s="251"/>
      <c r="E374" s="251"/>
      <c r="F374" s="251"/>
      <c r="G374" s="251"/>
      <c r="H374" s="251"/>
      <c r="I374" s="289"/>
      <c r="K374" s="251"/>
      <c r="L374" s="289"/>
    </row>
    <row r="375" spans="1:12" ht="14.25" customHeight="1" x14ac:dyDescent="0.25">
      <c r="A375" s="289"/>
      <c r="D375" s="251"/>
      <c r="E375" s="251"/>
      <c r="F375" s="251"/>
      <c r="G375" s="251"/>
      <c r="H375" s="251"/>
      <c r="I375" s="289"/>
      <c r="K375" s="251"/>
      <c r="L375" s="289"/>
    </row>
    <row r="376" spans="1:12" ht="14.25" customHeight="1" x14ac:dyDescent="0.25">
      <c r="A376" s="289"/>
      <c r="D376" s="251"/>
      <c r="E376" s="251"/>
      <c r="F376" s="251"/>
      <c r="G376" s="251"/>
      <c r="H376" s="251"/>
      <c r="I376" s="289"/>
      <c r="K376" s="251"/>
      <c r="L376" s="289"/>
    </row>
    <row r="377" spans="1:12" ht="14.25" customHeight="1" x14ac:dyDescent="0.25">
      <c r="A377" s="289"/>
      <c r="D377" s="251"/>
      <c r="E377" s="251"/>
      <c r="F377" s="251"/>
      <c r="G377" s="251"/>
      <c r="H377" s="251"/>
      <c r="I377" s="289"/>
      <c r="K377" s="251"/>
      <c r="L377" s="289"/>
    </row>
    <row r="378" spans="1:12" ht="14.25" customHeight="1" x14ac:dyDescent="0.25">
      <c r="A378" s="289"/>
      <c r="D378" s="251"/>
      <c r="E378" s="251"/>
      <c r="F378" s="251"/>
      <c r="G378" s="251"/>
      <c r="H378" s="251"/>
      <c r="I378" s="289"/>
      <c r="K378" s="251"/>
      <c r="L378" s="289"/>
    </row>
    <row r="379" spans="1:12" ht="14.25" customHeight="1" x14ac:dyDescent="0.25">
      <c r="A379" s="289"/>
      <c r="D379" s="251"/>
      <c r="E379" s="251"/>
      <c r="F379" s="251"/>
      <c r="G379" s="251"/>
      <c r="H379" s="251"/>
      <c r="I379" s="289"/>
      <c r="K379" s="251"/>
      <c r="L379" s="289"/>
    </row>
    <row r="380" spans="1:12" ht="14.25" customHeight="1" x14ac:dyDescent="0.25">
      <c r="A380" s="289"/>
      <c r="D380" s="251"/>
      <c r="E380" s="251"/>
      <c r="F380" s="251"/>
      <c r="G380" s="251"/>
      <c r="H380" s="251"/>
      <c r="I380" s="289"/>
      <c r="K380" s="251"/>
      <c r="L380" s="289"/>
    </row>
    <row r="381" spans="1:12" ht="14.25" customHeight="1" x14ac:dyDescent="0.25">
      <c r="A381" s="289"/>
      <c r="D381" s="251"/>
      <c r="E381" s="251"/>
      <c r="F381" s="251"/>
      <c r="G381" s="251"/>
      <c r="H381" s="251"/>
      <c r="I381" s="289"/>
      <c r="K381" s="251"/>
      <c r="L381" s="289"/>
    </row>
    <row r="382" spans="1:12" ht="14.25" customHeight="1" x14ac:dyDescent="0.25">
      <c r="A382" s="289"/>
      <c r="D382" s="251"/>
      <c r="E382" s="251"/>
      <c r="F382" s="251"/>
      <c r="G382" s="251"/>
      <c r="H382" s="251"/>
      <c r="I382" s="289"/>
      <c r="K382" s="251"/>
      <c r="L382" s="289"/>
    </row>
    <row r="383" spans="1:12" ht="14.25" customHeight="1" x14ac:dyDescent="0.25">
      <c r="A383" s="289"/>
      <c r="D383" s="251"/>
      <c r="E383" s="251"/>
      <c r="F383" s="251"/>
      <c r="G383" s="251"/>
      <c r="H383" s="251"/>
      <c r="I383" s="289"/>
      <c r="K383" s="251"/>
      <c r="L383" s="289"/>
    </row>
    <row r="384" spans="1:12" ht="14.25" customHeight="1" x14ac:dyDescent="0.25">
      <c r="A384" s="289"/>
      <c r="D384" s="251"/>
      <c r="E384" s="251"/>
      <c r="F384" s="251"/>
      <c r="G384" s="251"/>
      <c r="H384" s="251"/>
      <c r="I384" s="289"/>
      <c r="K384" s="251"/>
      <c r="L384" s="289"/>
    </row>
    <row r="385" spans="1:12" ht="14.25" customHeight="1" x14ac:dyDescent="0.25">
      <c r="A385" s="289"/>
      <c r="D385" s="251"/>
      <c r="E385" s="251"/>
      <c r="F385" s="251"/>
      <c r="G385" s="251"/>
      <c r="H385" s="251"/>
      <c r="I385" s="289"/>
      <c r="K385" s="251"/>
      <c r="L385" s="289"/>
    </row>
    <row r="386" spans="1:12" ht="14.25" customHeight="1" x14ac:dyDescent="0.25">
      <c r="A386" s="289"/>
      <c r="D386" s="251"/>
      <c r="E386" s="251"/>
      <c r="F386" s="251"/>
      <c r="G386" s="251"/>
      <c r="H386" s="251"/>
      <c r="I386" s="289"/>
      <c r="K386" s="251"/>
      <c r="L386" s="289"/>
    </row>
    <row r="387" spans="1:12" ht="14.25" customHeight="1" x14ac:dyDescent="0.25">
      <c r="A387" s="289"/>
      <c r="D387" s="251"/>
      <c r="E387" s="251"/>
      <c r="F387" s="251"/>
      <c r="G387" s="251"/>
      <c r="H387" s="251"/>
      <c r="I387" s="289"/>
      <c r="K387" s="251"/>
      <c r="L387" s="289"/>
    </row>
    <row r="388" spans="1:12" ht="14.25" customHeight="1" x14ac:dyDescent="0.25">
      <c r="A388" s="289"/>
      <c r="D388" s="251"/>
      <c r="E388" s="251"/>
      <c r="F388" s="251"/>
      <c r="G388" s="251"/>
      <c r="H388" s="251"/>
      <c r="I388" s="289"/>
      <c r="K388" s="251"/>
      <c r="L388" s="289"/>
    </row>
    <row r="389" spans="1:12" ht="14.25" customHeight="1" x14ac:dyDescent="0.25">
      <c r="A389" s="289"/>
      <c r="D389" s="251"/>
      <c r="E389" s="251"/>
      <c r="F389" s="251"/>
      <c r="G389" s="251"/>
      <c r="H389" s="251"/>
      <c r="I389" s="289"/>
      <c r="K389" s="251"/>
      <c r="L389" s="289"/>
    </row>
    <row r="390" spans="1:12" ht="14.25" customHeight="1" x14ac:dyDescent="0.25">
      <c r="A390" s="289"/>
      <c r="D390" s="251"/>
      <c r="E390" s="251"/>
      <c r="F390" s="251"/>
      <c r="G390" s="251"/>
      <c r="H390" s="251"/>
      <c r="I390" s="289"/>
      <c r="K390" s="251"/>
      <c r="L390" s="289"/>
    </row>
    <row r="391" spans="1:12" ht="14.25" customHeight="1" x14ac:dyDescent="0.25">
      <c r="A391" s="289"/>
      <c r="D391" s="251"/>
      <c r="E391" s="251"/>
      <c r="F391" s="251"/>
      <c r="G391" s="251"/>
      <c r="H391" s="251"/>
      <c r="I391" s="289"/>
      <c r="K391" s="251"/>
      <c r="L391" s="289"/>
    </row>
    <row r="392" spans="1:12" ht="14.25" customHeight="1" x14ac:dyDescent="0.25">
      <c r="A392" s="289"/>
      <c r="D392" s="251"/>
      <c r="E392" s="251"/>
      <c r="F392" s="251"/>
      <c r="G392" s="251"/>
      <c r="H392" s="251"/>
      <c r="I392" s="289"/>
      <c r="K392" s="251"/>
      <c r="L392" s="289"/>
    </row>
    <row r="393" spans="1:12" ht="14.25" customHeight="1" x14ac:dyDescent="0.25">
      <c r="A393" s="289"/>
      <c r="D393" s="251"/>
      <c r="E393" s="251"/>
      <c r="F393" s="251"/>
      <c r="G393" s="251"/>
      <c r="H393" s="251"/>
      <c r="I393" s="289"/>
      <c r="K393" s="251"/>
      <c r="L393" s="289"/>
    </row>
    <row r="394" spans="1:12" ht="14.25" customHeight="1" x14ac:dyDescent="0.25">
      <c r="A394" s="289"/>
      <c r="D394" s="251"/>
      <c r="E394" s="251"/>
      <c r="F394" s="251"/>
      <c r="G394" s="251"/>
      <c r="H394" s="251"/>
      <c r="I394" s="289"/>
      <c r="K394" s="251"/>
      <c r="L394" s="289"/>
    </row>
    <row r="395" spans="1:12" ht="14.25" customHeight="1" x14ac:dyDescent="0.25">
      <c r="A395" s="289"/>
      <c r="D395" s="251"/>
      <c r="E395" s="251"/>
      <c r="F395" s="251"/>
      <c r="G395" s="251"/>
      <c r="H395" s="251"/>
      <c r="I395" s="289"/>
      <c r="K395" s="251"/>
      <c r="L395" s="289"/>
    </row>
    <row r="396" spans="1:12" ht="14.25" customHeight="1" x14ac:dyDescent="0.25">
      <c r="A396" s="289"/>
      <c r="D396" s="251"/>
      <c r="E396" s="251"/>
      <c r="F396" s="251"/>
      <c r="G396" s="251"/>
      <c r="H396" s="251"/>
      <c r="I396" s="289"/>
      <c r="K396" s="251"/>
      <c r="L396" s="289"/>
    </row>
    <row r="397" spans="1:12" ht="14.25" customHeight="1" x14ac:dyDescent="0.25">
      <c r="A397" s="289"/>
      <c r="D397" s="251"/>
      <c r="E397" s="251"/>
      <c r="F397" s="251"/>
      <c r="G397" s="251"/>
      <c r="H397" s="251"/>
      <c r="I397" s="289"/>
      <c r="K397" s="251"/>
      <c r="L397" s="289"/>
    </row>
    <row r="398" spans="1:12" ht="14.25" customHeight="1" x14ac:dyDescent="0.25">
      <c r="A398" s="289"/>
      <c r="D398" s="251"/>
      <c r="E398" s="251"/>
      <c r="F398" s="251"/>
      <c r="G398" s="251"/>
      <c r="H398" s="251"/>
      <c r="I398" s="289"/>
      <c r="K398" s="251"/>
      <c r="L398" s="289"/>
    </row>
    <row r="399" spans="1:12" ht="14.25" customHeight="1" x14ac:dyDescent="0.25">
      <c r="A399" s="289"/>
      <c r="D399" s="251"/>
      <c r="E399" s="251"/>
      <c r="F399" s="251"/>
      <c r="G399" s="251"/>
      <c r="H399" s="251"/>
      <c r="I399" s="289"/>
      <c r="K399" s="251"/>
      <c r="L399" s="289"/>
    </row>
    <row r="400" spans="1:12" ht="14.25" customHeight="1" x14ac:dyDescent="0.25">
      <c r="A400" s="289"/>
      <c r="D400" s="251"/>
      <c r="E400" s="251"/>
      <c r="F400" s="251"/>
      <c r="G400" s="251"/>
      <c r="H400" s="251"/>
      <c r="I400" s="289"/>
      <c r="K400" s="251"/>
      <c r="L400" s="289"/>
    </row>
    <row r="401" spans="1:12" ht="14.25" customHeight="1" x14ac:dyDescent="0.25">
      <c r="A401" s="289"/>
      <c r="D401" s="251"/>
      <c r="E401" s="251"/>
      <c r="F401" s="251"/>
      <c r="G401" s="251"/>
      <c r="H401" s="251"/>
      <c r="I401" s="289"/>
      <c r="K401" s="251"/>
      <c r="L401" s="289"/>
    </row>
    <row r="402" spans="1:12" ht="14.25" customHeight="1" x14ac:dyDescent="0.25">
      <c r="A402" s="289"/>
      <c r="D402" s="251"/>
      <c r="E402" s="251"/>
      <c r="F402" s="251"/>
      <c r="G402" s="251"/>
      <c r="H402" s="251"/>
      <c r="I402" s="289"/>
      <c r="K402" s="251"/>
      <c r="L402" s="289"/>
    </row>
    <row r="403" spans="1:12" ht="14.25" customHeight="1" x14ac:dyDescent="0.25">
      <c r="A403" s="289"/>
      <c r="D403" s="251"/>
      <c r="E403" s="251"/>
      <c r="F403" s="251"/>
      <c r="G403" s="251"/>
      <c r="H403" s="251"/>
      <c r="I403" s="289"/>
      <c r="K403" s="251"/>
      <c r="L403" s="289"/>
    </row>
    <row r="404" spans="1:12" ht="14.25" customHeight="1" x14ac:dyDescent="0.25">
      <c r="A404" s="289"/>
      <c r="D404" s="251"/>
      <c r="E404" s="251"/>
      <c r="F404" s="251"/>
      <c r="G404" s="251"/>
      <c r="H404" s="251"/>
      <c r="I404" s="289"/>
      <c r="K404" s="251"/>
      <c r="L404" s="289"/>
    </row>
    <row r="405" spans="1:12" ht="14.25" customHeight="1" x14ac:dyDescent="0.25">
      <c r="A405" s="289"/>
      <c r="D405" s="251"/>
      <c r="E405" s="251"/>
      <c r="F405" s="251"/>
      <c r="G405" s="251"/>
      <c r="H405" s="251"/>
      <c r="I405" s="289"/>
      <c r="K405" s="251"/>
      <c r="L405" s="289"/>
    </row>
    <row r="406" spans="1:12" ht="14.25" customHeight="1" x14ac:dyDescent="0.25">
      <c r="A406" s="289"/>
      <c r="D406" s="251"/>
      <c r="E406" s="251"/>
      <c r="F406" s="251"/>
      <c r="G406" s="251"/>
      <c r="H406" s="251"/>
      <c r="I406" s="289"/>
      <c r="K406" s="251"/>
      <c r="L406" s="289"/>
    </row>
    <row r="407" spans="1:12" ht="14.25" customHeight="1" x14ac:dyDescent="0.25">
      <c r="A407" s="289"/>
      <c r="D407" s="251"/>
      <c r="E407" s="251"/>
      <c r="F407" s="251"/>
      <c r="G407" s="251"/>
      <c r="H407" s="251"/>
      <c r="I407" s="289"/>
      <c r="K407" s="251"/>
      <c r="L407" s="289"/>
    </row>
    <row r="408" spans="1:12" ht="14.25" customHeight="1" x14ac:dyDescent="0.25">
      <c r="A408" s="289"/>
      <c r="D408" s="251"/>
      <c r="E408" s="251"/>
      <c r="F408" s="251"/>
      <c r="G408" s="251"/>
      <c r="H408" s="251"/>
      <c r="I408" s="289"/>
      <c r="K408" s="251"/>
      <c r="L408" s="289"/>
    </row>
    <row r="409" spans="1:12" ht="14.25" customHeight="1" x14ac:dyDescent="0.25">
      <c r="A409" s="289"/>
      <c r="D409" s="251"/>
      <c r="E409" s="251"/>
      <c r="F409" s="251"/>
      <c r="G409" s="251"/>
      <c r="H409" s="251"/>
      <c r="I409" s="289"/>
      <c r="K409" s="251"/>
      <c r="L409" s="289"/>
    </row>
    <row r="410" spans="1:12" ht="14.25" customHeight="1" x14ac:dyDescent="0.25">
      <c r="A410" s="289"/>
      <c r="D410" s="251"/>
      <c r="E410" s="251"/>
      <c r="F410" s="251"/>
      <c r="G410" s="251"/>
      <c r="H410" s="251"/>
      <c r="I410" s="289"/>
      <c r="K410" s="251"/>
      <c r="L410" s="289"/>
    </row>
    <row r="411" spans="1:12" ht="14.25" customHeight="1" x14ac:dyDescent="0.25">
      <c r="A411" s="289"/>
      <c r="D411" s="251"/>
      <c r="E411" s="251"/>
      <c r="F411" s="251"/>
      <c r="G411" s="251"/>
      <c r="H411" s="251"/>
      <c r="I411" s="289"/>
      <c r="K411" s="251"/>
      <c r="L411" s="289"/>
    </row>
    <row r="412" spans="1:12" ht="14.25" customHeight="1" x14ac:dyDescent="0.25">
      <c r="A412" s="289"/>
      <c r="D412" s="251"/>
      <c r="E412" s="251"/>
      <c r="F412" s="251"/>
      <c r="G412" s="251"/>
      <c r="H412" s="251"/>
      <c r="I412" s="289"/>
      <c r="K412" s="251"/>
      <c r="L412" s="289"/>
    </row>
    <row r="413" spans="1:12" ht="14.25" customHeight="1" x14ac:dyDescent="0.25">
      <c r="A413" s="289"/>
      <c r="D413" s="251"/>
      <c r="E413" s="251"/>
      <c r="F413" s="251"/>
      <c r="G413" s="251"/>
      <c r="H413" s="251"/>
      <c r="I413" s="289"/>
      <c r="K413" s="251"/>
      <c r="L413" s="289"/>
    </row>
    <row r="414" spans="1:12" ht="14.25" customHeight="1" x14ac:dyDescent="0.25">
      <c r="A414" s="289"/>
      <c r="D414" s="251"/>
      <c r="E414" s="251"/>
      <c r="F414" s="251"/>
      <c r="G414" s="251"/>
      <c r="H414" s="251"/>
      <c r="I414" s="289"/>
      <c r="K414" s="251"/>
      <c r="L414" s="289"/>
    </row>
    <row r="415" spans="1:12" ht="14.25" customHeight="1" x14ac:dyDescent="0.25">
      <c r="A415" s="289"/>
      <c r="D415" s="251"/>
      <c r="E415" s="251"/>
      <c r="F415" s="251"/>
      <c r="G415" s="251"/>
      <c r="H415" s="251"/>
      <c r="I415" s="289"/>
      <c r="K415" s="251"/>
      <c r="L415" s="289"/>
    </row>
    <row r="416" spans="1:12" ht="14.25" customHeight="1" x14ac:dyDescent="0.25">
      <c r="A416" s="289"/>
      <c r="D416" s="251"/>
      <c r="E416" s="251"/>
      <c r="F416" s="251"/>
      <c r="G416" s="251"/>
      <c r="H416" s="251"/>
      <c r="I416" s="289"/>
      <c r="K416" s="251"/>
      <c r="L416" s="289"/>
    </row>
    <row r="417" spans="1:12" ht="14.25" customHeight="1" x14ac:dyDescent="0.25">
      <c r="A417" s="289"/>
      <c r="D417" s="251"/>
      <c r="E417" s="251"/>
      <c r="F417" s="251"/>
      <c r="G417" s="251"/>
      <c r="H417" s="251"/>
      <c r="I417" s="289"/>
      <c r="K417" s="251"/>
      <c r="L417" s="289"/>
    </row>
    <row r="418" spans="1:12" ht="14.25" customHeight="1" x14ac:dyDescent="0.25">
      <c r="A418" s="289"/>
      <c r="D418" s="251"/>
      <c r="E418" s="251"/>
      <c r="F418" s="251"/>
      <c r="G418" s="251"/>
      <c r="H418" s="251"/>
      <c r="I418" s="289"/>
      <c r="K418" s="251"/>
      <c r="L418" s="289"/>
    </row>
    <row r="419" spans="1:12" ht="14.25" customHeight="1" x14ac:dyDescent="0.25">
      <c r="A419" s="289"/>
      <c r="D419" s="251"/>
      <c r="E419" s="251"/>
      <c r="F419" s="251"/>
      <c r="G419" s="251"/>
      <c r="H419" s="251"/>
      <c r="I419" s="289"/>
      <c r="K419" s="251"/>
      <c r="L419" s="289"/>
    </row>
    <row r="420" spans="1:12" ht="14.25" customHeight="1" x14ac:dyDescent="0.25">
      <c r="A420" s="289"/>
      <c r="D420" s="251"/>
      <c r="E420" s="251"/>
      <c r="F420" s="251"/>
      <c r="G420" s="251"/>
      <c r="H420" s="251"/>
      <c r="I420" s="289"/>
      <c r="K420" s="251"/>
      <c r="L420" s="289"/>
    </row>
    <row r="421" spans="1:12" ht="15.75" customHeight="1" x14ac:dyDescent="0.25">
      <c r="D421" s="251"/>
      <c r="E421" s="251"/>
      <c r="F421" s="251"/>
      <c r="G421" s="251"/>
      <c r="H421" s="251"/>
      <c r="K421" s="251"/>
    </row>
    <row r="422" spans="1:12" ht="15.75" customHeight="1" x14ac:dyDescent="0.25">
      <c r="D422" s="251"/>
      <c r="E422" s="251"/>
      <c r="F422" s="251"/>
      <c r="G422" s="251"/>
      <c r="H422" s="251"/>
      <c r="K422" s="251"/>
    </row>
    <row r="423" spans="1:12" ht="15.75" customHeight="1" x14ac:dyDescent="0.25">
      <c r="D423" s="251"/>
      <c r="E423" s="251"/>
      <c r="F423" s="251"/>
      <c r="G423" s="251"/>
      <c r="H423" s="251"/>
      <c r="K423" s="251"/>
    </row>
    <row r="424" spans="1:12" ht="15.75" customHeight="1" x14ac:dyDescent="0.25">
      <c r="D424" s="251"/>
      <c r="E424" s="251"/>
      <c r="F424" s="251"/>
      <c r="G424" s="251"/>
      <c r="H424" s="251"/>
      <c r="K424" s="251"/>
    </row>
    <row r="425" spans="1:12" ht="15.75" customHeight="1" x14ac:dyDescent="0.25">
      <c r="D425" s="251"/>
      <c r="E425" s="251"/>
      <c r="F425" s="251"/>
      <c r="G425" s="251"/>
      <c r="H425" s="251"/>
      <c r="K425" s="251"/>
    </row>
    <row r="426" spans="1:12" ht="15.75" customHeight="1" x14ac:dyDescent="0.25">
      <c r="D426" s="251"/>
      <c r="E426" s="251"/>
      <c r="F426" s="251"/>
      <c r="G426" s="251"/>
      <c r="H426" s="251"/>
      <c r="K426" s="251"/>
    </row>
    <row r="427" spans="1:12" ht="15.75" customHeight="1" x14ac:dyDescent="0.25">
      <c r="D427" s="251"/>
      <c r="E427" s="251"/>
      <c r="F427" s="251"/>
      <c r="G427" s="251"/>
      <c r="H427" s="251"/>
      <c r="K427" s="251"/>
    </row>
    <row r="428" spans="1:12" ht="15.75" customHeight="1" x14ac:dyDescent="0.25">
      <c r="D428" s="251"/>
      <c r="E428" s="251"/>
      <c r="F428" s="251"/>
      <c r="G428" s="251"/>
      <c r="H428" s="251"/>
      <c r="K428" s="251"/>
    </row>
    <row r="429" spans="1:12" ht="15.75" customHeight="1" x14ac:dyDescent="0.25">
      <c r="D429" s="251"/>
      <c r="E429" s="251"/>
      <c r="F429" s="251"/>
      <c r="G429" s="251"/>
      <c r="H429" s="251"/>
      <c r="K429" s="251"/>
    </row>
    <row r="430" spans="1:12" ht="15.75" customHeight="1" x14ac:dyDescent="0.25">
      <c r="D430" s="251"/>
      <c r="E430" s="251"/>
      <c r="F430" s="251"/>
      <c r="G430" s="251"/>
      <c r="H430" s="251"/>
      <c r="K430" s="251"/>
    </row>
    <row r="431" spans="1:12" ht="15.75" customHeight="1" x14ac:dyDescent="0.25">
      <c r="D431" s="251"/>
      <c r="E431" s="251"/>
      <c r="F431" s="251"/>
      <c r="G431" s="251"/>
      <c r="H431" s="251"/>
      <c r="K431" s="251"/>
    </row>
    <row r="432" spans="1:12" ht="15.75" customHeight="1" x14ac:dyDescent="0.25">
      <c r="D432" s="251"/>
      <c r="E432" s="251"/>
      <c r="F432" s="251"/>
      <c r="G432" s="251"/>
      <c r="H432" s="251"/>
      <c r="K432" s="251"/>
    </row>
    <row r="433" spans="4:11" ht="15.75" customHeight="1" x14ac:dyDescent="0.25">
      <c r="D433" s="251"/>
      <c r="E433" s="251"/>
      <c r="F433" s="251"/>
      <c r="G433" s="251"/>
      <c r="H433" s="251"/>
      <c r="K433" s="251"/>
    </row>
    <row r="434" spans="4:11" ht="15.75" customHeight="1" x14ac:dyDescent="0.25">
      <c r="D434" s="251"/>
      <c r="E434" s="251"/>
      <c r="F434" s="251"/>
      <c r="G434" s="251"/>
      <c r="H434" s="251"/>
      <c r="K434" s="251"/>
    </row>
    <row r="435" spans="4:11" ht="15.75" customHeight="1" x14ac:dyDescent="0.25">
      <c r="D435" s="251"/>
      <c r="E435" s="251"/>
      <c r="F435" s="251"/>
      <c r="G435" s="251"/>
      <c r="H435" s="251"/>
      <c r="K435" s="251"/>
    </row>
    <row r="436" spans="4:11" ht="15.75" customHeight="1" x14ac:dyDescent="0.25">
      <c r="D436" s="251"/>
      <c r="E436" s="251"/>
      <c r="F436" s="251"/>
      <c r="G436" s="251"/>
      <c r="H436" s="251"/>
      <c r="K436" s="251"/>
    </row>
    <row r="437" spans="4:11" ht="15.75" customHeight="1" x14ac:dyDescent="0.25">
      <c r="D437" s="251"/>
      <c r="E437" s="251"/>
      <c r="F437" s="251"/>
      <c r="G437" s="251"/>
      <c r="H437" s="251"/>
      <c r="K437" s="251"/>
    </row>
    <row r="438" spans="4:11" ht="15.75" customHeight="1" x14ac:dyDescent="0.25">
      <c r="D438" s="251"/>
      <c r="E438" s="251"/>
      <c r="F438" s="251"/>
      <c r="G438" s="251"/>
      <c r="H438" s="251"/>
      <c r="K438" s="251"/>
    </row>
    <row r="439" spans="4:11" ht="15.75" customHeight="1" x14ac:dyDescent="0.25">
      <c r="D439" s="251"/>
      <c r="E439" s="251"/>
      <c r="F439" s="251"/>
      <c r="G439" s="251"/>
      <c r="H439" s="251"/>
      <c r="K439" s="251"/>
    </row>
    <row r="440" spans="4:11" ht="15.75" customHeight="1" x14ac:dyDescent="0.25">
      <c r="D440" s="251"/>
      <c r="E440" s="251"/>
      <c r="F440" s="251"/>
      <c r="G440" s="251"/>
      <c r="H440" s="251"/>
      <c r="K440" s="251"/>
    </row>
    <row r="441" spans="4:11" ht="15.75" customHeight="1" x14ac:dyDescent="0.25">
      <c r="D441" s="251"/>
      <c r="E441" s="251"/>
      <c r="F441" s="251"/>
      <c r="G441" s="251"/>
      <c r="H441" s="251"/>
      <c r="K441" s="251"/>
    </row>
    <row r="442" spans="4:11" ht="15.75" customHeight="1" x14ac:dyDescent="0.25">
      <c r="D442" s="251"/>
      <c r="E442" s="251"/>
      <c r="F442" s="251"/>
      <c r="G442" s="251"/>
      <c r="H442" s="251"/>
      <c r="K442" s="251"/>
    </row>
    <row r="443" spans="4:11" ht="15.75" customHeight="1" x14ac:dyDescent="0.25">
      <c r="D443" s="251"/>
      <c r="E443" s="251"/>
      <c r="F443" s="251"/>
      <c r="G443" s="251"/>
      <c r="H443" s="251"/>
      <c r="K443" s="251"/>
    </row>
    <row r="444" spans="4:11" ht="15.75" customHeight="1" x14ac:dyDescent="0.25">
      <c r="D444" s="251"/>
      <c r="E444" s="251"/>
      <c r="F444" s="251"/>
      <c r="G444" s="251"/>
      <c r="H444" s="251"/>
      <c r="K444" s="251"/>
    </row>
    <row r="445" spans="4:11" ht="15.75" customHeight="1" x14ac:dyDescent="0.25">
      <c r="D445" s="251"/>
      <c r="E445" s="251"/>
      <c r="F445" s="251"/>
      <c r="G445" s="251"/>
      <c r="H445" s="251"/>
      <c r="K445" s="251"/>
    </row>
    <row r="446" spans="4:11" ht="15.75" customHeight="1" x14ac:dyDescent="0.25">
      <c r="D446" s="251"/>
      <c r="E446" s="251"/>
      <c r="F446" s="251"/>
      <c r="G446" s="251"/>
      <c r="H446" s="251"/>
      <c r="K446" s="251"/>
    </row>
    <row r="447" spans="4:11" ht="15.75" customHeight="1" x14ac:dyDescent="0.25">
      <c r="D447" s="251"/>
      <c r="E447" s="251"/>
      <c r="F447" s="251"/>
      <c r="G447" s="251"/>
      <c r="H447" s="251"/>
      <c r="K447" s="251"/>
    </row>
    <row r="448" spans="4:11" ht="15.75" customHeight="1" x14ac:dyDescent="0.25">
      <c r="D448" s="251"/>
      <c r="E448" s="251"/>
      <c r="F448" s="251"/>
      <c r="G448" s="251"/>
      <c r="H448" s="251"/>
      <c r="K448" s="251"/>
    </row>
    <row r="449" spans="4:11" ht="15.75" customHeight="1" x14ac:dyDescent="0.25">
      <c r="D449" s="251"/>
      <c r="E449" s="251"/>
      <c r="F449" s="251"/>
      <c r="G449" s="251"/>
      <c r="H449" s="251"/>
      <c r="K449" s="251"/>
    </row>
    <row r="450" spans="4:11" ht="15.75" customHeight="1" x14ac:dyDescent="0.25">
      <c r="D450" s="251"/>
      <c r="E450" s="251"/>
      <c r="F450" s="251"/>
      <c r="G450" s="251"/>
      <c r="H450" s="251"/>
      <c r="K450" s="251"/>
    </row>
    <row r="451" spans="4:11" ht="15.75" customHeight="1" x14ac:dyDescent="0.25">
      <c r="D451" s="251"/>
      <c r="E451" s="251"/>
      <c r="F451" s="251"/>
      <c r="G451" s="251"/>
      <c r="H451" s="251"/>
      <c r="K451" s="251"/>
    </row>
    <row r="452" spans="4:11" ht="15.75" customHeight="1" x14ac:dyDescent="0.25">
      <c r="D452" s="251"/>
      <c r="E452" s="251"/>
      <c r="F452" s="251"/>
      <c r="G452" s="251"/>
      <c r="H452" s="251"/>
      <c r="K452" s="251"/>
    </row>
    <row r="453" spans="4:11" ht="15.75" customHeight="1" x14ac:dyDescent="0.25">
      <c r="D453" s="251"/>
      <c r="E453" s="251"/>
      <c r="F453" s="251"/>
      <c r="G453" s="251"/>
      <c r="H453" s="251"/>
      <c r="K453" s="251"/>
    </row>
    <row r="454" spans="4:11" ht="15.75" customHeight="1" x14ac:dyDescent="0.25">
      <c r="D454" s="251"/>
      <c r="E454" s="251"/>
      <c r="F454" s="251"/>
      <c r="G454" s="251"/>
      <c r="H454" s="251"/>
      <c r="K454" s="251"/>
    </row>
    <row r="455" spans="4:11" ht="15.75" customHeight="1" x14ac:dyDescent="0.25">
      <c r="D455" s="251"/>
      <c r="E455" s="251"/>
      <c r="F455" s="251"/>
      <c r="G455" s="251"/>
      <c r="H455" s="251"/>
      <c r="K455" s="251"/>
    </row>
    <row r="456" spans="4:11" ht="15.75" customHeight="1" x14ac:dyDescent="0.25">
      <c r="D456" s="251"/>
      <c r="E456" s="251"/>
      <c r="F456" s="251"/>
      <c r="G456" s="251"/>
      <c r="H456" s="251"/>
      <c r="K456" s="251"/>
    </row>
    <row r="457" spans="4:11" ht="15.75" customHeight="1" x14ac:dyDescent="0.25">
      <c r="D457" s="251"/>
      <c r="E457" s="251"/>
      <c r="F457" s="251"/>
      <c r="G457" s="251"/>
      <c r="H457" s="251"/>
      <c r="K457" s="251"/>
    </row>
    <row r="458" spans="4:11" ht="15.75" customHeight="1" x14ac:dyDescent="0.25">
      <c r="D458" s="251"/>
      <c r="E458" s="251"/>
      <c r="F458" s="251"/>
      <c r="G458" s="251"/>
      <c r="H458" s="251"/>
      <c r="K458" s="251"/>
    </row>
    <row r="459" spans="4:11" ht="15.75" customHeight="1" x14ac:dyDescent="0.25">
      <c r="D459" s="251"/>
      <c r="E459" s="251"/>
      <c r="F459" s="251"/>
      <c r="G459" s="251"/>
      <c r="H459" s="251"/>
      <c r="K459" s="251"/>
    </row>
    <row r="460" spans="4:11" ht="15.75" customHeight="1" x14ac:dyDescent="0.25">
      <c r="D460" s="251"/>
      <c r="E460" s="251"/>
      <c r="F460" s="251"/>
      <c r="G460" s="251"/>
      <c r="H460" s="251"/>
      <c r="K460" s="251"/>
    </row>
    <row r="461" spans="4:11" ht="15.75" customHeight="1" x14ac:dyDescent="0.25">
      <c r="D461" s="251"/>
      <c r="E461" s="251"/>
      <c r="F461" s="251"/>
      <c r="G461" s="251"/>
      <c r="H461" s="251"/>
      <c r="K461" s="251"/>
    </row>
    <row r="462" spans="4:11" ht="15.75" customHeight="1" x14ac:dyDescent="0.25">
      <c r="D462" s="251"/>
      <c r="E462" s="251"/>
      <c r="F462" s="251"/>
      <c r="G462" s="251"/>
      <c r="H462" s="251"/>
      <c r="K462" s="251"/>
    </row>
    <row r="463" spans="4:11" ht="15.75" customHeight="1" x14ac:dyDescent="0.25">
      <c r="D463" s="251"/>
      <c r="E463" s="251"/>
      <c r="F463" s="251"/>
      <c r="G463" s="251"/>
      <c r="H463" s="251"/>
      <c r="K463" s="251"/>
    </row>
    <row r="464" spans="4:11" ht="15.75" customHeight="1" x14ac:dyDescent="0.25">
      <c r="D464" s="251"/>
      <c r="E464" s="251"/>
      <c r="F464" s="251"/>
      <c r="G464" s="251"/>
      <c r="H464" s="251"/>
      <c r="K464" s="251"/>
    </row>
    <row r="465" spans="4:11" ht="15.75" customHeight="1" x14ac:dyDescent="0.25">
      <c r="D465" s="251"/>
      <c r="E465" s="251"/>
      <c r="F465" s="251"/>
      <c r="G465" s="251"/>
      <c r="H465" s="251"/>
      <c r="K465" s="251"/>
    </row>
    <row r="466" spans="4:11" ht="15.75" customHeight="1" x14ac:dyDescent="0.25">
      <c r="D466" s="251"/>
      <c r="E466" s="251"/>
      <c r="F466" s="251"/>
      <c r="G466" s="251"/>
      <c r="H466" s="251"/>
      <c r="K466" s="251"/>
    </row>
    <row r="467" spans="4:11" ht="15.75" customHeight="1" x14ac:dyDescent="0.25">
      <c r="D467" s="251"/>
      <c r="E467" s="251"/>
      <c r="F467" s="251"/>
      <c r="G467" s="251"/>
      <c r="H467" s="251"/>
      <c r="K467" s="251"/>
    </row>
    <row r="468" spans="4:11" ht="15.75" customHeight="1" x14ac:dyDescent="0.25">
      <c r="D468" s="251"/>
      <c r="E468" s="251"/>
      <c r="F468" s="251"/>
      <c r="G468" s="251"/>
      <c r="H468" s="251"/>
      <c r="K468" s="251"/>
    </row>
    <row r="469" spans="4:11" ht="15.75" customHeight="1" x14ac:dyDescent="0.25">
      <c r="D469" s="251"/>
      <c r="E469" s="251"/>
      <c r="F469" s="251"/>
      <c r="G469" s="251"/>
      <c r="H469" s="251"/>
      <c r="K469" s="251"/>
    </row>
    <row r="470" spans="4:11" ht="15.75" customHeight="1" x14ac:dyDescent="0.25">
      <c r="D470" s="251"/>
      <c r="E470" s="251"/>
      <c r="F470" s="251"/>
      <c r="G470" s="251"/>
      <c r="H470" s="251"/>
      <c r="K470" s="251"/>
    </row>
    <row r="471" spans="4:11" ht="15.75" customHeight="1" x14ac:dyDescent="0.25">
      <c r="D471" s="251"/>
      <c r="E471" s="251"/>
      <c r="F471" s="251"/>
      <c r="G471" s="251"/>
      <c r="H471" s="251"/>
      <c r="K471" s="251"/>
    </row>
    <row r="472" spans="4:11" ht="15.75" customHeight="1" x14ac:dyDescent="0.25">
      <c r="D472" s="251"/>
      <c r="E472" s="251"/>
      <c r="F472" s="251"/>
      <c r="G472" s="251"/>
      <c r="H472" s="251"/>
      <c r="K472" s="251"/>
    </row>
    <row r="473" spans="4:11" ht="15.75" customHeight="1" x14ac:dyDescent="0.25">
      <c r="D473" s="251"/>
      <c r="E473" s="251"/>
      <c r="F473" s="251"/>
      <c r="G473" s="251"/>
      <c r="H473" s="251"/>
      <c r="K473" s="251"/>
    </row>
    <row r="474" spans="4:11" ht="15.75" customHeight="1" x14ac:dyDescent="0.25">
      <c r="D474" s="251"/>
      <c r="E474" s="251"/>
      <c r="F474" s="251"/>
      <c r="G474" s="251"/>
      <c r="H474" s="251"/>
      <c r="K474" s="251"/>
    </row>
    <row r="475" spans="4:11" ht="15.75" customHeight="1" x14ac:dyDescent="0.25">
      <c r="D475" s="251"/>
      <c r="E475" s="251"/>
      <c r="F475" s="251"/>
      <c r="G475" s="251"/>
      <c r="H475" s="251"/>
      <c r="K475" s="251"/>
    </row>
    <row r="476" spans="4:11" ht="15.75" customHeight="1" x14ac:dyDescent="0.25">
      <c r="D476" s="251"/>
      <c r="E476" s="251"/>
      <c r="F476" s="251"/>
      <c r="G476" s="251"/>
      <c r="H476" s="251"/>
      <c r="K476" s="251"/>
    </row>
    <row r="477" spans="4:11" ht="15.75" customHeight="1" x14ac:dyDescent="0.25">
      <c r="D477" s="251"/>
      <c r="E477" s="251"/>
      <c r="F477" s="251"/>
      <c r="G477" s="251"/>
      <c r="H477" s="251"/>
      <c r="K477" s="251"/>
    </row>
    <row r="478" spans="4:11" ht="15.75" customHeight="1" x14ac:dyDescent="0.25">
      <c r="D478" s="251"/>
      <c r="E478" s="251"/>
      <c r="F478" s="251"/>
      <c r="G478" s="251"/>
      <c r="H478" s="251"/>
      <c r="K478" s="251"/>
    </row>
    <row r="479" spans="4:11" ht="15.75" customHeight="1" x14ac:dyDescent="0.25">
      <c r="D479" s="251"/>
      <c r="E479" s="251"/>
      <c r="F479" s="251"/>
      <c r="G479" s="251"/>
      <c r="H479" s="251"/>
      <c r="K479" s="251"/>
    </row>
    <row r="480" spans="4:11" ht="15.75" customHeight="1" x14ac:dyDescent="0.25">
      <c r="D480" s="251"/>
      <c r="E480" s="251"/>
      <c r="F480" s="251"/>
      <c r="G480" s="251"/>
      <c r="H480" s="251"/>
      <c r="K480" s="251"/>
    </row>
    <row r="481" spans="4:11" ht="15.75" customHeight="1" x14ac:dyDescent="0.25">
      <c r="D481" s="251"/>
      <c r="E481" s="251"/>
      <c r="F481" s="251"/>
      <c r="G481" s="251"/>
      <c r="H481" s="251"/>
      <c r="K481" s="251"/>
    </row>
    <row r="482" spans="4:11" ht="15.75" customHeight="1" x14ac:dyDescent="0.25">
      <c r="D482" s="251"/>
      <c r="E482" s="251"/>
      <c r="F482" s="251"/>
      <c r="G482" s="251"/>
      <c r="H482" s="251"/>
      <c r="K482" s="251"/>
    </row>
    <row r="483" spans="4:11" ht="15.75" customHeight="1" x14ac:dyDescent="0.25">
      <c r="D483" s="251"/>
      <c r="E483" s="251"/>
      <c r="F483" s="251"/>
      <c r="G483" s="251"/>
      <c r="H483" s="251"/>
      <c r="K483" s="251"/>
    </row>
    <row r="484" spans="4:11" ht="15.75" customHeight="1" x14ac:dyDescent="0.25">
      <c r="D484" s="251"/>
      <c r="E484" s="251"/>
      <c r="F484" s="251"/>
      <c r="G484" s="251"/>
      <c r="H484" s="251"/>
      <c r="K484" s="251"/>
    </row>
    <row r="485" spans="4:11" ht="15.75" customHeight="1" x14ac:dyDescent="0.25">
      <c r="D485" s="251"/>
      <c r="E485" s="251"/>
      <c r="F485" s="251"/>
      <c r="G485" s="251"/>
      <c r="H485" s="251"/>
      <c r="K485" s="251"/>
    </row>
    <row r="486" spans="4:11" ht="15.75" customHeight="1" x14ac:dyDescent="0.25">
      <c r="D486" s="251"/>
      <c r="E486" s="251"/>
      <c r="F486" s="251"/>
      <c r="G486" s="251"/>
      <c r="H486" s="251"/>
      <c r="K486" s="251"/>
    </row>
    <row r="487" spans="4:11" ht="15.75" customHeight="1" x14ac:dyDescent="0.25">
      <c r="D487" s="251"/>
      <c r="E487" s="251"/>
      <c r="F487" s="251"/>
      <c r="G487" s="251"/>
      <c r="H487" s="251"/>
      <c r="K487" s="251"/>
    </row>
    <row r="488" spans="4:11" ht="15.75" customHeight="1" x14ac:dyDescent="0.25">
      <c r="D488" s="251"/>
      <c r="E488" s="251"/>
      <c r="F488" s="251"/>
      <c r="G488" s="251"/>
      <c r="H488" s="251"/>
      <c r="K488" s="251"/>
    </row>
    <row r="489" spans="4:11" ht="15.75" customHeight="1" x14ac:dyDescent="0.25">
      <c r="D489" s="251"/>
      <c r="E489" s="251"/>
      <c r="F489" s="251"/>
      <c r="G489" s="251"/>
      <c r="H489" s="251"/>
      <c r="K489" s="251"/>
    </row>
    <row r="490" spans="4:11" ht="15.75" customHeight="1" x14ac:dyDescent="0.25">
      <c r="D490" s="251"/>
      <c r="E490" s="251"/>
      <c r="F490" s="251"/>
      <c r="G490" s="251"/>
      <c r="H490" s="251"/>
      <c r="K490" s="251"/>
    </row>
    <row r="491" spans="4:11" ht="15.75" customHeight="1" x14ac:dyDescent="0.25">
      <c r="D491" s="251"/>
      <c r="E491" s="251"/>
      <c r="F491" s="251"/>
      <c r="G491" s="251"/>
      <c r="H491" s="251"/>
      <c r="K491" s="251"/>
    </row>
    <row r="492" spans="4:11" ht="15.75" customHeight="1" x14ac:dyDescent="0.25">
      <c r="D492" s="251"/>
      <c r="E492" s="251"/>
      <c r="F492" s="251"/>
      <c r="G492" s="251"/>
      <c r="H492" s="251"/>
      <c r="K492" s="251"/>
    </row>
    <row r="493" spans="4:11" ht="15.75" customHeight="1" x14ac:dyDescent="0.25">
      <c r="D493" s="251"/>
      <c r="E493" s="251"/>
      <c r="F493" s="251"/>
      <c r="G493" s="251"/>
      <c r="H493" s="251"/>
      <c r="K493" s="251"/>
    </row>
    <row r="494" spans="4:11" ht="15.75" customHeight="1" x14ac:dyDescent="0.25">
      <c r="D494" s="251"/>
      <c r="E494" s="251"/>
      <c r="F494" s="251"/>
      <c r="G494" s="251"/>
      <c r="H494" s="251"/>
      <c r="K494" s="251"/>
    </row>
    <row r="495" spans="4:11" ht="15.75" customHeight="1" x14ac:dyDescent="0.25">
      <c r="D495" s="251"/>
      <c r="E495" s="251"/>
      <c r="F495" s="251"/>
      <c r="G495" s="251"/>
      <c r="H495" s="251"/>
      <c r="K495" s="251"/>
    </row>
    <row r="496" spans="4:11" ht="15.75" customHeight="1" x14ac:dyDescent="0.25">
      <c r="D496" s="251"/>
      <c r="E496" s="251"/>
      <c r="F496" s="251"/>
      <c r="G496" s="251"/>
      <c r="H496" s="251"/>
      <c r="K496" s="251"/>
    </row>
    <row r="497" spans="4:11" ht="15.75" customHeight="1" x14ac:dyDescent="0.25">
      <c r="D497" s="251"/>
      <c r="E497" s="251"/>
      <c r="F497" s="251"/>
      <c r="G497" s="251"/>
      <c r="H497" s="251"/>
      <c r="K497" s="251"/>
    </row>
    <row r="498" spans="4:11" ht="15.75" customHeight="1" x14ac:dyDescent="0.25">
      <c r="D498" s="251"/>
      <c r="E498" s="251"/>
      <c r="F498" s="251"/>
      <c r="G498" s="251"/>
      <c r="H498" s="251"/>
      <c r="K498" s="251"/>
    </row>
    <row r="499" spans="4:11" ht="15.75" customHeight="1" x14ac:dyDescent="0.25">
      <c r="D499" s="251"/>
      <c r="E499" s="251"/>
      <c r="F499" s="251"/>
      <c r="G499" s="251"/>
      <c r="H499" s="251"/>
      <c r="K499" s="251"/>
    </row>
    <row r="500" spans="4:11" ht="15.75" customHeight="1" x14ac:dyDescent="0.25">
      <c r="D500" s="251"/>
      <c r="E500" s="251"/>
      <c r="F500" s="251"/>
      <c r="G500" s="251"/>
      <c r="H500" s="251"/>
      <c r="K500" s="251"/>
    </row>
    <row r="501" spans="4:11" ht="15.75" customHeight="1" x14ac:dyDescent="0.25">
      <c r="D501" s="251"/>
      <c r="E501" s="251"/>
      <c r="F501" s="251"/>
      <c r="G501" s="251"/>
      <c r="H501" s="251"/>
      <c r="K501" s="251"/>
    </row>
    <row r="502" spans="4:11" ht="15.75" customHeight="1" x14ac:dyDescent="0.25">
      <c r="D502" s="251"/>
      <c r="E502" s="251"/>
      <c r="F502" s="251"/>
      <c r="G502" s="251"/>
      <c r="H502" s="251"/>
      <c r="K502" s="251"/>
    </row>
    <row r="503" spans="4:11" ht="15.75" customHeight="1" x14ac:dyDescent="0.25">
      <c r="D503" s="251"/>
      <c r="E503" s="251"/>
      <c r="F503" s="251"/>
      <c r="G503" s="251"/>
      <c r="H503" s="251"/>
      <c r="K503" s="251"/>
    </row>
    <row r="504" spans="4:11" ht="15.75" customHeight="1" x14ac:dyDescent="0.25">
      <c r="D504" s="251"/>
      <c r="E504" s="251"/>
      <c r="F504" s="251"/>
      <c r="G504" s="251"/>
      <c r="H504" s="251"/>
      <c r="K504" s="251"/>
    </row>
    <row r="505" spans="4:11" ht="15.75" customHeight="1" x14ac:dyDescent="0.25">
      <c r="D505" s="251"/>
      <c r="E505" s="251"/>
      <c r="F505" s="251"/>
      <c r="G505" s="251"/>
      <c r="H505" s="251"/>
      <c r="K505" s="251"/>
    </row>
    <row r="506" spans="4:11" ht="15.75" customHeight="1" x14ac:dyDescent="0.25">
      <c r="D506" s="251"/>
      <c r="E506" s="251"/>
      <c r="F506" s="251"/>
      <c r="G506" s="251"/>
      <c r="H506" s="251"/>
      <c r="K506" s="251"/>
    </row>
    <row r="507" spans="4:11" ht="15.75" customHeight="1" x14ac:dyDescent="0.25">
      <c r="D507" s="251"/>
      <c r="E507" s="251"/>
      <c r="F507" s="251"/>
      <c r="G507" s="251"/>
      <c r="H507" s="251"/>
      <c r="K507" s="251"/>
    </row>
    <row r="508" spans="4:11" ht="15.75" customHeight="1" x14ac:dyDescent="0.25">
      <c r="D508" s="251"/>
      <c r="E508" s="251"/>
      <c r="F508" s="251"/>
      <c r="G508" s="251"/>
      <c r="H508" s="251"/>
      <c r="K508" s="251"/>
    </row>
    <row r="509" spans="4:11" ht="15.75" customHeight="1" x14ac:dyDescent="0.25">
      <c r="D509" s="251"/>
      <c r="E509" s="251"/>
      <c r="F509" s="251"/>
      <c r="G509" s="251"/>
      <c r="H509" s="251"/>
      <c r="K509" s="251"/>
    </row>
    <row r="510" spans="4:11" ht="15.75" customHeight="1" x14ac:dyDescent="0.25">
      <c r="D510" s="251"/>
      <c r="E510" s="251"/>
      <c r="F510" s="251"/>
      <c r="G510" s="251"/>
      <c r="H510" s="251"/>
      <c r="K510" s="251"/>
    </row>
    <row r="511" spans="4:11" ht="15.75" customHeight="1" x14ac:dyDescent="0.25">
      <c r="D511" s="251"/>
      <c r="E511" s="251"/>
      <c r="F511" s="251"/>
      <c r="G511" s="251"/>
      <c r="H511" s="251"/>
      <c r="K511" s="251"/>
    </row>
    <row r="512" spans="4:11" ht="15.75" customHeight="1" x14ac:dyDescent="0.25">
      <c r="D512" s="251"/>
      <c r="E512" s="251"/>
      <c r="F512" s="251"/>
      <c r="G512" s="251"/>
      <c r="H512" s="251"/>
      <c r="K512" s="251"/>
    </row>
    <row r="513" spans="4:11" ht="15.75" customHeight="1" x14ac:dyDescent="0.25">
      <c r="D513" s="251"/>
      <c r="E513" s="251"/>
      <c r="F513" s="251"/>
      <c r="G513" s="251"/>
      <c r="H513" s="251"/>
      <c r="K513" s="251"/>
    </row>
    <row r="514" spans="4:11" ht="15.75" customHeight="1" x14ac:dyDescent="0.25">
      <c r="D514" s="251"/>
      <c r="E514" s="251"/>
      <c r="F514" s="251"/>
      <c r="G514" s="251"/>
      <c r="H514" s="251"/>
      <c r="K514" s="251"/>
    </row>
    <row r="515" spans="4:11" ht="15.75" customHeight="1" x14ac:dyDescent="0.25">
      <c r="D515" s="251"/>
      <c r="E515" s="251"/>
      <c r="F515" s="251"/>
      <c r="G515" s="251"/>
      <c r="H515" s="251"/>
      <c r="K515" s="251"/>
    </row>
    <row r="516" spans="4:11" ht="15.75" customHeight="1" x14ac:dyDescent="0.25">
      <c r="D516" s="251"/>
      <c r="E516" s="251"/>
      <c r="F516" s="251"/>
      <c r="G516" s="251"/>
      <c r="H516" s="251"/>
      <c r="K516" s="251"/>
    </row>
    <row r="517" spans="4:11" ht="15.75" customHeight="1" x14ac:dyDescent="0.25">
      <c r="D517" s="251"/>
      <c r="E517" s="251"/>
      <c r="F517" s="251"/>
      <c r="G517" s="251"/>
      <c r="H517" s="251"/>
      <c r="K517" s="251"/>
    </row>
    <row r="518" spans="4:11" ht="15.75" customHeight="1" x14ac:dyDescent="0.25">
      <c r="D518" s="251"/>
      <c r="E518" s="251"/>
      <c r="F518" s="251"/>
      <c r="G518" s="251"/>
      <c r="H518" s="251"/>
      <c r="K518" s="251"/>
    </row>
    <row r="519" spans="4:11" ht="15.75" customHeight="1" x14ac:dyDescent="0.25">
      <c r="D519" s="251"/>
      <c r="E519" s="251"/>
      <c r="F519" s="251"/>
      <c r="G519" s="251"/>
      <c r="H519" s="251"/>
      <c r="K519" s="251"/>
    </row>
    <row r="520" spans="4:11" ht="15.75" customHeight="1" x14ac:dyDescent="0.25">
      <c r="D520" s="251"/>
      <c r="E520" s="251"/>
      <c r="F520" s="251"/>
      <c r="G520" s="251"/>
      <c r="H520" s="251"/>
      <c r="K520" s="251"/>
    </row>
    <row r="521" spans="4:11" ht="15.75" customHeight="1" x14ac:dyDescent="0.25">
      <c r="D521" s="251"/>
      <c r="E521" s="251"/>
      <c r="F521" s="251"/>
      <c r="G521" s="251"/>
      <c r="H521" s="251"/>
      <c r="K521" s="251"/>
    </row>
    <row r="522" spans="4:11" ht="15.75" customHeight="1" x14ac:dyDescent="0.25">
      <c r="D522" s="251"/>
      <c r="E522" s="251"/>
      <c r="F522" s="251"/>
      <c r="G522" s="251"/>
      <c r="H522" s="251"/>
      <c r="K522" s="251"/>
    </row>
    <row r="523" spans="4:11" ht="15.75" customHeight="1" x14ac:dyDescent="0.25">
      <c r="D523" s="251"/>
      <c r="E523" s="251"/>
      <c r="F523" s="251"/>
      <c r="G523" s="251"/>
      <c r="H523" s="251"/>
      <c r="K523" s="251"/>
    </row>
    <row r="524" spans="4:11" ht="15.75" customHeight="1" x14ac:dyDescent="0.25">
      <c r="D524" s="251"/>
      <c r="E524" s="251"/>
      <c r="F524" s="251"/>
      <c r="G524" s="251"/>
      <c r="H524" s="251"/>
      <c r="K524" s="251"/>
    </row>
    <row r="525" spans="4:11" ht="15.75" customHeight="1" x14ac:dyDescent="0.25">
      <c r="D525" s="251"/>
      <c r="E525" s="251"/>
      <c r="F525" s="251"/>
      <c r="G525" s="251"/>
      <c r="H525" s="251"/>
      <c r="K525" s="251"/>
    </row>
    <row r="526" spans="4:11" ht="15.75" customHeight="1" x14ac:dyDescent="0.25">
      <c r="D526" s="251"/>
      <c r="E526" s="251"/>
      <c r="F526" s="251"/>
      <c r="G526" s="251"/>
      <c r="H526" s="251"/>
      <c r="K526" s="251"/>
    </row>
    <row r="527" spans="4:11" ht="15.75" customHeight="1" x14ac:dyDescent="0.25">
      <c r="D527" s="251"/>
      <c r="E527" s="251"/>
      <c r="F527" s="251"/>
      <c r="G527" s="251"/>
      <c r="H527" s="251"/>
      <c r="K527" s="251"/>
    </row>
    <row r="528" spans="4:11" ht="15.75" customHeight="1" x14ac:dyDescent="0.25">
      <c r="D528" s="251"/>
      <c r="E528" s="251"/>
      <c r="F528" s="251"/>
      <c r="G528" s="251"/>
      <c r="H528" s="251"/>
      <c r="K528" s="251"/>
    </row>
    <row r="529" spans="4:11" ht="15.75" customHeight="1" x14ac:dyDescent="0.25">
      <c r="D529" s="251"/>
      <c r="E529" s="251"/>
      <c r="F529" s="251"/>
      <c r="G529" s="251"/>
      <c r="H529" s="251"/>
      <c r="K529" s="251"/>
    </row>
    <row r="530" spans="4:11" ht="15.75" customHeight="1" x14ac:dyDescent="0.25">
      <c r="D530" s="251"/>
      <c r="E530" s="251"/>
      <c r="F530" s="251"/>
      <c r="G530" s="251"/>
      <c r="H530" s="251"/>
      <c r="K530" s="251"/>
    </row>
    <row r="531" spans="4:11" ht="15.75" customHeight="1" x14ac:dyDescent="0.25">
      <c r="D531" s="251"/>
      <c r="E531" s="251"/>
      <c r="F531" s="251"/>
      <c r="G531" s="251"/>
      <c r="H531" s="251"/>
      <c r="K531" s="251"/>
    </row>
    <row r="532" spans="4:11" ht="15.75" customHeight="1" x14ac:dyDescent="0.25">
      <c r="D532" s="251"/>
      <c r="E532" s="251"/>
      <c r="F532" s="251"/>
      <c r="G532" s="251"/>
      <c r="H532" s="251"/>
      <c r="K532" s="251"/>
    </row>
    <row r="533" spans="4:11" ht="15.75" customHeight="1" x14ac:dyDescent="0.25">
      <c r="D533" s="251"/>
      <c r="E533" s="251"/>
      <c r="F533" s="251"/>
      <c r="G533" s="251"/>
      <c r="H533" s="251"/>
      <c r="K533" s="251"/>
    </row>
    <row r="534" spans="4:11" ht="15.75" customHeight="1" x14ac:dyDescent="0.25">
      <c r="D534" s="251"/>
      <c r="E534" s="251"/>
      <c r="F534" s="251"/>
      <c r="G534" s="251"/>
      <c r="H534" s="251"/>
      <c r="K534" s="251"/>
    </row>
    <row r="535" spans="4:11" ht="15.75" customHeight="1" x14ac:dyDescent="0.25">
      <c r="D535" s="251"/>
      <c r="E535" s="251"/>
      <c r="F535" s="251"/>
      <c r="G535" s="251"/>
      <c r="H535" s="251"/>
      <c r="K535" s="251"/>
    </row>
    <row r="536" spans="4:11" ht="15.75" customHeight="1" x14ac:dyDescent="0.25">
      <c r="D536" s="251"/>
      <c r="E536" s="251"/>
      <c r="F536" s="251"/>
      <c r="G536" s="251"/>
      <c r="H536" s="251"/>
      <c r="K536" s="251"/>
    </row>
    <row r="537" spans="4:11" ht="15.75" customHeight="1" x14ac:dyDescent="0.25">
      <c r="D537" s="251"/>
      <c r="E537" s="251"/>
      <c r="F537" s="251"/>
      <c r="G537" s="251"/>
      <c r="H537" s="251"/>
      <c r="K537" s="251"/>
    </row>
    <row r="538" spans="4:11" ht="15.75" customHeight="1" x14ac:dyDescent="0.25">
      <c r="D538" s="251"/>
      <c r="E538" s="251"/>
      <c r="F538" s="251"/>
      <c r="G538" s="251"/>
      <c r="H538" s="251"/>
      <c r="K538" s="251"/>
    </row>
    <row r="539" spans="4:11" ht="15.75" customHeight="1" x14ac:dyDescent="0.25">
      <c r="D539" s="251"/>
      <c r="E539" s="251"/>
      <c r="F539" s="251"/>
      <c r="G539" s="251"/>
      <c r="H539" s="251"/>
      <c r="K539" s="251"/>
    </row>
    <row r="540" spans="4:11" ht="15.75" customHeight="1" x14ac:dyDescent="0.25">
      <c r="D540" s="251"/>
      <c r="E540" s="251"/>
      <c r="F540" s="251"/>
      <c r="G540" s="251"/>
      <c r="H540" s="251"/>
      <c r="K540" s="251"/>
    </row>
    <row r="541" spans="4:11" ht="15.75" customHeight="1" x14ac:dyDescent="0.25">
      <c r="D541" s="251"/>
      <c r="E541" s="251"/>
      <c r="F541" s="251"/>
      <c r="G541" s="251"/>
      <c r="H541" s="251"/>
      <c r="K541" s="251"/>
    </row>
    <row r="542" spans="4:11" ht="15.75" customHeight="1" x14ac:dyDescent="0.25">
      <c r="D542" s="251"/>
      <c r="E542" s="251"/>
      <c r="F542" s="251"/>
      <c r="G542" s="251"/>
      <c r="H542" s="251"/>
      <c r="K542" s="251"/>
    </row>
    <row r="543" spans="4:11" ht="15.75" customHeight="1" x14ac:dyDescent="0.25">
      <c r="D543" s="251"/>
      <c r="E543" s="251"/>
      <c r="F543" s="251"/>
      <c r="G543" s="251"/>
      <c r="H543" s="251"/>
      <c r="K543" s="251"/>
    </row>
    <row r="544" spans="4:11" ht="15.75" customHeight="1" x14ac:dyDescent="0.25">
      <c r="D544" s="251"/>
      <c r="E544" s="251"/>
      <c r="F544" s="251"/>
      <c r="G544" s="251"/>
      <c r="H544" s="251"/>
      <c r="K544" s="251"/>
    </row>
    <row r="545" spans="4:11" ht="15.75" customHeight="1" x14ac:dyDescent="0.25">
      <c r="D545" s="251"/>
      <c r="E545" s="251"/>
      <c r="F545" s="251"/>
      <c r="G545" s="251"/>
      <c r="H545" s="251"/>
      <c r="K545" s="251"/>
    </row>
    <row r="546" spans="4:11" ht="15.75" customHeight="1" x14ac:dyDescent="0.25">
      <c r="D546" s="251"/>
      <c r="E546" s="251"/>
      <c r="F546" s="251"/>
      <c r="G546" s="251"/>
      <c r="H546" s="251"/>
      <c r="K546" s="251"/>
    </row>
    <row r="547" spans="4:11" ht="15.75" customHeight="1" x14ac:dyDescent="0.25">
      <c r="D547" s="251"/>
      <c r="E547" s="251"/>
      <c r="F547" s="251"/>
      <c r="G547" s="251"/>
      <c r="H547" s="251"/>
      <c r="K547" s="251"/>
    </row>
    <row r="548" spans="4:11" ht="15.75" customHeight="1" x14ac:dyDescent="0.25">
      <c r="D548" s="251"/>
      <c r="E548" s="251"/>
      <c r="F548" s="251"/>
      <c r="G548" s="251"/>
      <c r="H548" s="251"/>
      <c r="K548" s="251"/>
    </row>
    <row r="549" spans="4:11" ht="15.75" customHeight="1" x14ac:dyDescent="0.25">
      <c r="D549" s="251"/>
      <c r="E549" s="251"/>
      <c r="F549" s="251"/>
      <c r="G549" s="251"/>
      <c r="H549" s="251"/>
      <c r="K549" s="251"/>
    </row>
    <row r="550" spans="4:11" ht="15.75" customHeight="1" x14ac:dyDescent="0.25">
      <c r="D550" s="251"/>
      <c r="E550" s="251"/>
      <c r="F550" s="251"/>
      <c r="G550" s="251"/>
      <c r="H550" s="251"/>
      <c r="K550" s="251"/>
    </row>
    <row r="551" spans="4:11" ht="15.75" customHeight="1" x14ac:dyDescent="0.25">
      <c r="D551" s="251"/>
      <c r="E551" s="251"/>
      <c r="F551" s="251"/>
      <c r="G551" s="251"/>
      <c r="H551" s="251"/>
      <c r="K551" s="251"/>
    </row>
    <row r="552" spans="4:11" ht="15.75" customHeight="1" x14ac:dyDescent="0.25">
      <c r="D552" s="251"/>
      <c r="E552" s="251"/>
      <c r="F552" s="251"/>
      <c r="G552" s="251"/>
      <c r="H552" s="251"/>
      <c r="K552" s="251"/>
    </row>
    <row r="553" spans="4:11" ht="15.75" customHeight="1" x14ac:dyDescent="0.25">
      <c r="D553" s="251"/>
      <c r="E553" s="251"/>
      <c r="F553" s="251"/>
      <c r="G553" s="251"/>
      <c r="H553" s="251"/>
      <c r="K553" s="251"/>
    </row>
    <row r="554" spans="4:11" ht="15.75" customHeight="1" x14ac:dyDescent="0.25">
      <c r="D554" s="251"/>
      <c r="E554" s="251"/>
      <c r="F554" s="251"/>
      <c r="G554" s="251"/>
      <c r="H554" s="251"/>
      <c r="K554" s="251"/>
    </row>
    <row r="555" spans="4:11" ht="15.75" customHeight="1" x14ac:dyDescent="0.25">
      <c r="D555" s="251"/>
      <c r="E555" s="251"/>
      <c r="F555" s="251"/>
      <c r="G555" s="251"/>
      <c r="H555" s="251"/>
      <c r="K555" s="251"/>
    </row>
    <row r="556" spans="4:11" ht="15.75" customHeight="1" x14ac:dyDescent="0.25">
      <c r="D556" s="251"/>
      <c r="E556" s="251"/>
      <c r="F556" s="251"/>
      <c r="G556" s="251"/>
      <c r="H556" s="251"/>
      <c r="K556" s="251"/>
    </row>
    <row r="557" spans="4:11" ht="15.75" customHeight="1" x14ac:dyDescent="0.25">
      <c r="D557" s="251"/>
      <c r="E557" s="251"/>
      <c r="F557" s="251"/>
      <c r="G557" s="251"/>
      <c r="H557" s="251"/>
      <c r="K557" s="251"/>
    </row>
    <row r="558" spans="4:11" ht="15.75" customHeight="1" x14ac:dyDescent="0.25">
      <c r="D558" s="251"/>
      <c r="E558" s="251"/>
      <c r="F558" s="251"/>
      <c r="G558" s="251"/>
      <c r="H558" s="251"/>
      <c r="K558" s="251"/>
    </row>
    <row r="559" spans="4:11" ht="15.75" customHeight="1" x14ac:dyDescent="0.25">
      <c r="D559" s="251"/>
      <c r="E559" s="251"/>
      <c r="F559" s="251"/>
      <c r="G559" s="251"/>
      <c r="H559" s="251"/>
      <c r="K559" s="251"/>
    </row>
    <row r="560" spans="4:11" ht="15.75" customHeight="1" x14ac:dyDescent="0.25">
      <c r="D560" s="251"/>
      <c r="E560" s="251"/>
      <c r="F560" s="251"/>
      <c r="G560" s="251"/>
      <c r="H560" s="251"/>
      <c r="K560" s="251"/>
    </row>
    <row r="561" spans="4:11" ht="15.75" customHeight="1" x14ac:dyDescent="0.25">
      <c r="D561" s="251"/>
      <c r="E561" s="251"/>
      <c r="F561" s="251"/>
      <c r="G561" s="251"/>
      <c r="H561" s="251"/>
      <c r="K561" s="251"/>
    </row>
    <row r="562" spans="4:11" ht="15.75" customHeight="1" x14ac:dyDescent="0.25">
      <c r="D562" s="251"/>
      <c r="E562" s="251"/>
      <c r="F562" s="251"/>
      <c r="G562" s="251"/>
      <c r="H562" s="251"/>
      <c r="K562" s="251"/>
    </row>
    <row r="563" spans="4:11" ht="15.75" customHeight="1" x14ac:dyDescent="0.25">
      <c r="D563" s="251"/>
      <c r="E563" s="251"/>
      <c r="F563" s="251"/>
      <c r="G563" s="251"/>
      <c r="H563" s="251"/>
      <c r="K563" s="251"/>
    </row>
    <row r="564" spans="4:11" ht="15.75" customHeight="1" x14ac:dyDescent="0.25">
      <c r="D564" s="251"/>
      <c r="E564" s="251"/>
      <c r="F564" s="251"/>
      <c r="G564" s="251"/>
      <c r="H564" s="251"/>
      <c r="K564" s="251"/>
    </row>
    <row r="565" spans="4:11" ht="15.75" customHeight="1" x14ac:dyDescent="0.25">
      <c r="D565" s="251"/>
      <c r="E565" s="251"/>
      <c r="F565" s="251"/>
      <c r="G565" s="251"/>
      <c r="H565" s="251"/>
      <c r="K565" s="251"/>
    </row>
    <row r="566" spans="4:11" ht="15.75" customHeight="1" x14ac:dyDescent="0.25">
      <c r="D566" s="251"/>
      <c r="E566" s="251"/>
      <c r="F566" s="251"/>
      <c r="G566" s="251"/>
      <c r="H566" s="251"/>
      <c r="K566" s="251"/>
    </row>
    <row r="567" spans="4:11" ht="15.75" customHeight="1" x14ac:dyDescent="0.25">
      <c r="D567" s="251"/>
      <c r="E567" s="251"/>
      <c r="F567" s="251"/>
      <c r="G567" s="251"/>
      <c r="H567" s="251"/>
      <c r="K567" s="251"/>
    </row>
    <row r="568" spans="4:11" ht="15.75" customHeight="1" x14ac:dyDescent="0.25">
      <c r="D568" s="251"/>
      <c r="E568" s="251"/>
      <c r="F568" s="251"/>
      <c r="G568" s="251"/>
      <c r="H568" s="251"/>
      <c r="K568" s="251"/>
    </row>
    <row r="569" spans="4:11" ht="15.75" customHeight="1" x14ac:dyDescent="0.25">
      <c r="D569" s="251"/>
      <c r="E569" s="251"/>
      <c r="F569" s="251"/>
      <c r="G569" s="251"/>
      <c r="H569" s="251"/>
      <c r="K569" s="251"/>
    </row>
    <row r="570" spans="4:11" ht="15.75" customHeight="1" x14ac:dyDescent="0.25">
      <c r="D570" s="251"/>
      <c r="E570" s="251"/>
      <c r="F570" s="251"/>
      <c r="G570" s="251"/>
      <c r="H570" s="251"/>
      <c r="K570" s="251"/>
    </row>
    <row r="571" spans="4:11" ht="15.75" customHeight="1" x14ac:dyDescent="0.25">
      <c r="D571" s="251"/>
      <c r="E571" s="251"/>
      <c r="F571" s="251"/>
      <c r="G571" s="251"/>
      <c r="H571" s="251"/>
      <c r="K571" s="251"/>
    </row>
    <row r="572" spans="4:11" ht="15.75" customHeight="1" x14ac:dyDescent="0.25">
      <c r="D572" s="251"/>
      <c r="E572" s="251"/>
      <c r="F572" s="251"/>
      <c r="G572" s="251"/>
      <c r="H572" s="251"/>
      <c r="K572" s="251"/>
    </row>
    <row r="573" spans="4:11" ht="15.75" customHeight="1" x14ac:dyDescent="0.25">
      <c r="D573" s="251"/>
      <c r="E573" s="251"/>
      <c r="F573" s="251"/>
      <c r="G573" s="251"/>
      <c r="H573" s="251"/>
      <c r="K573" s="251"/>
    </row>
    <row r="574" spans="4:11" ht="15.75" customHeight="1" x14ac:dyDescent="0.25">
      <c r="D574" s="251"/>
      <c r="E574" s="251"/>
      <c r="F574" s="251"/>
      <c r="G574" s="251"/>
      <c r="H574" s="251"/>
      <c r="K574" s="251"/>
    </row>
    <row r="575" spans="4:11" ht="15.75" customHeight="1" x14ac:dyDescent="0.25">
      <c r="D575" s="251"/>
      <c r="E575" s="251"/>
      <c r="F575" s="251"/>
      <c r="G575" s="251"/>
      <c r="H575" s="251"/>
      <c r="K575" s="251"/>
    </row>
    <row r="576" spans="4:11" ht="15.75" customHeight="1" x14ac:dyDescent="0.25">
      <c r="D576" s="251"/>
      <c r="E576" s="251"/>
      <c r="F576" s="251"/>
      <c r="G576" s="251"/>
      <c r="H576" s="251"/>
      <c r="K576" s="251"/>
    </row>
    <row r="577" spans="4:11" ht="15.75" customHeight="1" x14ac:dyDescent="0.25">
      <c r="D577" s="251"/>
      <c r="E577" s="251"/>
      <c r="F577" s="251"/>
      <c r="G577" s="251"/>
      <c r="H577" s="251"/>
      <c r="K577" s="251"/>
    </row>
    <row r="578" spans="4:11" ht="15.75" customHeight="1" x14ac:dyDescent="0.25">
      <c r="D578" s="251"/>
      <c r="E578" s="251"/>
      <c r="F578" s="251"/>
      <c r="G578" s="251"/>
      <c r="H578" s="251"/>
      <c r="K578" s="251"/>
    </row>
    <row r="579" spans="4:11" ht="15.75" customHeight="1" x14ac:dyDescent="0.25">
      <c r="D579" s="251"/>
      <c r="E579" s="251"/>
      <c r="F579" s="251"/>
      <c r="G579" s="251"/>
      <c r="H579" s="251"/>
      <c r="K579" s="251"/>
    </row>
    <row r="580" spans="4:11" ht="15.75" customHeight="1" x14ac:dyDescent="0.25">
      <c r="D580" s="251"/>
      <c r="E580" s="251"/>
      <c r="F580" s="251"/>
      <c r="G580" s="251"/>
      <c r="H580" s="251"/>
      <c r="K580" s="251"/>
    </row>
    <row r="581" spans="4:11" ht="15.75" customHeight="1" x14ac:dyDescent="0.25">
      <c r="D581" s="251"/>
      <c r="E581" s="251"/>
      <c r="F581" s="251"/>
      <c r="G581" s="251"/>
      <c r="H581" s="251"/>
      <c r="K581" s="251"/>
    </row>
    <row r="582" spans="4:11" ht="15.75" customHeight="1" x14ac:dyDescent="0.25">
      <c r="D582" s="251"/>
      <c r="E582" s="251"/>
      <c r="F582" s="251"/>
      <c r="G582" s="251"/>
      <c r="H582" s="251"/>
      <c r="K582" s="251"/>
    </row>
    <row r="583" spans="4:11" ht="15.75" customHeight="1" x14ac:dyDescent="0.25">
      <c r="D583" s="251"/>
      <c r="E583" s="251"/>
      <c r="F583" s="251"/>
      <c r="G583" s="251"/>
      <c r="H583" s="251"/>
      <c r="K583" s="251"/>
    </row>
    <row r="584" spans="4:11" ht="15.75" customHeight="1" x14ac:dyDescent="0.25">
      <c r="D584" s="251"/>
      <c r="E584" s="251"/>
      <c r="F584" s="251"/>
      <c r="G584" s="251"/>
      <c r="H584" s="251"/>
      <c r="K584" s="251"/>
    </row>
    <row r="585" spans="4:11" ht="15.75" customHeight="1" x14ac:dyDescent="0.25">
      <c r="D585" s="251"/>
      <c r="E585" s="251"/>
      <c r="F585" s="251"/>
      <c r="G585" s="251"/>
      <c r="H585" s="251"/>
      <c r="K585" s="251"/>
    </row>
    <row r="586" spans="4:11" ht="15.75" customHeight="1" x14ac:dyDescent="0.25">
      <c r="D586" s="251"/>
      <c r="E586" s="251"/>
      <c r="F586" s="251"/>
      <c r="G586" s="251"/>
      <c r="H586" s="251"/>
      <c r="K586" s="251"/>
    </row>
    <row r="587" spans="4:11" ht="15.75" customHeight="1" x14ac:dyDescent="0.25">
      <c r="D587" s="251"/>
      <c r="E587" s="251"/>
      <c r="F587" s="251"/>
      <c r="G587" s="251"/>
      <c r="H587" s="251"/>
      <c r="K587" s="251"/>
    </row>
    <row r="588" spans="4:11" ht="15.75" customHeight="1" x14ac:dyDescent="0.25">
      <c r="D588" s="251"/>
      <c r="E588" s="251"/>
      <c r="F588" s="251"/>
      <c r="G588" s="251"/>
      <c r="H588" s="251"/>
      <c r="K588" s="251"/>
    </row>
    <row r="589" spans="4:11" ht="15.75" customHeight="1" x14ac:dyDescent="0.25">
      <c r="D589" s="251"/>
      <c r="E589" s="251"/>
      <c r="F589" s="251"/>
      <c r="G589" s="251"/>
      <c r="H589" s="251"/>
      <c r="K589" s="251"/>
    </row>
    <row r="590" spans="4:11" ht="15.75" customHeight="1" x14ac:dyDescent="0.25">
      <c r="D590" s="251"/>
      <c r="E590" s="251"/>
      <c r="F590" s="251"/>
      <c r="G590" s="251"/>
      <c r="H590" s="251"/>
      <c r="K590" s="251"/>
    </row>
    <row r="591" spans="4:11" ht="15.75" customHeight="1" x14ac:dyDescent="0.25">
      <c r="D591" s="251"/>
      <c r="E591" s="251"/>
      <c r="F591" s="251"/>
      <c r="G591" s="251"/>
      <c r="H591" s="251"/>
      <c r="K591" s="251"/>
    </row>
    <row r="592" spans="4:11" ht="15.75" customHeight="1" x14ac:dyDescent="0.25">
      <c r="D592" s="251"/>
      <c r="E592" s="251"/>
      <c r="F592" s="251"/>
      <c r="G592" s="251"/>
      <c r="H592" s="251"/>
      <c r="K592" s="251"/>
    </row>
    <row r="593" spans="4:11" ht="15.75" customHeight="1" x14ac:dyDescent="0.25">
      <c r="D593" s="251"/>
      <c r="E593" s="251"/>
      <c r="F593" s="251"/>
      <c r="G593" s="251"/>
      <c r="H593" s="251"/>
      <c r="K593" s="251"/>
    </row>
    <row r="594" spans="4:11" ht="15.75" customHeight="1" x14ac:dyDescent="0.25">
      <c r="D594" s="251"/>
      <c r="E594" s="251"/>
      <c r="F594" s="251"/>
      <c r="G594" s="251"/>
      <c r="H594" s="251"/>
      <c r="K594" s="251"/>
    </row>
    <row r="595" spans="4:11" ht="15.75" customHeight="1" x14ac:dyDescent="0.25">
      <c r="D595" s="251"/>
      <c r="E595" s="251"/>
      <c r="F595" s="251"/>
      <c r="G595" s="251"/>
      <c r="H595" s="251"/>
      <c r="K595" s="251"/>
    </row>
    <row r="596" spans="4:11" ht="15.75" customHeight="1" x14ac:dyDescent="0.25">
      <c r="D596" s="251"/>
      <c r="E596" s="251"/>
      <c r="F596" s="251"/>
      <c r="G596" s="251"/>
      <c r="H596" s="251"/>
      <c r="K596" s="251"/>
    </row>
    <row r="597" spans="4:11" ht="15.75" customHeight="1" x14ac:dyDescent="0.25">
      <c r="D597" s="251"/>
      <c r="E597" s="251"/>
      <c r="F597" s="251"/>
      <c r="G597" s="251"/>
      <c r="H597" s="251"/>
      <c r="K597" s="251"/>
    </row>
    <row r="598" spans="4:11" ht="15.75" customHeight="1" x14ac:dyDescent="0.25">
      <c r="D598" s="251"/>
      <c r="E598" s="251"/>
      <c r="F598" s="251"/>
      <c r="G598" s="251"/>
      <c r="H598" s="251"/>
      <c r="K598" s="251"/>
    </row>
    <row r="599" spans="4:11" ht="15.75" customHeight="1" x14ac:dyDescent="0.25">
      <c r="D599" s="251"/>
      <c r="E599" s="251"/>
      <c r="F599" s="251"/>
      <c r="G599" s="251"/>
      <c r="H599" s="251"/>
      <c r="K599" s="251"/>
    </row>
    <row r="600" spans="4:11" ht="15.75" customHeight="1" x14ac:dyDescent="0.25">
      <c r="D600" s="251"/>
      <c r="E600" s="251"/>
      <c r="F600" s="251"/>
      <c r="G600" s="251"/>
      <c r="H600" s="251"/>
      <c r="K600" s="251"/>
    </row>
    <row r="601" spans="4:11" ht="15.75" customHeight="1" x14ac:dyDescent="0.25">
      <c r="D601" s="251"/>
      <c r="E601" s="251"/>
      <c r="F601" s="251"/>
      <c r="G601" s="251"/>
      <c r="H601" s="251"/>
      <c r="K601" s="251"/>
    </row>
    <row r="602" spans="4:11" ht="15.75" customHeight="1" x14ac:dyDescent="0.25">
      <c r="D602" s="251"/>
      <c r="E602" s="251"/>
      <c r="F602" s="251"/>
      <c r="G602" s="251"/>
      <c r="H602" s="251"/>
      <c r="K602" s="251"/>
    </row>
    <row r="603" spans="4:11" ht="15.75" customHeight="1" x14ac:dyDescent="0.25">
      <c r="D603" s="251"/>
      <c r="E603" s="251"/>
      <c r="F603" s="251"/>
      <c r="G603" s="251"/>
      <c r="H603" s="251"/>
      <c r="K603" s="251"/>
    </row>
    <row r="604" spans="4:11" ht="15.75" customHeight="1" x14ac:dyDescent="0.25">
      <c r="D604" s="251"/>
      <c r="E604" s="251"/>
      <c r="F604" s="251"/>
      <c r="G604" s="251"/>
      <c r="H604" s="251"/>
      <c r="K604" s="251"/>
    </row>
    <row r="605" spans="4:11" ht="15.75" customHeight="1" x14ac:dyDescent="0.25">
      <c r="D605" s="251"/>
      <c r="E605" s="251"/>
      <c r="F605" s="251"/>
      <c r="G605" s="251"/>
      <c r="H605" s="251"/>
      <c r="K605" s="251"/>
    </row>
    <row r="606" spans="4:11" ht="15.75" customHeight="1" x14ac:dyDescent="0.25">
      <c r="D606" s="251"/>
      <c r="E606" s="251"/>
      <c r="F606" s="251"/>
      <c r="G606" s="251"/>
      <c r="H606" s="251"/>
      <c r="K606" s="251"/>
    </row>
    <row r="607" spans="4:11" ht="15.75" customHeight="1" x14ac:dyDescent="0.25">
      <c r="D607" s="251"/>
      <c r="E607" s="251"/>
      <c r="F607" s="251"/>
      <c r="G607" s="251"/>
      <c r="H607" s="251"/>
      <c r="K607" s="251"/>
    </row>
    <row r="608" spans="4:11" ht="15.75" customHeight="1" x14ac:dyDescent="0.25">
      <c r="D608" s="251"/>
      <c r="E608" s="251"/>
      <c r="F608" s="251"/>
      <c r="G608" s="251"/>
      <c r="H608" s="251"/>
      <c r="K608" s="251"/>
    </row>
    <row r="609" spans="4:11" ht="15.75" customHeight="1" x14ac:dyDescent="0.25">
      <c r="D609" s="251"/>
      <c r="E609" s="251"/>
      <c r="F609" s="251"/>
      <c r="G609" s="251"/>
      <c r="H609" s="251"/>
      <c r="K609" s="251"/>
    </row>
    <row r="610" spans="4:11" ht="15.75" customHeight="1" x14ac:dyDescent="0.25">
      <c r="D610" s="251"/>
      <c r="E610" s="251"/>
      <c r="F610" s="251"/>
      <c r="G610" s="251"/>
      <c r="H610" s="251"/>
      <c r="K610" s="251"/>
    </row>
    <row r="611" spans="4:11" ht="15.75" customHeight="1" x14ac:dyDescent="0.25">
      <c r="D611" s="251"/>
      <c r="E611" s="251"/>
      <c r="F611" s="251"/>
      <c r="G611" s="251"/>
      <c r="H611" s="251"/>
      <c r="K611" s="251"/>
    </row>
    <row r="612" spans="4:11" ht="15.75" customHeight="1" x14ac:dyDescent="0.25">
      <c r="D612" s="251"/>
      <c r="E612" s="251"/>
      <c r="F612" s="251"/>
      <c r="G612" s="251"/>
      <c r="H612" s="251"/>
      <c r="K612" s="251"/>
    </row>
    <row r="613" spans="4:11" ht="15.75" customHeight="1" x14ac:dyDescent="0.25">
      <c r="D613" s="251"/>
      <c r="E613" s="251"/>
      <c r="F613" s="251"/>
      <c r="G613" s="251"/>
      <c r="H613" s="251"/>
      <c r="K613" s="251"/>
    </row>
    <row r="614" spans="4:11" ht="15.75" customHeight="1" x14ac:dyDescent="0.25">
      <c r="D614" s="251"/>
      <c r="E614" s="251"/>
      <c r="F614" s="251"/>
      <c r="G614" s="251"/>
      <c r="H614" s="251"/>
      <c r="K614" s="251"/>
    </row>
    <row r="615" spans="4:11" ht="15.75" customHeight="1" x14ac:dyDescent="0.25">
      <c r="D615" s="251"/>
      <c r="E615" s="251"/>
      <c r="F615" s="251"/>
      <c r="G615" s="251"/>
      <c r="H615" s="251"/>
      <c r="K615" s="251"/>
    </row>
    <row r="616" spans="4:11" ht="15.75" customHeight="1" x14ac:dyDescent="0.25">
      <c r="D616" s="251"/>
      <c r="E616" s="251"/>
      <c r="F616" s="251"/>
      <c r="G616" s="251"/>
      <c r="H616" s="251"/>
      <c r="K616" s="251"/>
    </row>
    <row r="617" spans="4:11" ht="15.75" customHeight="1" x14ac:dyDescent="0.25">
      <c r="D617" s="251"/>
      <c r="E617" s="251"/>
      <c r="F617" s="251"/>
      <c r="G617" s="251"/>
      <c r="H617" s="251"/>
      <c r="K617" s="251"/>
    </row>
    <row r="618" spans="4:11" ht="15.75" customHeight="1" x14ac:dyDescent="0.25">
      <c r="D618" s="251"/>
      <c r="E618" s="251"/>
      <c r="F618" s="251"/>
      <c r="G618" s="251"/>
      <c r="H618" s="251"/>
      <c r="K618" s="251"/>
    </row>
    <row r="619" spans="4:11" ht="15.75" customHeight="1" x14ac:dyDescent="0.25">
      <c r="D619" s="251"/>
      <c r="E619" s="251"/>
      <c r="F619" s="251"/>
      <c r="G619" s="251"/>
      <c r="H619" s="251"/>
      <c r="K619" s="251"/>
    </row>
    <row r="620" spans="4:11" ht="15.75" customHeight="1" x14ac:dyDescent="0.25">
      <c r="D620" s="251"/>
      <c r="E620" s="251"/>
      <c r="F620" s="251"/>
      <c r="G620" s="251"/>
      <c r="H620" s="251"/>
      <c r="K620" s="251"/>
    </row>
    <row r="621" spans="4:11" ht="15.75" customHeight="1" x14ac:dyDescent="0.25">
      <c r="D621" s="251"/>
      <c r="E621" s="251"/>
      <c r="F621" s="251"/>
      <c r="G621" s="251"/>
      <c r="H621" s="251"/>
      <c r="K621" s="251"/>
    </row>
    <row r="622" spans="4:11" ht="15.75" customHeight="1" x14ac:dyDescent="0.25">
      <c r="D622" s="251"/>
      <c r="E622" s="251"/>
      <c r="F622" s="251"/>
      <c r="G622" s="251"/>
      <c r="H622" s="251"/>
      <c r="K622" s="251"/>
    </row>
    <row r="623" spans="4:11" ht="15.75" customHeight="1" x14ac:dyDescent="0.25">
      <c r="D623" s="251"/>
      <c r="E623" s="251"/>
      <c r="F623" s="251"/>
      <c r="G623" s="251"/>
      <c r="H623" s="251"/>
      <c r="K623" s="251"/>
    </row>
    <row r="624" spans="4:11" ht="15.75" customHeight="1" x14ac:dyDescent="0.25">
      <c r="D624" s="251"/>
      <c r="E624" s="251"/>
      <c r="F624" s="251"/>
      <c r="G624" s="251"/>
      <c r="H624" s="251"/>
      <c r="K624" s="251"/>
    </row>
    <row r="625" spans="4:11" ht="15.75" customHeight="1" x14ac:dyDescent="0.25">
      <c r="D625" s="251"/>
      <c r="E625" s="251"/>
      <c r="F625" s="251"/>
      <c r="G625" s="251"/>
      <c r="H625" s="251"/>
      <c r="K625" s="251"/>
    </row>
    <row r="626" spans="4:11" ht="15.75" customHeight="1" x14ac:dyDescent="0.25">
      <c r="D626" s="251"/>
      <c r="E626" s="251"/>
      <c r="F626" s="251"/>
      <c r="G626" s="251"/>
      <c r="H626" s="251"/>
      <c r="K626" s="251"/>
    </row>
    <row r="627" spans="4:11" ht="15.75" customHeight="1" x14ac:dyDescent="0.25">
      <c r="D627" s="251"/>
      <c r="E627" s="251"/>
      <c r="F627" s="251"/>
      <c r="G627" s="251"/>
      <c r="H627" s="251"/>
      <c r="K627" s="251"/>
    </row>
    <row r="628" spans="4:11" ht="15.75" customHeight="1" x14ac:dyDescent="0.25">
      <c r="D628" s="251"/>
      <c r="E628" s="251"/>
      <c r="F628" s="251"/>
      <c r="G628" s="251"/>
      <c r="H628" s="251"/>
      <c r="K628" s="251"/>
    </row>
    <row r="629" spans="4:11" ht="15.75" customHeight="1" x14ac:dyDescent="0.25">
      <c r="D629" s="251"/>
      <c r="E629" s="251"/>
      <c r="F629" s="251"/>
      <c r="G629" s="251"/>
      <c r="H629" s="251"/>
      <c r="K629" s="251"/>
    </row>
    <row r="630" spans="4:11" ht="15.75" customHeight="1" x14ac:dyDescent="0.25">
      <c r="D630" s="251"/>
      <c r="E630" s="251"/>
      <c r="F630" s="251"/>
      <c r="G630" s="251"/>
      <c r="H630" s="251"/>
      <c r="K630" s="251"/>
    </row>
    <row r="631" spans="4:11" ht="15.75" customHeight="1" x14ac:dyDescent="0.25">
      <c r="D631" s="251"/>
      <c r="E631" s="251"/>
      <c r="F631" s="251"/>
      <c r="G631" s="251"/>
      <c r="H631" s="251"/>
      <c r="K631" s="251"/>
    </row>
    <row r="632" spans="4:11" ht="15.75" customHeight="1" x14ac:dyDescent="0.25">
      <c r="D632" s="251"/>
      <c r="E632" s="251"/>
      <c r="F632" s="251"/>
      <c r="G632" s="251"/>
      <c r="H632" s="251"/>
      <c r="K632" s="251"/>
    </row>
    <row r="633" spans="4:11" ht="15.75" customHeight="1" x14ac:dyDescent="0.25">
      <c r="D633" s="251"/>
      <c r="E633" s="251"/>
      <c r="F633" s="251"/>
      <c r="G633" s="251"/>
      <c r="H633" s="251"/>
      <c r="K633" s="251"/>
    </row>
    <row r="634" spans="4:11" ht="15.75" customHeight="1" x14ac:dyDescent="0.25">
      <c r="D634" s="251"/>
      <c r="E634" s="251"/>
      <c r="F634" s="251"/>
      <c r="G634" s="251"/>
      <c r="H634" s="251"/>
      <c r="K634" s="251"/>
    </row>
    <row r="635" spans="4:11" ht="15.75" customHeight="1" x14ac:dyDescent="0.25">
      <c r="D635" s="251"/>
      <c r="E635" s="251"/>
      <c r="F635" s="251"/>
      <c r="G635" s="251"/>
      <c r="H635" s="251"/>
      <c r="K635" s="251"/>
    </row>
    <row r="636" spans="4:11" ht="15.75" customHeight="1" x14ac:dyDescent="0.25">
      <c r="D636" s="251"/>
      <c r="E636" s="251"/>
      <c r="F636" s="251"/>
      <c r="G636" s="251"/>
      <c r="H636" s="251"/>
      <c r="K636" s="251"/>
    </row>
    <row r="637" spans="4:11" ht="15.75" customHeight="1" x14ac:dyDescent="0.25">
      <c r="D637" s="251"/>
      <c r="E637" s="251"/>
      <c r="F637" s="251"/>
      <c r="G637" s="251"/>
      <c r="H637" s="251"/>
      <c r="K637" s="251"/>
    </row>
    <row r="638" spans="4:11" ht="15.75" customHeight="1" x14ac:dyDescent="0.25">
      <c r="D638" s="251"/>
      <c r="E638" s="251"/>
      <c r="F638" s="251"/>
      <c r="G638" s="251"/>
      <c r="H638" s="251"/>
      <c r="K638" s="251"/>
    </row>
    <row r="639" spans="4:11" ht="15.75" customHeight="1" x14ac:dyDescent="0.25">
      <c r="D639" s="251"/>
      <c r="E639" s="251"/>
      <c r="F639" s="251"/>
      <c r="G639" s="251"/>
      <c r="H639" s="251"/>
      <c r="K639" s="251"/>
    </row>
    <row r="640" spans="4:11" ht="15.75" customHeight="1" x14ac:dyDescent="0.25">
      <c r="D640" s="251"/>
      <c r="E640" s="251"/>
      <c r="F640" s="251"/>
      <c r="G640" s="251"/>
      <c r="H640" s="251"/>
      <c r="K640" s="251"/>
    </row>
    <row r="641" spans="4:11" ht="15.75" customHeight="1" x14ac:dyDescent="0.25">
      <c r="D641" s="251"/>
      <c r="E641" s="251"/>
      <c r="F641" s="251"/>
      <c r="G641" s="251"/>
      <c r="H641" s="251"/>
      <c r="K641" s="251"/>
    </row>
    <row r="642" spans="4:11" ht="15.75" customHeight="1" x14ac:dyDescent="0.25">
      <c r="D642" s="251"/>
      <c r="E642" s="251"/>
      <c r="F642" s="251"/>
      <c r="G642" s="251"/>
      <c r="H642" s="251"/>
      <c r="K642" s="251"/>
    </row>
    <row r="643" spans="4:11" ht="15.75" customHeight="1" x14ac:dyDescent="0.25">
      <c r="D643" s="251"/>
      <c r="E643" s="251"/>
      <c r="F643" s="251"/>
      <c r="G643" s="251"/>
      <c r="H643" s="251"/>
      <c r="K643" s="251"/>
    </row>
    <row r="644" spans="4:11" ht="15.75" customHeight="1" x14ac:dyDescent="0.25">
      <c r="D644" s="251"/>
      <c r="E644" s="251"/>
      <c r="F644" s="251"/>
      <c r="G644" s="251"/>
      <c r="H644" s="251"/>
      <c r="K644" s="251"/>
    </row>
    <row r="645" spans="4:11" ht="15.75" customHeight="1" x14ac:dyDescent="0.25">
      <c r="D645" s="251"/>
      <c r="E645" s="251"/>
      <c r="F645" s="251"/>
      <c r="G645" s="251"/>
      <c r="H645" s="251"/>
      <c r="K645" s="251"/>
    </row>
    <row r="646" spans="4:11" ht="15.75" customHeight="1" x14ac:dyDescent="0.25">
      <c r="D646" s="251"/>
      <c r="E646" s="251"/>
      <c r="F646" s="251"/>
      <c r="G646" s="251"/>
      <c r="H646" s="251"/>
      <c r="K646" s="251"/>
    </row>
    <row r="647" spans="4:11" ht="15.75" customHeight="1" x14ac:dyDescent="0.25">
      <c r="D647" s="251"/>
      <c r="E647" s="251"/>
      <c r="F647" s="251"/>
      <c r="G647" s="251"/>
      <c r="H647" s="251"/>
      <c r="K647" s="251"/>
    </row>
    <row r="648" spans="4:11" ht="15.75" customHeight="1" x14ac:dyDescent="0.25">
      <c r="D648" s="251"/>
      <c r="E648" s="251"/>
      <c r="F648" s="251"/>
      <c r="G648" s="251"/>
      <c r="H648" s="251"/>
      <c r="K648" s="251"/>
    </row>
    <row r="649" spans="4:11" ht="15.75" customHeight="1" x14ac:dyDescent="0.25">
      <c r="D649" s="251"/>
      <c r="E649" s="251"/>
      <c r="F649" s="251"/>
      <c r="G649" s="251"/>
      <c r="H649" s="251"/>
      <c r="K649" s="251"/>
    </row>
    <row r="650" spans="4:11" ht="15.75" customHeight="1" x14ac:dyDescent="0.25">
      <c r="D650" s="251"/>
      <c r="E650" s="251"/>
      <c r="F650" s="251"/>
      <c r="G650" s="251"/>
      <c r="H650" s="251"/>
      <c r="K650" s="251"/>
    </row>
    <row r="651" spans="4:11" ht="15.75" customHeight="1" x14ac:dyDescent="0.25">
      <c r="D651" s="251"/>
      <c r="E651" s="251"/>
      <c r="F651" s="251"/>
      <c r="G651" s="251"/>
      <c r="H651" s="251"/>
      <c r="K651" s="251"/>
    </row>
    <row r="652" spans="4:11" ht="15.75" customHeight="1" x14ac:dyDescent="0.25">
      <c r="D652" s="251"/>
      <c r="E652" s="251"/>
      <c r="F652" s="251"/>
      <c r="G652" s="251"/>
      <c r="H652" s="251"/>
      <c r="K652" s="251"/>
    </row>
    <row r="653" spans="4:11" ht="15.75" customHeight="1" x14ac:dyDescent="0.25">
      <c r="D653" s="251"/>
      <c r="E653" s="251"/>
      <c r="F653" s="251"/>
      <c r="G653" s="251"/>
      <c r="H653" s="251"/>
      <c r="K653" s="251"/>
    </row>
    <row r="654" spans="4:11" ht="15.75" customHeight="1" x14ac:dyDescent="0.25">
      <c r="D654" s="251"/>
      <c r="E654" s="251"/>
      <c r="F654" s="251"/>
      <c r="G654" s="251"/>
      <c r="H654" s="251"/>
      <c r="K654" s="251"/>
    </row>
    <row r="655" spans="4:11" ht="15.75" customHeight="1" x14ac:dyDescent="0.25">
      <c r="D655" s="251"/>
      <c r="E655" s="251"/>
      <c r="F655" s="251"/>
      <c r="G655" s="251"/>
      <c r="H655" s="251"/>
      <c r="K655" s="251"/>
    </row>
    <row r="656" spans="4:11" ht="15.75" customHeight="1" x14ac:dyDescent="0.25">
      <c r="D656" s="251"/>
      <c r="E656" s="251"/>
      <c r="F656" s="251"/>
      <c r="G656" s="251"/>
      <c r="H656" s="251"/>
      <c r="K656" s="251"/>
    </row>
    <row r="657" spans="4:11" ht="15.75" customHeight="1" x14ac:dyDescent="0.25">
      <c r="D657" s="251"/>
      <c r="E657" s="251"/>
      <c r="F657" s="251"/>
      <c r="G657" s="251"/>
      <c r="H657" s="251"/>
      <c r="K657" s="251"/>
    </row>
    <row r="658" spans="4:11" ht="15.75" customHeight="1" x14ac:dyDescent="0.25">
      <c r="D658" s="251"/>
      <c r="E658" s="251"/>
      <c r="F658" s="251"/>
      <c r="G658" s="251"/>
      <c r="H658" s="251"/>
      <c r="K658" s="251"/>
    </row>
    <row r="659" spans="4:11" ht="15.75" customHeight="1" x14ac:dyDescent="0.25">
      <c r="D659" s="251"/>
      <c r="E659" s="251"/>
      <c r="F659" s="251"/>
      <c r="G659" s="251"/>
      <c r="H659" s="251"/>
      <c r="K659" s="251"/>
    </row>
    <row r="660" spans="4:11" ht="15.75" customHeight="1" x14ac:dyDescent="0.25">
      <c r="D660" s="251"/>
      <c r="E660" s="251"/>
      <c r="F660" s="251"/>
      <c r="G660" s="251"/>
      <c r="H660" s="251"/>
      <c r="K660" s="251"/>
    </row>
    <row r="661" spans="4:11" ht="15.75" customHeight="1" x14ac:dyDescent="0.25">
      <c r="D661" s="251"/>
      <c r="E661" s="251"/>
      <c r="F661" s="251"/>
      <c r="G661" s="251"/>
      <c r="H661" s="251"/>
      <c r="K661" s="251"/>
    </row>
    <row r="662" spans="4:11" ht="15.75" customHeight="1" x14ac:dyDescent="0.25">
      <c r="D662" s="251"/>
      <c r="E662" s="251"/>
      <c r="F662" s="251"/>
      <c r="G662" s="251"/>
      <c r="H662" s="251"/>
      <c r="K662" s="251"/>
    </row>
    <row r="663" spans="4:11" ht="15.75" customHeight="1" x14ac:dyDescent="0.25">
      <c r="D663" s="251"/>
      <c r="E663" s="251"/>
      <c r="F663" s="251"/>
      <c r="G663" s="251"/>
      <c r="H663" s="251"/>
      <c r="K663" s="251"/>
    </row>
    <row r="664" spans="4:11" ht="15.75" customHeight="1" x14ac:dyDescent="0.25">
      <c r="D664" s="251"/>
      <c r="E664" s="251"/>
      <c r="F664" s="251"/>
      <c r="G664" s="251"/>
      <c r="H664" s="251"/>
      <c r="K664" s="251"/>
    </row>
    <row r="665" spans="4:11" ht="15.75" customHeight="1" x14ac:dyDescent="0.25">
      <c r="D665" s="251"/>
      <c r="E665" s="251"/>
      <c r="F665" s="251"/>
      <c r="G665" s="251"/>
      <c r="H665" s="251"/>
      <c r="K665" s="251"/>
    </row>
    <row r="666" spans="4:11" ht="15.75" customHeight="1" x14ac:dyDescent="0.25">
      <c r="D666" s="251"/>
      <c r="E666" s="251"/>
      <c r="F666" s="251"/>
      <c r="G666" s="251"/>
      <c r="H666" s="251"/>
      <c r="K666" s="251"/>
    </row>
    <row r="667" spans="4:11" ht="15.75" customHeight="1" x14ac:dyDescent="0.25">
      <c r="D667" s="251"/>
      <c r="E667" s="251"/>
      <c r="F667" s="251"/>
      <c r="G667" s="251"/>
      <c r="H667" s="251"/>
      <c r="K667" s="251"/>
    </row>
    <row r="668" spans="4:11" ht="15.75" customHeight="1" x14ac:dyDescent="0.25">
      <c r="D668" s="251"/>
      <c r="E668" s="251"/>
      <c r="F668" s="251"/>
      <c r="G668" s="251"/>
      <c r="H668" s="251"/>
      <c r="K668" s="251"/>
    </row>
    <row r="669" spans="4:11" ht="15.75" customHeight="1" x14ac:dyDescent="0.25">
      <c r="D669" s="251"/>
      <c r="E669" s="251"/>
      <c r="F669" s="251"/>
      <c r="G669" s="251"/>
      <c r="H669" s="251"/>
      <c r="K669" s="251"/>
    </row>
    <row r="670" spans="4:11" ht="15.75" customHeight="1" x14ac:dyDescent="0.25">
      <c r="D670" s="251"/>
      <c r="E670" s="251"/>
      <c r="F670" s="251"/>
      <c r="G670" s="251"/>
      <c r="H670" s="251"/>
      <c r="K670" s="251"/>
    </row>
    <row r="671" spans="4:11" ht="15.75" customHeight="1" x14ac:dyDescent="0.25">
      <c r="D671" s="251"/>
      <c r="E671" s="251"/>
      <c r="F671" s="251"/>
      <c r="G671" s="251"/>
      <c r="H671" s="251"/>
      <c r="K671" s="251"/>
    </row>
    <row r="672" spans="4:11" ht="15.75" customHeight="1" x14ac:dyDescent="0.25">
      <c r="D672" s="251"/>
      <c r="E672" s="251"/>
      <c r="F672" s="251"/>
      <c r="G672" s="251"/>
      <c r="H672" s="251"/>
      <c r="K672" s="251"/>
    </row>
    <row r="673" spans="4:11" ht="15.75" customHeight="1" x14ac:dyDescent="0.25">
      <c r="D673" s="251"/>
      <c r="E673" s="251"/>
      <c r="F673" s="251"/>
      <c r="G673" s="251"/>
      <c r="H673" s="251"/>
      <c r="K673" s="251"/>
    </row>
    <row r="674" spans="4:11" ht="15.75" customHeight="1" x14ac:dyDescent="0.25">
      <c r="D674" s="251"/>
      <c r="E674" s="251"/>
      <c r="F674" s="251"/>
      <c r="G674" s="251"/>
      <c r="H674" s="251"/>
      <c r="K674" s="251"/>
    </row>
    <row r="675" spans="4:11" ht="15.75" customHeight="1" x14ac:dyDescent="0.25">
      <c r="D675" s="251"/>
      <c r="E675" s="251"/>
      <c r="F675" s="251"/>
      <c r="G675" s="251"/>
      <c r="H675" s="251"/>
      <c r="K675" s="251"/>
    </row>
    <row r="676" spans="4:11" ht="15.75" customHeight="1" x14ac:dyDescent="0.25">
      <c r="D676" s="251"/>
      <c r="E676" s="251"/>
      <c r="F676" s="251"/>
      <c r="G676" s="251"/>
      <c r="H676" s="251"/>
      <c r="K676" s="251"/>
    </row>
    <row r="677" spans="4:11" ht="15.75" customHeight="1" x14ac:dyDescent="0.25">
      <c r="D677" s="251"/>
      <c r="E677" s="251"/>
      <c r="F677" s="251"/>
      <c r="G677" s="251"/>
      <c r="H677" s="251"/>
      <c r="K677" s="251"/>
    </row>
    <row r="678" spans="4:11" ht="15.75" customHeight="1" x14ac:dyDescent="0.25">
      <c r="D678" s="251"/>
      <c r="E678" s="251"/>
      <c r="F678" s="251"/>
      <c r="G678" s="251"/>
      <c r="H678" s="251"/>
      <c r="K678" s="251"/>
    </row>
    <row r="679" spans="4:11" ht="15.75" customHeight="1" x14ac:dyDescent="0.25">
      <c r="D679" s="251"/>
      <c r="E679" s="251"/>
      <c r="F679" s="251"/>
      <c r="G679" s="251"/>
      <c r="H679" s="251"/>
      <c r="K679" s="251"/>
    </row>
    <row r="680" spans="4:11" ht="15.75" customHeight="1" x14ac:dyDescent="0.25">
      <c r="D680" s="251"/>
      <c r="E680" s="251"/>
      <c r="F680" s="251"/>
      <c r="G680" s="251"/>
      <c r="H680" s="251"/>
      <c r="K680" s="251"/>
    </row>
    <row r="681" spans="4:11" ht="15.75" customHeight="1" x14ac:dyDescent="0.25">
      <c r="D681" s="251"/>
      <c r="E681" s="251"/>
      <c r="F681" s="251"/>
      <c r="G681" s="251"/>
      <c r="H681" s="251"/>
      <c r="K681" s="251"/>
    </row>
    <row r="682" spans="4:11" ht="15.75" customHeight="1" x14ac:dyDescent="0.25">
      <c r="D682" s="251"/>
      <c r="E682" s="251"/>
      <c r="F682" s="251"/>
      <c r="G682" s="251"/>
      <c r="H682" s="251"/>
      <c r="K682" s="251"/>
    </row>
    <row r="683" spans="4:11" ht="15.75" customHeight="1" x14ac:dyDescent="0.25">
      <c r="D683" s="251"/>
      <c r="E683" s="251"/>
      <c r="F683" s="251"/>
      <c r="G683" s="251"/>
      <c r="H683" s="251"/>
      <c r="K683" s="251"/>
    </row>
    <row r="684" spans="4:11" ht="15.75" customHeight="1" x14ac:dyDescent="0.25">
      <c r="D684" s="251"/>
      <c r="E684" s="251"/>
      <c r="F684" s="251"/>
      <c r="G684" s="251"/>
      <c r="H684" s="251"/>
      <c r="K684" s="251"/>
    </row>
    <row r="685" spans="4:11" ht="15.75" customHeight="1" x14ac:dyDescent="0.25">
      <c r="D685" s="251"/>
      <c r="E685" s="251"/>
      <c r="F685" s="251"/>
      <c r="G685" s="251"/>
      <c r="H685" s="251"/>
      <c r="K685" s="251"/>
    </row>
    <row r="686" spans="4:11" ht="15.75" customHeight="1" x14ac:dyDescent="0.25">
      <c r="D686" s="251"/>
      <c r="E686" s="251"/>
      <c r="F686" s="251"/>
      <c r="G686" s="251"/>
      <c r="H686" s="251"/>
      <c r="K686" s="251"/>
    </row>
    <row r="687" spans="4:11" ht="15.75" customHeight="1" x14ac:dyDescent="0.25">
      <c r="D687" s="251"/>
      <c r="E687" s="251"/>
      <c r="F687" s="251"/>
      <c r="G687" s="251"/>
      <c r="H687" s="251"/>
      <c r="K687" s="251"/>
    </row>
    <row r="688" spans="4:11" ht="15.75" customHeight="1" x14ac:dyDescent="0.25">
      <c r="D688" s="251"/>
      <c r="E688" s="251"/>
      <c r="F688" s="251"/>
      <c r="G688" s="251"/>
      <c r="H688" s="251"/>
      <c r="K688" s="251"/>
    </row>
    <row r="689" spans="4:11" ht="15.75" customHeight="1" x14ac:dyDescent="0.25">
      <c r="D689" s="251"/>
      <c r="E689" s="251"/>
      <c r="F689" s="251"/>
      <c r="G689" s="251"/>
      <c r="H689" s="251"/>
      <c r="K689" s="251"/>
    </row>
    <row r="690" spans="4:11" ht="15.75" customHeight="1" x14ac:dyDescent="0.25">
      <c r="D690" s="251"/>
      <c r="E690" s="251"/>
      <c r="F690" s="251"/>
      <c r="G690" s="251"/>
      <c r="H690" s="251"/>
      <c r="K690" s="251"/>
    </row>
    <row r="691" spans="4:11" ht="15.75" customHeight="1" x14ac:dyDescent="0.25">
      <c r="D691" s="251"/>
      <c r="E691" s="251"/>
      <c r="F691" s="251"/>
      <c r="G691" s="251"/>
      <c r="H691" s="251"/>
      <c r="K691" s="251"/>
    </row>
    <row r="692" spans="4:11" ht="15.75" customHeight="1" x14ac:dyDescent="0.25">
      <c r="D692" s="251"/>
      <c r="E692" s="251"/>
      <c r="F692" s="251"/>
      <c r="G692" s="251"/>
      <c r="H692" s="251"/>
      <c r="K692" s="251"/>
    </row>
    <row r="693" spans="4:11" ht="15.75" customHeight="1" x14ac:dyDescent="0.25">
      <c r="D693" s="251"/>
      <c r="E693" s="251"/>
      <c r="F693" s="251"/>
      <c r="G693" s="251"/>
      <c r="H693" s="251"/>
      <c r="K693" s="251"/>
    </row>
    <row r="694" spans="4:11" ht="15.75" customHeight="1" x14ac:dyDescent="0.25">
      <c r="D694" s="251"/>
      <c r="E694" s="251"/>
      <c r="F694" s="251"/>
      <c r="G694" s="251"/>
      <c r="H694" s="251"/>
      <c r="K694" s="251"/>
    </row>
    <row r="695" spans="4:11" ht="15.75" customHeight="1" x14ac:dyDescent="0.25">
      <c r="D695" s="251"/>
      <c r="E695" s="251"/>
      <c r="F695" s="251"/>
      <c r="G695" s="251"/>
      <c r="H695" s="251"/>
      <c r="K695" s="251"/>
    </row>
    <row r="696" spans="4:11" ht="15.75" customHeight="1" x14ac:dyDescent="0.25">
      <c r="D696" s="251"/>
      <c r="E696" s="251"/>
      <c r="F696" s="251"/>
      <c r="G696" s="251"/>
      <c r="H696" s="251"/>
      <c r="K696" s="251"/>
    </row>
    <row r="697" spans="4:11" ht="15.75" customHeight="1" x14ac:dyDescent="0.25">
      <c r="D697" s="251"/>
      <c r="E697" s="251"/>
      <c r="F697" s="251"/>
      <c r="G697" s="251"/>
      <c r="H697" s="251"/>
      <c r="K697" s="251"/>
    </row>
    <row r="698" spans="4:11" ht="15.75" customHeight="1" x14ac:dyDescent="0.25">
      <c r="D698" s="251"/>
      <c r="E698" s="251"/>
      <c r="F698" s="251"/>
      <c r="G698" s="251"/>
      <c r="H698" s="251"/>
      <c r="K698" s="251"/>
    </row>
    <row r="699" spans="4:11" ht="15.75" customHeight="1" x14ac:dyDescent="0.25">
      <c r="D699" s="251"/>
      <c r="E699" s="251"/>
      <c r="F699" s="251"/>
      <c r="G699" s="251"/>
      <c r="H699" s="251"/>
      <c r="K699" s="251"/>
    </row>
    <row r="700" spans="4:11" ht="15.75" customHeight="1" x14ac:dyDescent="0.25">
      <c r="D700" s="251"/>
      <c r="E700" s="251"/>
      <c r="F700" s="251"/>
      <c r="G700" s="251"/>
      <c r="H700" s="251"/>
      <c r="K700" s="251"/>
    </row>
    <row r="701" spans="4:11" ht="15.75" customHeight="1" x14ac:dyDescent="0.25">
      <c r="D701" s="251"/>
      <c r="E701" s="251"/>
      <c r="F701" s="251"/>
      <c r="G701" s="251"/>
      <c r="H701" s="251"/>
      <c r="K701" s="251"/>
    </row>
    <row r="702" spans="4:11" ht="15.75" customHeight="1" x14ac:dyDescent="0.25">
      <c r="D702" s="251"/>
      <c r="E702" s="251"/>
      <c r="F702" s="251"/>
      <c r="G702" s="251"/>
      <c r="H702" s="251"/>
      <c r="K702" s="251"/>
    </row>
    <row r="703" spans="4:11" ht="15.75" customHeight="1" x14ac:dyDescent="0.25">
      <c r="D703" s="251"/>
      <c r="E703" s="251"/>
      <c r="F703" s="251"/>
      <c r="G703" s="251"/>
      <c r="H703" s="251"/>
      <c r="K703" s="251"/>
    </row>
    <row r="704" spans="4:11" ht="15.75" customHeight="1" x14ac:dyDescent="0.25">
      <c r="D704" s="251"/>
      <c r="E704" s="251"/>
      <c r="F704" s="251"/>
      <c r="G704" s="251"/>
      <c r="H704" s="251"/>
      <c r="K704" s="251"/>
    </row>
    <row r="705" spans="4:11" ht="15.75" customHeight="1" x14ac:dyDescent="0.25">
      <c r="D705" s="251"/>
      <c r="E705" s="251"/>
      <c r="F705" s="251"/>
      <c r="G705" s="251"/>
      <c r="H705" s="251"/>
      <c r="K705" s="251"/>
    </row>
    <row r="706" spans="4:11" ht="15.75" customHeight="1" x14ac:dyDescent="0.25">
      <c r="D706" s="251"/>
      <c r="E706" s="251"/>
      <c r="F706" s="251"/>
      <c r="G706" s="251"/>
      <c r="H706" s="251"/>
      <c r="K706" s="251"/>
    </row>
    <row r="707" spans="4:11" ht="15.75" customHeight="1" x14ac:dyDescent="0.25">
      <c r="D707" s="251"/>
      <c r="E707" s="251"/>
      <c r="F707" s="251"/>
      <c r="G707" s="251"/>
      <c r="H707" s="251"/>
      <c r="K707" s="251"/>
    </row>
    <row r="708" spans="4:11" ht="15.75" customHeight="1" x14ac:dyDescent="0.25">
      <c r="D708" s="251"/>
      <c r="E708" s="251"/>
      <c r="F708" s="251"/>
      <c r="G708" s="251"/>
      <c r="H708" s="251"/>
      <c r="K708" s="251"/>
    </row>
    <row r="709" spans="4:11" ht="15.75" customHeight="1" x14ac:dyDescent="0.25">
      <c r="D709" s="251"/>
      <c r="E709" s="251"/>
      <c r="F709" s="251"/>
      <c r="G709" s="251"/>
      <c r="H709" s="251"/>
      <c r="K709" s="251"/>
    </row>
    <row r="710" spans="4:11" ht="15.75" customHeight="1" x14ac:dyDescent="0.25">
      <c r="D710" s="251"/>
      <c r="E710" s="251"/>
      <c r="F710" s="251"/>
      <c r="G710" s="251"/>
      <c r="H710" s="251"/>
      <c r="K710" s="251"/>
    </row>
    <row r="711" spans="4:11" ht="15.75" customHeight="1" x14ac:dyDescent="0.25">
      <c r="D711" s="251"/>
      <c r="E711" s="251"/>
      <c r="F711" s="251"/>
      <c r="G711" s="251"/>
      <c r="H711" s="251"/>
      <c r="K711" s="251"/>
    </row>
    <row r="712" spans="4:11" ht="15.75" customHeight="1" x14ac:dyDescent="0.25">
      <c r="D712" s="251"/>
      <c r="E712" s="251"/>
      <c r="F712" s="251"/>
      <c r="G712" s="251"/>
      <c r="H712" s="251"/>
      <c r="K712" s="251"/>
    </row>
    <row r="713" spans="4:11" ht="15.75" customHeight="1" x14ac:dyDescent="0.25">
      <c r="D713" s="251"/>
      <c r="E713" s="251"/>
      <c r="F713" s="251"/>
      <c r="G713" s="251"/>
      <c r="H713" s="251"/>
      <c r="K713" s="251"/>
    </row>
    <row r="714" spans="4:11" ht="15.75" customHeight="1" x14ac:dyDescent="0.25">
      <c r="D714" s="251"/>
      <c r="E714" s="251"/>
      <c r="F714" s="251"/>
      <c r="G714" s="251"/>
      <c r="H714" s="251"/>
      <c r="K714" s="251"/>
    </row>
    <row r="715" spans="4:11" ht="15.75" customHeight="1" x14ac:dyDescent="0.25">
      <c r="D715" s="251"/>
      <c r="E715" s="251"/>
      <c r="F715" s="251"/>
      <c r="G715" s="251"/>
      <c r="H715" s="251"/>
      <c r="K715" s="251"/>
    </row>
    <row r="716" spans="4:11" ht="15.75" customHeight="1" x14ac:dyDescent="0.25">
      <c r="D716" s="251"/>
      <c r="E716" s="251"/>
      <c r="F716" s="251"/>
      <c r="G716" s="251"/>
      <c r="H716" s="251"/>
      <c r="K716" s="251"/>
    </row>
    <row r="717" spans="4:11" ht="15.75" customHeight="1" x14ac:dyDescent="0.25">
      <c r="D717" s="251"/>
      <c r="E717" s="251"/>
      <c r="F717" s="251"/>
      <c r="G717" s="251"/>
      <c r="H717" s="251"/>
      <c r="K717" s="251"/>
    </row>
    <row r="718" spans="4:11" ht="15.75" customHeight="1" x14ac:dyDescent="0.25">
      <c r="D718" s="251"/>
      <c r="E718" s="251"/>
      <c r="F718" s="251"/>
      <c r="G718" s="251"/>
      <c r="H718" s="251"/>
      <c r="K718" s="251"/>
    </row>
    <row r="719" spans="4:11" ht="15.75" customHeight="1" x14ac:dyDescent="0.25">
      <c r="D719" s="251"/>
      <c r="E719" s="251"/>
      <c r="F719" s="251"/>
      <c r="G719" s="251"/>
      <c r="H719" s="251"/>
      <c r="K719" s="251"/>
    </row>
    <row r="720" spans="4:11" ht="15.75" customHeight="1" x14ac:dyDescent="0.25">
      <c r="D720" s="251"/>
      <c r="E720" s="251"/>
      <c r="F720" s="251"/>
      <c r="G720" s="251"/>
      <c r="H720" s="251"/>
      <c r="K720" s="251"/>
    </row>
    <row r="721" spans="4:11" ht="15.75" customHeight="1" x14ac:dyDescent="0.25">
      <c r="D721" s="251"/>
      <c r="E721" s="251"/>
      <c r="F721" s="251"/>
      <c r="G721" s="251"/>
      <c r="H721" s="251"/>
      <c r="K721" s="251"/>
    </row>
    <row r="722" spans="4:11" ht="15.75" customHeight="1" x14ac:dyDescent="0.25">
      <c r="D722" s="251"/>
      <c r="E722" s="251"/>
      <c r="F722" s="251"/>
      <c r="G722" s="251"/>
      <c r="H722" s="251"/>
      <c r="K722" s="251"/>
    </row>
    <row r="723" spans="4:11" ht="15.75" customHeight="1" x14ac:dyDescent="0.25">
      <c r="D723" s="251"/>
      <c r="E723" s="251"/>
      <c r="F723" s="251"/>
      <c r="G723" s="251"/>
      <c r="H723" s="251"/>
      <c r="K723" s="251"/>
    </row>
    <row r="724" spans="4:11" ht="15.75" customHeight="1" x14ac:dyDescent="0.25">
      <c r="D724" s="251"/>
      <c r="E724" s="251"/>
      <c r="F724" s="251"/>
      <c r="G724" s="251"/>
      <c r="H724" s="251"/>
      <c r="K724" s="251"/>
    </row>
    <row r="725" spans="4:11" ht="15.75" customHeight="1" x14ac:dyDescent="0.25">
      <c r="D725" s="251"/>
      <c r="E725" s="251"/>
      <c r="F725" s="251"/>
      <c r="G725" s="251"/>
      <c r="H725" s="251"/>
      <c r="K725" s="251"/>
    </row>
    <row r="726" spans="4:11" ht="15.75" customHeight="1" x14ac:dyDescent="0.25">
      <c r="D726" s="251"/>
      <c r="E726" s="251"/>
      <c r="F726" s="251"/>
      <c r="G726" s="251"/>
      <c r="H726" s="251"/>
      <c r="K726" s="251"/>
    </row>
    <row r="727" spans="4:11" ht="15.75" customHeight="1" x14ac:dyDescent="0.25">
      <c r="D727" s="251"/>
      <c r="E727" s="251"/>
      <c r="F727" s="251"/>
      <c r="G727" s="251"/>
      <c r="H727" s="251"/>
      <c r="K727" s="251"/>
    </row>
    <row r="728" spans="4:11" ht="15.75" customHeight="1" x14ac:dyDescent="0.25">
      <c r="D728" s="251"/>
      <c r="E728" s="251"/>
      <c r="F728" s="251"/>
      <c r="G728" s="251"/>
      <c r="H728" s="251"/>
      <c r="K728" s="251"/>
    </row>
    <row r="729" spans="4:11" ht="15.75" customHeight="1" x14ac:dyDescent="0.25">
      <c r="D729" s="251"/>
      <c r="E729" s="251"/>
      <c r="F729" s="251"/>
      <c r="G729" s="251"/>
      <c r="H729" s="251"/>
      <c r="K729" s="251"/>
    </row>
    <row r="730" spans="4:11" ht="15.75" customHeight="1" x14ac:dyDescent="0.25">
      <c r="D730" s="251"/>
      <c r="E730" s="251"/>
      <c r="F730" s="251"/>
      <c r="G730" s="251"/>
      <c r="H730" s="251"/>
      <c r="K730" s="251"/>
    </row>
    <row r="731" spans="4:11" ht="15.75" customHeight="1" x14ac:dyDescent="0.25">
      <c r="D731" s="251"/>
      <c r="E731" s="251"/>
      <c r="F731" s="251"/>
      <c r="G731" s="251"/>
      <c r="H731" s="251"/>
      <c r="K731" s="251"/>
    </row>
    <row r="732" spans="4:11" ht="15.75" customHeight="1" x14ac:dyDescent="0.25">
      <c r="D732" s="251"/>
      <c r="E732" s="251"/>
      <c r="F732" s="251"/>
      <c r="G732" s="251"/>
      <c r="H732" s="251"/>
      <c r="K732" s="251"/>
    </row>
    <row r="733" spans="4:11" ht="15.75" customHeight="1" x14ac:dyDescent="0.25">
      <c r="D733" s="251"/>
      <c r="E733" s="251"/>
      <c r="F733" s="251"/>
      <c r="G733" s="251"/>
      <c r="H733" s="251"/>
      <c r="K733" s="251"/>
    </row>
    <row r="734" spans="4:11" ht="15.75" customHeight="1" x14ac:dyDescent="0.25">
      <c r="D734" s="251"/>
      <c r="E734" s="251"/>
      <c r="F734" s="251"/>
      <c r="G734" s="251"/>
      <c r="H734" s="251"/>
      <c r="K734" s="251"/>
    </row>
    <row r="735" spans="4:11" ht="15.75" customHeight="1" x14ac:dyDescent="0.25">
      <c r="D735" s="251"/>
      <c r="E735" s="251"/>
      <c r="F735" s="251"/>
      <c r="G735" s="251"/>
      <c r="H735" s="251"/>
      <c r="K735" s="251"/>
    </row>
    <row r="736" spans="4:11" ht="15.75" customHeight="1" x14ac:dyDescent="0.25">
      <c r="D736" s="251"/>
      <c r="E736" s="251"/>
      <c r="F736" s="251"/>
      <c r="G736" s="251"/>
      <c r="H736" s="251"/>
      <c r="K736" s="251"/>
    </row>
    <row r="737" spans="4:11" ht="15.75" customHeight="1" x14ac:dyDescent="0.25">
      <c r="D737" s="251"/>
      <c r="E737" s="251"/>
      <c r="F737" s="251"/>
      <c r="G737" s="251"/>
      <c r="H737" s="251"/>
      <c r="K737" s="251"/>
    </row>
    <row r="738" spans="4:11" ht="15.75" customHeight="1" x14ac:dyDescent="0.25">
      <c r="D738" s="251"/>
      <c r="E738" s="251"/>
      <c r="F738" s="251"/>
      <c r="G738" s="251"/>
      <c r="H738" s="251"/>
      <c r="K738" s="251"/>
    </row>
    <row r="739" spans="4:11" ht="15.75" customHeight="1" x14ac:dyDescent="0.25">
      <c r="D739" s="251"/>
      <c r="E739" s="251"/>
      <c r="F739" s="251"/>
      <c r="G739" s="251"/>
      <c r="H739" s="251"/>
      <c r="K739" s="251"/>
    </row>
    <row r="740" spans="4:11" ht="15.75" customHeight="1" x14ac:dyDescent="0.25">
      <c r="D740" s="251"/>
      <c r="E740" s="251"/>
      <c r="F740" s="251"/>
      <c r="G740" s="251"/>
      <c r="H740" s="251"/>
      <c r="K740" s="251"/>
    </row>
    <row r="741" spans="4:11" ht="15.75" customHeight="1" x14ac:dyDescent="0.25">
      <c r="D741" s="251"/>
      <c r="E741" s="251"/>
      <c r="F741" s="251"/>
      <c r="G741" s="251"/>
      <c r="H741" s="251"/>
      <c r="K741" s="251"/>
    </row>
    <row r="742" spans="4:11" ht="15.75" customHeight="1" x14ac:dyDescent="0.25">
      <c r="D742" s="251"/>
      <c r="E742" s="251"/>
      <c r="F742" s="251"/>
      <c r="G742" s="251"/>
      <c r="H742" s="251"/>
      <c r="K742" s="251"/>
    </row>
    <row r="743" spans="4:11" ht="15.75" customHeight="1" x14ac:dyDescent="0.25">
      <c r="D743" s="251"/>
      <c r="E743" s="251"/>
      <c r="F743" s="251"/>
      <c r="G743" s="251"/>
      <c r="H743" s="251"/>
      <c r="K743" s="251"/>
    </row>
    <row r="744" spans="4:11" ht="15.75" customHeight="1" x14ac:dyDescent="0.25">
      <c r="D744" s="251"/>
      <c r="E744" s="251"/>
      <c r="F744" s="251"/>
      <c r="G744" s="251"/>
      <c r="H744" s="251"/>
      <c r="K744" s="251"/>
    </row>
    <row r="745" spans="4:11" ht="15.75" customHeight="1" x14ac:dyDescent="0.25">
      <c r="D745" s="251"/>
      <c r="E745" s="251"/>
      <c r="F745" s="251"/>
      <c r="G745" s="251"/>
      <c r="H745" s="251"/>
      <c r="K745" s="251"/>
    </row>
    <row r="746" spans="4:11" ht="15.75" customHeight="1" x14ac:dyDescent="0.25">
      <c r="D746" s="251"/>
      <c r="E746" s="251"/>
      <c r="F746" s="251"/>
      <c r="G746" s="251"/>
      <c r="H746" s="251"/>
      <c r="K746" s="251"/>
    </row>
    <row r="747" spans="4:11" ht="15.75" customHeight="1" x14ac:dyDescent="0.25">
      <c r="D747" s="251"/>
      <c r="E747" s="251"/>
      <c r="F747" s="251"/>
      <c r="G747" s="251"/>
      <c r="H747" s="251"/>
      <c r="K747" s="251"/>
    </row>
    <row r="748" spans="4:11" ht="15.75" customHeight="1" x14ac:dyDescent="0.25">
      <c r="D748" s="251"/>
      <c r="E748" s="251"/>
      <c r="F748" s="251"/>
      <c r="G748" s="251"/>
      <c r="H748" s="251"/>
      <c r="K748" s="251"/>
    </row>
    <row r="749" spans="4:11" ht="15.75" customHeight="1" x14ac:dyDescent="0.25">
      <c r="D749" s="251"/>
      <c r="E749" s="251"/>
      <c r="F749" s="251"/>
      <c r="G749" s="251"/>
      <c r="H749" s="251"/>
      <c r="K749" s="251"/>
    </row>
    <row r="750" spans="4:11" ht="15.75" customHeight="1" x14ac:dyDescent="0.25">
      <c r="D750" s="251"/>
      <c r="E750" s="251"/>
      <c r="F750" s="251"/>
      <c r="G750" s="251"/>
      <c r="H750" s="251"/>
      <c r="K750" s="251"/>
    </row>
    <row r="751" spans="4:11" ht="15.75" customHeight="1" x14ac:dyDescent="0.25">
      <c r="D751" s="251"/>
      <c r="E751" s="251"/>
      <c r="F751" s="251"/>
      <c r="G751" s="251"/>
      <c r="H751" s="251"/>
      <c r="K751" s="251"/>
    </row>
    <row r="752" spans="4:11" ht="15.75" customHeight="1" x14ac:dyDescent="0.25">
      <c r="D752" s="251"/>
      <c r="E752" s="251"/>
      <c r="F752" s="251"/>
      <c r="G752" s="251"/>
      <c r="H752" s="251"/>
      <c r="K752" s="251"/>
    </row>
    <row r="753" spans="4:11" ht="15.75" customHeight="1" x14ac:dyDescent="0.25">
      <c r="D753" s="251"/>
      <c r="E753" s="251"/>
      <c r="F753" s="251"/>
      <c r="G753" s="251"/>
      <c r="H753" s="251"/>
      <c r="K753" s="251"/>
    </row>
    <row r="754" spans="4:11" ht="15.75" customHeight="1" x14ac:dyDescent="0.25">
      <c r="D754" s="251"/>
      <c r="E754" s="251"/>
      <c r="F754" s="251"/>
      <c r="G754" s="251"/>
      <c r="H754" s="251"/>
      <c r="K754" s="251"/>
    </row>
    <row r="755" spans="4:11" ht="15.75" customHeight="1" x14ac:dyDescent="0.25">
      <c r="D755" s="251"/>
      <c r="E755" s="251"/>
      <c r="F755" s="251"/>
      <c r="G755" s="251"/>
      <c r="H755" s="251"/>
      <c r="K755" s="251"/>
    </row>
    <row r="756" spans="4:11" ht="15.75" customHeight="1" x14ac:dyDescent="0.25">
      <c r="D756" s="251"/>
      <c r="E756" s="251"/>
      <c r="F756" s="251"/>
      <c r="G756" s="251"/>
      <c r="H756" s="251"/>
      <c r="K756" s="251"/>
    </row>
    <row r="757" spans="4:11" ht="15.75" customHeight="1" x14ac:dyDescent="0.25">
      <c r="D757" s="251"/>
      <c r="E757" s="251"/>
      <c r="F757" s="251"/>
      <c r="G757" s="251"/>
      <c r="H757" s="251"/>
      <c r="K757" s="251"/>
    </row>
    <row r="758" spans="4:11" ht="15.75" customHeight="1" x14ac:dyDescent="0.25">
      <c r="D758" s="251"/>
      <c r="E758" s="251"/>
      <c r="F758" s="251"/>
      <c r="G758" s="251"/>
      <c r="H758" s="251"/>
      <c r="K758" s="251"/>
    </row>
    <row r="759" spans="4:11" ht="15.75" customHeight="1" x14ac:dyDescent="0.25">
      <c r="D759" s="251"/>
      <c r="E759" s="251"/>
      <c r="F759" s="251"/>
      <c r="G759" s="251"/>
      <c r="H759" s="251"/>
      <c r="K759" s="251"/>
    </row>
    <row r="760" spans="4:11" ht="15.75" customHeight="1" x14ac:dyDescent="0.25">
      <c r="D760" s="251"/>
      <c r="E760" s="251"/>
      <c r="F760" s="251"/>
      <c r="G760" s="251"/>
      <c r="H760" s="251"/>
      <c r="K760" s="251"/>
    </row>
    <row r="761" spans="4:11" ht="15.75" customHeight="1" x14ac:dyDescent="0.25">
      <c r="D761" s="251"/>
      <c r="E761" s="251"/>
      <c r="F761" s="251"/>
      <c r="G761" s="251"/>
      <c r="H761" s="251"/>
      <c r="K761" s="251"/>
    </row>
    <row r="762" spans="4:11" ht="15.75" customHeight="1" x14ac:dyDescent="0.25">
      <c r="D762" s="251"/>
      <c r="E762" s="251"/>
      <c r="F762" s="251"/>
      <c r="G762" s="251"/>
      <c r="H762" s="251"/>
      <c r="K762" s="251"/>
    </row>
    <row r="763" spans="4:11" ht="15.75" customHeight="1" x14ac:dyDescent="0.25">
      <c r="D763" s="251"/>
      <c r="E763" s="251"/>
      <c r="F763" s="251"/>
      <c r="G763" s="251"/>
      <c r="H763" s="251"/>
      <c r="K763" s="251"/>
    </row>
    <row r="764" spans="4:11" ht="15.75" customHeight="1" x14ac:dyDescent="0.25">
      <c r="D764" s="251"/>
      <c r="E764" s="251"/>
      <c r="F764" s="251"/>
      <c r="G764" s="251"/>
      <c r="H764" s="251"/>
      <c r="K764" s="251"/>
    </row>
    <row r="765" spans="4:11" ht="15.75" customHeight="1" x14ac:dyDescent="0.25">
      <c r="D765" s="251"/>
      <c r="E765" s="251"/>
      <c r="F765" s="251"/>
      <c r="G765" s="251"/>
      <c r="H765" s="251"/>
      <c r="K765" s="251"/>
    </row>
    <row r="766" spans="4:11" ht="15.75" customHeight="1" x14ac:dyDescent="0.25">
      <c r="D766" s="251"/>
      <c r="E766" s="251"/>
      <c r="F766" s="251"/>
      <c r="G766" s="251"/>
      <c r="H766" s="251"/>
      <c r="K766" s="251"/>
    </row>
    <row r="767" spans="4:11" ht="15.75" customHeight="1" x14ac:dyDescent="0.25">
      <c r="D767" s="251"/>
      <c r="E767" s="251"/>
      <c r="F767" s="251"/>
      <c r="G767" s="251"/>
      <c r="H767" s="251"/>
      <c r="K767" s="251"/>
    </row>
    <row r="768" spans="4:11" ht="15.75" customHeight="1" x14ac:dyDescent="0.25">
      <c r="D768" s="251"/>
      <c r="E768" s="251"/>
      <c r="F768" s="251"/>
      <c r="G768" s="251"/>
      <c r="H768" s="251"/>
      <c r="K768" s="251"/>
    </row>
    <row r="769" spans="4:11" ht="15.75" customHeight="1" x14ac:dyDescent="0.25">
      <c r="D769" s="251"/>
      <c r="E769" s="251"/>
      <c r="F769" s="251"/>
      <c r="G769" s="251"/>
      <c r="H769" s="251"/>
      <c r="K769" s="251"/>
    </row>
    <row r="770" spans="4:11" ht="15.75" customHeight="1" x14ac:dyDescent="0.25">
      <c r="D770" s="251"/>
      <c r="E770" s="251"/>
      <c r="F770" s="251"/>
      <c r="G770" s="251"/>
      <c r="H770" s="251"/>
      <c r="K770" s="251"/>
    </row>
    <row r="771" spans="4:11" ht="15.75" customHeight="1" x14ac:dyDescent="0.25">
      <c r="D771" s="251"/>
      <c r="E771" s="251"/>
      <c r="F771" s="251"/>
      <c r="G771" s="251"/>
      <c r="H771" s="251"/>
      <c r="K771" s="251"/>
    </row>
    <row r="772" spans="4:11" ht="15.75" customHeight="1" x14ac:dyDescent="0.25">
      <c r="D772" s="251"/>
      <c r="E772" s="251"/>
      <c r="F772" s="251"/>
      <c r="G772" s="251"/>
      <c r="H772" s="251"/>
      <c r="K772" s="251"/>
    </row>
    <row r="773" spans="4:11" ht="15.75" customHeight="1" x14ac:dyDescent="0.25">
      <c r="D773" s="251"/>
      <c r="E773" s="251"/>
      <c r="F773" s="251"/>
      <c r="G773" s="251"/>
      <c r="H773" s="251"/>
      <c r="K773" s="251"/>
    </row>
    <row r="774" spans="4:11" ht="15.75" customHeight="1" x14ac:dyDescent="0.25">
      <c r="D774" s="251"/>
      <c r="E774" s="251"/>
      <c r="F774" s="251"/>
      <c r="G774" s="251"/>
      <c r="H774" s="251"/>
      <c r="K774" s="251"/>
    </row>
    <row r="775" spans="4:11" ht="15.75" customHeight="1" x14ac:dyDescent="0.25">
      <c r="D775" s="251"/>
      <c r="E775" s="251"/>
      <c r="F775" s="251"/>
      <c r="G775" s="251"/>
      <c r="H775" s="251"/>
      <c r="K775" s="251"/>
    </row>
    <row r="776" spans="4:11" ht="15.75" customHeight="1" x14ac:dyDescent="0.25">
      <c r="D776" s="251"/>
      <c r="E776" s="251"/>
      <c r="F776" s="251"/>
      <c r="G776" s="251"/>
      <c r="H776" s="251"/>
      <c r="K776" s="251"/>
    </row>
    <row r="777" spans="4:11" ht="15.75" customHeight="1" x14ac:dyDescent="0.25">
      <c r="D777" s="251"/>
      <c r="E777" s="251"/>
      <c r="F777" s="251"/>
      <c r="G777" s="251"/>
      <c r="H777" s="251"/>
      <c r="K777" s="251"/>
    </row>
    <row r="778" spans="4:11" ht="15.75" customHeight="1" x14ac:dyDescent="0.25">
      <c r="D778" s="251"/>
      <c r="E778" s="251"/>
      <c r="F778" s="251"/>
      <c r="G778" s="251"/>
      <c r="H778" s="251"/>
      <c r="K778" s="251"/>
    </row>
    <row r="779" spans="4:11" ht="15.75" customHeight="1" x14ac:dyDescent="0.25">
      <c r="D779" s="251"/>
      <c r="E779" s="251"/>
      <c r="F779" s="251"/>
      <c r="G779" s="251"/>
      <c r="H779" s="251"/>
      <c r="K779" s="251"/>
    </row>
    <row r="780" spans="4:11" ht="15.75" customHeight="1" x14ac:dyDescent="0.25">
      <c r="D780" s="251"/>
      <c r="E780" s="251"/>
      <c r="F780" s="251"/>
      <c r="G780" s="251"/>
      <c r="H780" s="251"/>
      <c r="K780" s="251"/>
    </row>
    <row r="781" spans="4:11" ht="15.75" customHeight="1" x14ac:dyDescent="0.25">
      <c r="D781" s="251"/>
      <c r="E781" s="251"/>
      <c r="F781" s="251"/>
      <c r="G781" s="251"/>
      <c r="H781" s="251"/>
      <c r="K781" s="251"/>
    </row>
    <row r="782" spans="4:11" ht="15.75" customHeight="1" x14ac:dyDescent="0.25">
      <c r="D782" s="251"/>
      <c r="E782" s="251"/>
      <c r="F782" s="251"/>
      <c r="G782" s="251"/>
      <c r="H782" s="251"/>
      <c r="K782" s="251"/>
    </row>
    <row r="783" spans="4:11" ht="15.75" customHeight="1" x14ac:dyDescent="0.25">
      <c r="D783" s="251"/>
      <c r="E783" s="251"/>
      <c r="F783" s="251"/>
      <c r="G783" s="251"/>
      <c r="H783" s="251"/>
      <c r="K783" s="251"/>
    </row>
    <row r="784" spans="4:11" ht="15.75" customHeight="1" x14ac:dyDescent="0.25">
      <c r="D784" s="251"/>
      <c r="E784" s="251"/>
      <c r="F784" s="251"/>
      <c r="G784" s="251"/>
      <c r="H784" s="251"/>
      <c r="K784" s="251"/>
    </row>
    <row r="785" spans="4:11" ht="15.75" customHeight="1" x14ac:dyDescent="0.25">
      <c r="D785" s="251"/>
      <c r="E785" s="251"/>
      <c r="F785" s="251"/>
      <c r="G785" s="251"/>
      <c r="H785" s="251"/>
      <c r="K785" s="251"/>
    </row>
    <row r="786" spans="4:11" ht="15.75" customHeight="1" x14ac:dyDescent="0.25">
      <c r="D786" s="251"/>
      <c r="E786" s="251"/>
      <c r="F786" s="251"/>
      <c r="G786" s="251"/>
      <c r="H786" s="251"/>
      <c r="K786" s="251"/>
    </row>
    <row r="787" spans="4:11" ht="15.75" customHeight="1" x14ac:dyDescent="0.25">
      <c r="D787" s="251"/>
      <c r="E787" s="251"/>
      <c r="F787" s="251"/>
      <c r="G787" s="251"/>
      <c r="H787" s="251"/>
      <c r="K787" s="251"/>
    </row>
    <row r="788" spans="4:11" ht="15.75" customHeight="1" x14ac:dyDescent="0.25">
      <c r="D788" s="251"/>
      <c r="E788" s="251"/>
      <c r="F788" s="251"/>
      <c r="G788" s="251"/>
      <c r="H788" s="251"/>
      <c r="K788" s="251"/>
    </row>
    <row r="789" spans="4:11" ht="15.75" customHeight="1" x14ac:dyDescent="0.25">
      <c r="D789" s="251"/>
      <c r="E789" s="251"/>
      <c r="F789" s="251"/>
      <c r="G789" s="251"/>
      <c r="H789" s="251"/>
      <c r="K789" s="251"/>
    </row>
    <row r="790" spans="4:11" ht="15.75" customHeight="1" x14ac:dyDescent="0.25">
      <c r="D790" s="251"/>
      <c r="E790" s="251"/>
      <c r="F790" s="251"/>
      <c r="G790" s="251"/>
      <c r="H790" s="251"/>
      <c r="K790" s="251"/>
    </row>
    <row r="791" spans="4:11" ht="15.75" customHeight="1" x14ac:dyDescent="0.25">
      <c r="D791" s="251"/>
      <c r="E791" s="251"/>
      <c r="F791" s="251"/>
      <c r="G791" s="251"/>
      <c r="H791" s="251"/>
      <c r="K791" s="251"/>
    </row>
    <row r="792" spans="4:11" ht="15.75" customHeight="1" x14ac:dyDescent="0.25">
      <c r="D792" s="251"/>
      <c r="E792" s="251"/>
      <c r="F792" s="251"/>
      <c r="G792" s="251"/>
      <c r="H792" s="251"/>
      <c r="K792" s="251"/>
    </row>
    <row r="793" spans="4:11" ht="15.75" customHeight="1" x14ac:dyDescent="0.25">
      <c r="D793" s="251"/>
      <c r="E793" s="251"/>
      <c r="F793" s="251"/>
      <c r="G793" s="251"/>
      <c r="H793" s="251"/>
      <c r="K793" s="251"/>
    </row>
    <row r="794" spans="4:11" ht="15.75" customHeight="1" x14ac:dyDescent="0.25">
      <c r="D794" s="251"/>
      <c r="E794" s="251"/>
      <c r="F794" s="251"/>
      <c r="G794" s="251"/>
      <c r="H794" s="251"/>
      <c r="K794" s="251"/>
    </row>
    <row r="795" spans="4:11" ht="15.75" customHeight="1" x14ac:dyDescent="0.25">
      <c r="D795" s="251"/>
      <c r="E795" s="251"/>
      <c r="F795" s="251"/>
      <c r="G795" s="251"/>
      <c r="H795" s="251"/>
      <c r="K795" s="251"/>
    </row>
    <row r="796" spans="4:11" ht="15.75" customHeight="1" x14ac:dyDescent="0.25">
      <c r="D796" s="251"/>
      <c r="E796" s="251"/>
      <c r="F796" s="251"/>
      <c r="G796" s="251"/>
      <c r="H796" s="251"/>
      <c r="K796" s="251"/>
    </row>
    <row r="797" spans="4:11" ht="15.75" customHeight="1" x14ac:dyDescent="0.25">
      <c r="D797" s="251"/>
      <c r="E797" s="251"/>
      <c r="F797" s="251"/>
      <c r="G797" s="251"/>
      <c r="H797" s="251"/>
      <c r="K797" s="251"/>
    </row>
    <row r="798" spans="4:11" ht="15.75" customHeight="1" x14ac:dyDescent="0.25">
      <c r="D798" s="251"/>
      <c r="E798" s="251"/>
      <c r="F798" s="251"/>
      <c r="G798" s="251"/>
      <c r="H798" s="251"/>
      <c r="K798" s="251"/>
    </row>
    <row r="799" spans="4:11" ht="15.75" customHeight="1" x14ac:dyDescent="0.25">
      <c r="D799" s="251"/>
      <c r="E799" s="251"/>
      <c r="F799" s="251"/>
      <c r="G799" s="251"/>
      <c r="H799" s="251"/>
      <c r="K799" s="251"/>
    </row>
    <row r="800" spans="4:11" ht="15.75" customHeight="1" x14ac:dyDescent="0.25">
      <c r="D800" s="251"/>
      <c r="E800" s="251"/>
      <c r="F800" s="251"/>
      <c r="G800" s="251"/>
      <c r="H800" s="251"/>
      <c r="K800" s="251"/>
    </row>
    <row r="801" spans="4:11" ht="15.75" customHeight="1" x14ac:dyDescent="0.25">
      <c r="D801" s="251"/>
      <c r="E801" s="251"/>
      <c r="F801" s="251"/>
      <c r="G801" s="251"/>
      <c r="H801" s="251"/>
      <c r="K801" s="251"/>
    </row>
    <row r="802" spans="4:11" ht="15.75" customHeight="1" x14ac:dyDescent="0.25">
      <c r="D802" s="251"/>
      <c r="E802" s="251"/>
      <c r="F802" s="251"/>
      <c r="G802" s="251"/>
      <c r="H802" s="251"/>
      <c r="K802" s="251"/>
    </row>
    <row r="803" spans="4:11" ht="15.75" customHeight="1" x14ac:dyDescent="0.25">
      <c r="D803" s="251"/>
      <c r="E803" s="251"/>
      <c r="F803" s="251"/>
      <c r="G803" s="251"/>
      <c r="H803" s="251"/>
      <c r="K803" s="251"/>
    </row>
    <row r="804" spans="4:11" ht="15.75" customHeight="1" x14ac:dyDescent="0.25">
      <c r="D804" s="251"/>
      <c r="E804" s="251"/>
      <c r="F804" s="251"/>
      <c r="G804" s="251"/>
      <c r="H804" s="251"/>
      <c r="K804" s="251"/>
    </row>
    <row r="805" spans="4:11" ht="15.75" customHeight="1" x14ac:dyDescent="0.25">
      <c r="D805" s="251"/>
      <c r="E805" s="251"/>
      <c r="F805" s="251"/>
      <c r="G805" s="251"/>
      <c r="H805" s="251"/>
      <c r="K805" s="251"/>
    </row>
    <row r="806" spans="4:11" ht="15.75" customHeight="1" x14ac:dyDescent="0.25">
      <c r="D806" s="251"/>
      <c r="E806" s="251"/>
      <c r="F806" s="251"/>
      <c r="G806" s="251"/>
      <c r="H806" s="251"/>
      <c r="K806" s="251"/>
    </row>
    <row r="807" spans="4:11" ht="15.75" customHeight="1" x14ac:dyDescent="0.25">
      <c r="D807" s="251"/>
      <c r="E807" s="251"/>
      <c r="F807" s="251"/>
      <c r="G807" s="251"/>
      <c r="H807" s="251"/>
      <c r="K807" s="251"/>
    </row>
    <row r="808" spans="4:11" ht="15.75" customHeight="1" x14ac:dyDescent="0.25">
      <c r="D808" s="251"/>
      <c r="E808" s="251"/>
      <c r="F808" s="251"/>
      <c r="G808" s="251"/>
      <c r="H808" s="251"/>
      <c r="K808" s="251"/>
    </row>
    <row r="809" spans="4:11" ht="15.75" customHeight="1" x14ac:dyDescent="0.25">
      <c r="D809" s="251"/>
      <c r="E809" s="251"/>
      <c r="F809" s="251"/>
      <c r="G809" s="251"/>
      <c r="H809" s="251"/>
      <c r="K809" s="251"/>
    </row>
    <row r="810" spans="4:11" ht="15.75" customHeight="1" x14ac:dyDescent="0.25">
      <c r="D810" s="251"/>
      <c r="E810" s="251"/>
      <c r="F810" s="251"/>
      <c r="G810" s="251"/>
      <c r="H810" s="251"/>
      <c r="K810" s="251"/>
    </row>
    <row r="811" spans="4:11" ht="15.75" customHeight="1" x14ac:dyDescent="0.25">
      <c r="D811" s="251"/>
      <c r="E811" s="251"/>
      <c r="F811" s="251"/>
      <c r="G811" s="251"/>
      <c r="H811" s="251"/>
      <c r="K811" s="251"/>
    </row>
    <row r="812" spans="4:11" ht="15.75" customHeight="1" x14ac:dyDescent="0.25">
      <c r="D812" s="251"/>
      <c r="E812" s="251"/>
      <c r="F812" s="251"/>
      <c r="G812" s="251"/>
      <c r="H812" s="251"/>
      <c r="K812" s="251"/>
    </row>
    <row r="813" spans="4:11" ht="15.75" customHeight="1" x14ac:dyDescent="0.25">
      <c r="D813" s="251"/>
      <c r="E813" s="251"/>
      <c r="F813" s="251"/>
      <c r="G813" s="251"/>
      <c r="H813" s="251"/>
      <c r="K813" s="251"/>
    </row>
    <row r="814" spans="4:11" ht="15.75" customHeight="1" x14ac:dyDescent="0.25">
      <c r="D814" s="251"/>
      <c r="E814" s="251"/>
      <c r="F814" s="251"/>
      <c r="G814" s="251"/>
      <c r="H814" s="251"/>
      <c r="K814" s="251"/>
    </row>
    <row r="815" spans="4:11" ht="15.75" customHeight="1" x14ac:dyDescent="0.25">
      <c r="D815" s="251"/>
      <c r="E815" s="251"/>
      <c r="F815" s="251"/>
      <c r="G815" s="251"/>
      <c r="H815" s="251"/>
      <c r="K815" s="251"/>
    </row>
    <row r="816" spans="4:11" ht="15.75" customHeight="1" x14ac:dyDescent="0.25">
      <c r="D816" s="251"/>
      <c r="E816" s="251"/>
      <c r="F816" s="251"/>
      <c r="G816" s="251"/>
      <c r="H816" s="251"/>
      <c r="K816" s="251"/>
    </row>
    <row r="817" spans="4:11" ht="15.75" customHeight="1" x14ac:dyDescent="0.25">
      <c r="D817" s="251"/>
      <c r="E817" s="251"/>
      <c r="F817" s="251"/>
      <c r="G817" s="251"/>
      <c r="H817" s="251"/>
      <c r="K817" s="251"/>
    </row>
    <row r="818" spans="4:11" ht="15.75" customHeight="1" x14ac:dyDescent="0.25">
      <c r="D818" s="251"/>
      <c r="E818" s="251"/>
      <c r="F818" s="251"/>
      <c r="G818" s="251"/>
      <c r="H818" s="251"/>
      <c r="K818" s="251"/>
    </row>
    <row r="819" spans="4:11" ht="15.75" customHeight="1" x14ac:dyDescent="0.25">
      <c r="D819" s="251"/>
      <c r="E819" s="251"/>
      <c r="F819" s="251"/>
      <c r="G819" s="251"/>
      <c r="H819" s="251"/>
      <c r="K819" s="251"/>
    </row>
    <row r="820" spans="4:11" ht="15.75" customHeight="1" x14ac:dyDescent="0.25">
      <c r="D820" s="251"/>
      <c r="E820" s="251"/>
      <c r="F820" s="251"/>
      <c r="G820" s="251"/>
      <c r="H820" s="251"/>
      <c r="K820" s="251"/>
    </row>
    <row r="821" spans="4:11" ht="15.75" customHeight="1" x14ac:dyDescent="0.25">
      <c r="D821" s="251"/>
      <c r="E821" s="251"/>
      <c r="F821" s="251"/>
      <c r="G821" s="251"/>
      <c r="H821" s="251"/>
      <c r="K821" s="251"/>
    </row>
    <row r="822" spans="4:11" ht="15.75" customHeight="1" x14ac:dyDescent="0.25">
      <c r="D822" s="251"/>
      <c r="E822" s="251"/>
      <c r="F822" s="251"/>
      <c r="G822" s="251"/>
      <c r="H822" s="251"/>
      <c r="K822" s="251"/>
    </row>
    <row r="823" spans="4:11" ht="15.75" customHeight="1" x14ac:dyDescent="0.25">
      <c r="D823" s="251"/>
      <c r="E823" s="251"/>
      <c r="F823" s="251"/>
      <c r="G823" s="251"/>
      <c r="H823" s="251"/>
      <c r="K823" s="251"/>
    </row>
    <row r="824" spans="4:11" ht="15.75" customHeight="1" x14ac:dyDescent="0.25">
      <c r="D824" s="251"/>
      <c r="E824" s="251"/>
      <c r="F824" s="251"/>
      <c r="G824" s="251"/>
      <c r="H824" s="251"/>
      <c r="K824" s="251"/>
    </row>
    <row r="825" spans="4:11" ht="15.75" customHeight="1" x14ac:dyDescent="0.25">
      <c r="D825" s="251"/>
      <c r="E825" s="251"/>
      <c r="F825" s="251"/>
      <c r="G825" s="251"/>
      <c r="H825" s="251"/>
      <c r="K825" s="251"/>
    </row>
    <row r="826" spans="4:11" ht="15.75" customHeight="1" x14ac:dyDescent="0.25">
      <c r="D826" s="251"/>
      <c r="E826" s="251"/>
      <c r="F826" s="251"/>
      <c r="G826" s="251"/>
      <c r="H826" s="251"/>
      <c r="K826" s="251"/>
    </row>
    <row r="827" spans="4:11" ht="15.75" customHeight="1" x14ac:dyDescent="0.25">
      <c r="D827" s="251"/>
      <c r="E827" s="251"/>
      <c r="F827" s="251"/>
      <c r="G827" s="251"/>
      <c r="H827" s="251"/>
      <c r="K827" s="251"/>
    </row>
    <row r="828" spans="4:11" ht="15.75" customHeight="1" x14ac:dyDescent="0.25">
      <c r="D828" s="251"/>
      <c r="E828" s="251"/>
      <c r="F828" s="251"/>
      <c r="G828" s="251"/>
      <c r="H828" s="251"/>
      <c r="K828" s="251"/>
    </row>
    <row r="829" spans="4:11" ht="15.75" customHeight="1" x14ac:dyDescent="0.25">
      <c r="D829" s="251"/>
      <c r="E829" s="251"/>
      <c r="F829" s="251"/>
      <c r="G829" s="251"/>
      <c r="H829" s="251"/>
      <c r="K829" s="251"/>
    </row>
    <row r="830" spans="4:11" ht="15.75" customHeight="1" x14ac:dyDescent="0.25">
      <c r="D830" s="251"/>
      <c r="E830" s="251"/>
      <c r="F830" s="251"/>
      <c r="G830" s="251"/>
      <c r="H830" s="251"/>
      <c r="K830" s="251"/>
    </row>
    <row r="831" spans="4:11" ht="15.75" customHeight="1" x14ac:dyDescent="0.25">
      <c r="D831" s="251"/>
      <c r="E831" s="251"/>
      <c r="F831" s="251"/>
      <c r="G831" s="251"/>
      <c r="H831" s="251"/>
      <c r="K831" s="251"/>
    </row>
    <row r="832" spans="4:11" ht="15.75" customHeight="1" x14ac:dyDescent="0.25">
      <c r="D832" s="251"/>
      <c r="E832" s="251"/>
      <c r="F832" s="251"/>
      <c r="G832" s="251"/>
      <c r="H832" s="251"/>
      <c r="K832" s="251"/>
    </row>
    <row r="833" spans="4:11" ht="15.75" customHeight="1" x14ac:dyDescent="0.25">
      <c r="D833" s="251"/>
      <c r="E833" s="251"/>
      <c r="F833" s="251"/>
      <c r="G833" s="251"/>
      <c r="H833" s="251"/>
      <c r="K833" s="251"/>
    </row>
    <row r="834" spans="4:11" ht="15.75" customHeight="1" x14ac:dyDescent="0.25">
      <c r="D834" s="251"/>
      <c r="E834" s="251"/>
      <c r="F834" s="251"/>
      <c r="G834" s="251"/>
      <c r="H834" s="251"/>
      <c r="K834" s="251"/>
    </row>
    <row r="835" spans="4:11" ht="15.75" customHeight="1" x14ac:dyDescent="0.25">
      <c r="D835" s="251"/>
      <c r="E835" s="251"/>
      <c r="F835" s="251"/>
      <c r="G835" s="251"/>
      <c r="H835" s="251"/>
      <c r="K835" s="251"/>
    </row>
    <row r="836" spans="4:11" ht="15.75" customHeight="1" x14ac:dyDescent="0.25">
      <c r="D836" s="251"/>
      <c r="E836" s="251"/>
      <c r="F836" s="251"/>
      <c r="G836" s="251"/>
      <c r="H836" s="251"/>
      <c r="K836" s="251"/>
    </row>
    <row r="837" spans="4:11" ht="15.75" customHeight="1" x14ac:dyDescent="0.25">
      <c r="D837" s="251"/>
      <c r="E837" s="251"/>
      <c r="F837" s="251"/>
      <c r="G837" s="251"/>
      <c r="H837" s="251"/>
      <c r="K837" s="251"/>
    </row>
    <row r="838" spans="4:11" ht="15.75" customHeight="1" x14ac:dyDescent="0.25">
      <c r="D838" s="251"/>
      <c r="E838" s="251"/>
      <c r="F838" s="251"/>
      <c r="G838" s="251"/>
      <c r="H838" s="251"/>
      <c r="K838" s="251"/>
    </row>
    <row r="839" spans="4:11" ht="15.75" customHeight="1" x14ac:dyDescent="0.25">
      <c r="D839" s="251"/>
      <c r="E839" s="251"/>
      <c r="F839" s="251"/>
      <c r="G839" s="251"/>
      <c r="H839" s="251"/>
      <c r="K839" s="251"/>
    </row>
    <row r="840" spans="4:11" ht="15.75" customHeight="1" x14ac:dyDescent="0.25">
      <c r="D840" s="251"/>
      <c r="E840" s="251"/>
      <c r="F840" s="251"/>
      <c r="G840" s="251"/>
      <c r="H840" s="251"/>
      <c r="K840" s="251"/>
    </row>
    <row r="841" spans="4:11" ht="15.75" customHeight="1" x14ac:dyDescent="0.25">
      <c r="D841" s="251"/>
      <c r="E841" s="251"/>
      <c r="F841" s="251"/>
      <c r="G841" s="251"/>
      <c r="H841" s="251"/>
      <c r="K841" s="251"/>
    </row>
    <row r="842" spans="4:11" ht="15.75" customHeight="1" x14ac:dyDescent="0.25">
      <c r="D842" s="251"/>
      <c r="E842" s="251"/>
      <c r="F842" s="251"/>
      <c r="G842" s="251"/>
      <c r="H842" s="251"/>
      <c r="K842" s="251"/>
    </row>
    <row r="843" spans="4:11" ht="15.75" customHeight="1" x14ac:dyDescent="0.25">
      <c r="D843" s="251"/>
      <c r="E843" s="251"/>
      <c r="F843" s="251"/>
      <c r="G843" s="251"/>
      <c r="H843" s="251"/>
      <c r="K843" s="251"/>
    </row>
    <row r="844" spans="4:11" ht="15.75" customHeight="1" x14ac:dyDescent="0.25">
      <c r="D844" s="251"/>
      <c r="E844" s="251"/>
      <c r="F844" s="251"/>
      <c r="G844" s="251"/>
      <c r="H844" s="251"/>
      <c r="K844" s="251"/>
    </row>
    <row r="845" spans="4:11" ht="15.75" customHeight="1" x14ac:dyDescent="0.25">
      <c r="D845" s="251"/>
      <c r="E845" s="251"/>
      <c r="F845" s="251"/>
      <c r="G845" s="251"/>
      <c r="H845" s="251"/>
      <c r="K845" s="251"/>
    </row>
    <row r="846" spans="4:11" ht="15.75" customHeight="1" x14ac:dyDescent="0.25">
      <c r="D846" s="251"/>
      <c r="E846" s="251"/>
      <c r="F846" s="251"/>
      <c r="G846" s="251"/>
      <c r="H846" s="251"/>
      <c r="K846" s="251"/>
    </row>
    <row r="847" spans="4:11" ht="15.75" customHeight="1" x14ac:dyDescent="0.25">
      <c r="D847" s="251"/>
      <c r="E847" s="251"/>
      <c r="F847" s="251"/>
      <c r="G847" s="251"/>
      <c r="H847" s="251"/>
      <c r="K847" s="251"/>
    </row>
    <row r="848" spans="4:11" ht="15.75" customHeight="1" x14ac:dyDescent="0.25">
      <c r="D848" s="251"/>
      <c r="E848" s="251"/>
      <c r="F848" s="251"/>
      <c r="G848" s="251"/>
      <c r="H848" s="251"/>
      <c r="K848" s="251"/>
    </row>
    <row r="849" spans="4:11" ht="15.75" customHeight="1" x14ac:dyDescent="0.25">
      <c r="D849" s="251"/>
      <c r="E849" s="251"/>
      <c r="F849" s="251"/>
      <c r="G849" s="251"/>
      <c r="H849" s="251"/>
      <c r="K849" s="251"/>
    </row>
    <row r="850" spans="4:11" ht="15.75" customHeight="1" x14ac:dyDescent="0.25">
      <c r="D850" s="251"/>
      <c r="E850" s="251"/>
      <c r="F850" s="251"/>
      <c r="G850" s="251"/>
      <c r="H850" s="251"/>
      <c r="K850" s="251"/>
    </row>
    <row r="851" spans="4:11" ht="15.75" customHeight="1" x14ac:dyDescent="0.25">
      <c r="D851" s="251"/>
      <c r="E851" s="251"/>
      <c r="F851" s="251"/>
      <c r="G851" s="251"/>
      <c r="H851" s="251"/>
      <c r="K851" s="251"/>
    </row>
    <row r="852" spans="4:11" ht="15.75" customHeight="1" x14ac:dyDescent="0.25">
      <c r="D852" s="251"/>
      <c r="E852" s="251"/>
      <c r="F852" s="251"/>
      <c r="G852" s="251"/>
      <c r="H852" s="251"/>
      <c r="K852" s="251"/>
    </row>
    <row r="853" spans="4:11" ht="15.75" customHeight="1" x14ac:dyDescent="0.25">
      <c r="D853" s="251"/>
      <c r="E853" s="251"/>
      <c r="F853" s="251"/>
      <c r="G853" s="251"/>
      <c r="H853" s="251"/>
      <c r="K853" s="251"/>
    </row>
    <row r="854" spans="4:11" ht="15.75" customHeight="1" x14ac:dyDescent="0.25">
      <c r="D854" s="251"/>
      <c r="E854" s="251"/>
      <c r="F854" s="251"/>
      <c r="G854" s="251"/>
      <c r="H854" s="251"/>
      <c r="K854" s="251"/>
    </row>
    <row r="855" spans="4:11" ht="15.75" customHeight="1" x14ac:dyDescent="0.25">
      <c r="D855" s="251"/>
      <c r="E855" s="251"/>
      <c r="F855" s="251"/>
      <c r="G855" s="251"/>
      <c r="H855" s="251"/>
      <c r="K855" s="251"/>
    </row>
    <row r="856" spans="4:11" ht="15.75" customHeight="1" x14ac:dyDescent="0.25">
      <c r="D856" s="251"/>
      <c r="E856" s="251"/>
      <c r="F856" s="251"/>
      <c r="G856" s="251"/>
      <c r="H856" s="251"/>
      <c r="K856" s="251"/>
    </row>
    <row r="857" spans="4:11" ht="15.75" customHeight="1" x14ac:dyDescent="0.25">
      <c r="D857" s="251"/>
      <c r="E857" s="251"/>
      <c r="F857" s="251"/>
      <c r="G857" s="251"/>
      <c r="H857" s="251"/>
      <c r="K857" s="251"/>
    </row>
    <row r="858" spans="4:11" ht="15.75" customHeight="1" x14ac:dyDescent="0.25">
      <c r="D858" s="251"/>
      <c r="E858" s="251"/>
      <c r="F858" s="251"/>
      <c r="G858" s="251"/>
      <c r="H858" s="251"/>
      <c r="K858" s="251"/>
    </row>
    <row r="859" spans="4:11" ht="15.75" customHeight="1" x14ac:dyDescent="0.25">
      <c r="D859" s="251"/>
      <c r="E859" s="251"/>
      <c r="F859" s="251"/>
      <c r="G859" s="251"/>
      <c r="H859" s="251"/>
      <c r="K859" s="251"/>
    </row>
    <row r="860" spans="4:11" ht="15.75" customHeight="1" x14ac:dyDescent="0.25">
      <c r="D860" s="251"/>
      <c r="E860" s="251"/>
      <c r="F860" s="251"/>
      <c r="G860" s="251"/>
      <c r="H860" s="251"/>
      <c r="K860" s="251"/>
    </row>
    <row r="861" spans="4:11" ht="15.75" customHeight="1" x14ac:dyDescent="0.25">
      <c r="D861" s="251"/>
      <c r="E861" s="251"/>
      <c r="F861" s="251"/>
      <c r="G861" s="251"/>
      <c r="H861" s="251"/>
      <c r="K861" s="251"/>
    </row>
    <row r="862" spans="4:11" ht="15.75" customHeight="1" x14ac:dyDescent="0.25">
      <c r="D862" s="251"/>
      <c r="E862" s="251"/>
      <c r="F862" s="251"/>
      <c r="G862" s="251"/>
      <c r="H862" s="251"/>
      <c r="K862" s="251"/>
    </row>
    <row r="863" spans="4:11" ht="15.75" customHeight="1" x14ac:dyDescent="0.25">
      <c r="D863" s="251"/>
      <c r="E863" s="251"/>
      <c r="F863" s="251"/>
      <c r="G863" s="251"/>
      <c r="H863" s="251"/>
      <c r="K863" s="251"/>
    </row>
    <row r="864" spans="4:11" ht="15.75" customHeight="1" x14ac:dyDescent="0.25">
      <c r="D864" s="251"/>
      <c r="E864" s="251"/>
      <c r="F864" s="251"/>
      <c r="G864" s="251"/>
      <c r="H864" s="251"/>
      <c r="K864" s="251"/>
    </row>
    <row r="865" spans="4:11" ht="15.75" customHeight="1" x14ac:dyDescent="0.25">
      <c r="D865" s="251"/>
      <c r="E865" s="251"/>
      <c r="F865" s="251"/>
      <c r="G865" s="251"/>
      <c r="H865" s="251"/>
      <c r="K865" s="251"/>
    </row>
    <row r="866" spans="4:11" ht="15.75" customHeight="1" x14ac:dyDescent="0.25">
      <c r="D866" s="251"/>
      <c r="E866" s="251"/>
      <c r="F866" s="251"/>
      <c r="G866" s="251"/>
      <c r="H866" s="251"/>
      <c r="K866" s="251"/>
    </row>
    <row r="867" spans="4:11" ht="15.75" customHeight="1" x14ac:dyDescent="0.25">
      <c r="D867" s="251"/>
      <c r="E867" s="251"/>
      <c r="F867" s="251"/>
      <c r="G867" s="251"/>
      <c r="H867" s="251"/>
      <c r="K867" s="251"/>
    </row>
    <row r="868" spans="4:11" ht="15.75" customHeight="1" x14ac:dyDescent="0.25">
      <c r="D868" s="251"/>
      <c r="E868" s="251"/>
      <c r="F868" s="251"/>
      <c r="G868" s="251"/>
      <c r="H868" s="251"/>
      <c r="K868" s="251"/>
    </row>
    <row r="869" spans="4:11" ht="15.75" customHeight="1" x14ac:dyDescent="0.25">
      <c r="D869" s="251"/>
      <c r="E869" s="251"/>
      <c r="F869" s="251"/>
      <c r="G869" s="251"/>
      <c r="H869" s="251"/>
      <c r="K869" s="251"/>
    </row>
    <row r="870" spans="4:11" ht="15.75" customHeight="1" x14ac:dyDescent="0.25">
      <c r="D870" s="251"/>
      <c r="E870" s="251"/>
      <c r="F870" s="251"/>
      <c r="G870" s="251"/>
      <c r="H870" s="251"/>
      <c r="K870" s="251"/>
    </row>
    <row r="871" spans="4:11" ht="15.75" customHeight="1" x14ac:dyDescent="0.25">
      <c r="D871" s="251"/>
      <c r="E871" s="251"/>
      <c r="F871" s="251"/>
      <c r="G871" s="251"/>
      <c r="H871" s="251"/>
      <c r="K871" s="251"/>
    </row>
    <row r="872" spans="4:11" ht="15.75" customHeight="1" x14ac:dyDescent="0.25">
      <c r="D872" s="251"/>
      <c r="E872" s="251"/>
      <c r="F872" s="251"/>
      <c r="G872" s="251"/>
      <c r="H872" s="251"/>
      <c r="K872" s="251"/>
    </row>
    <row r="873" spans="4:11" ht="15.75" customHeight="1" x14ac:dyDescent="0.25">
      <c r="D873" s="251"/>
      <c r="E873" s="251"/>
      <c r="F873" s="251"/>
      <c r="G873" s="251"/>
      <c r="H873" s="251"/>
      <c r="K873" s="251"/>
    </row>
    <row r="874" spans="4:11" ht="15.75" customHeight="1" x14ac:dyDescent="0.25">
      <c r="D874" s="251"/>
      <c r="E874" s="251"/>
      <c r="F874" s="251"/>
      <c r="G874" s="251"/>
      <c r="H874" s="251"/>
      <c r="K874" s="251"/>
    </row>
    <row r="875" spans="4:11" ht="15.75" customHeight="1" x14ac:dyDescent="0.25">
      <c r="D875" s="251"/>
      <c r="E875" s="251"/>
      <c r="F875" s="251"/>
      <c r="G875" s="251"/>
      <c r="H875" s="251"/>
      <c r="K875" s="251"/>
    </row>
    <row r="876" spans="4:11" ht="15.75" customHeight="1" x14ac:dyDescent="0.25">
      <c r="D876" s="251"/>
      <c r="E876" s="251"/>
      <c r="F876" s="251"/>
      <c r="G876" s="251"/>
      <c r="H876" s="251"/>
      <c r="K876" s="251"/>
    </row>
    <row r="877" spans="4:11" ht="15.75" customHeight="1" x14ac:dyDescent="0.25">
      <c r="D877" s="251"/>
      <c r="E877" s="251"/>
      <c r="F877" s="251"/>
      <c r="G877" s="251"/>
      <c r="H877" s="251"/>
      <c r="K877" s="251"/>
    </row>
    <row r="878" spans="4:11" ht="15.75" customHeight="1" x14ac:dyDescent="0.25">
      <c r="D878" s="251"/>
      <c r="E878" s="251"/>
      <c r="F878" s="251"/>
      <c r="G878" s="251"/>
      <c r="H878" s="251"/>
      <c r="K878" s="251"/>
    </row>
    <row r="879" spans="4:11" ht="15.75" customHeight="1" x14ac:dyDescent="0.25">
      <c r="D879" s="251"/>
      <c r="E879" s="251"/>
      <c r="F879" s="251"/>
      <c r="G879" s="251"/>
      <c r="H879" s="251"/>
      <c r="K879" s="251"/>
    </row>
    <row r="880" spans="4:11" ht="15.75" customHeight="1" x14ac:dyDescent="0.25">
      <c r="D880" s="251"/>
      <c r="E880" s="251"/>
      <c r="F880" s="251"/>
      <c r="G880" s="251"/>
      <c r="H880" s="251"/>
      <c r="K880" s="251"/>
    </row>
    <row r="881" spans="4:11" ht="15.75" customHeight="1" x14ac:dyDescent="0.25">
      <c r="D881" s="251"/>
      <c r="E881" s="251"/>
      <c r="F881" s="251"/>
      <c r="G881" s="251"/>
      <c r="H881" s="251"/>
      <c r="K881" s="251"/>
    </row>
    <row r="882" spans="4:11" ht="15.75" customHeight="1" x14ac:dyDescent="0.25">
      <c r="D882" s="251"/>
      <c r="E882" s="251"/>
      <c r="F882" s="251"/>
      <c r="G882" s="251"/>
      <c r="H882" s="251"/>
      <c r="K882" s="251"/>
    </row>
    <row r="883" spans="4:11" ht="15.75" customHeight="1" x14ac:dyDescent="0.25">
      <c r="D883" s="251"/>
      <c r="E883" s="251"/>
      <c r="F883" s="251"/>
      <c r="G883" s="251"/>
      <c r="H883" s="251"/>
      <c r="K883" s="251"/>
    </row>
    <row r="884" spans="4:11" ht="15.75" customHeight="1" x14ac:dyDescent="0.25">
      <c r="D884" s="251"/>
      <c r="E884" s="251"/>
      <c r="F884" s="251"/>
      <c r="G884" s="251"/>
      <c r="H884" s="251"/>
      <c r="K884" s="251"/>
    </row>
    <row r="885" spans="4:11" ht="15.75" customHeight="1" x14ac:dyDescent="0.25">
      <c r="D885" s="251"/>
      <c r="E885" s="251"/>
      <c r="F885" s="251"/>
      <c r="G885" s="251"/>
      <c r="H885" s="251"/>
      <c r="K885" s="251"/>
    </row>
    <row r="886" spans="4:11" ht="15.75" customHeight="1" x14ac:dyDescent="0.25">
      <c r="D886" s="251"/>
      <c r="E886" s="251"/>
      <c r="F886" s="251"/>
      <c r="G886" s="251"/>
      <c r="H886" s="251"/>
      <c r="K886" s="251"/>
    </row>
    <row r="887" spans="4:11" ht="15.75" customHeight="1" x14ac:dyDescent="0.25">
      <c r="D887" s="251"/>
      <c r="E887" s="251"/>
      <c r="F887" s="251"/>
      <c r="G887" s="251"/>
      <c r="H887" s="251"/>
      <c r="K887" s="251"/>
    </row>
    <row r="888" spans="4:11" ht="15.75" customHeight="1" x14ac:dyDescent="0.25">
      <c r="D888" s="251"/>
      <c r="E888" s="251"/>
      <c r="F888" s="251"/>
      <c r="G888" s="251"/>
      <c r="H888" s="251"/>
      <c r="K888" s="251"/>
    </row>
    <row r="889" spans="4:11" ht="15.75" customHeight="1" x14ac:dyDescent="0.25">
      <c r="D889" s="251"/>
      <c r="E889" s="251"/>
      <c r="F889" s="251"/>
      <c r="G889" s="251"/>
      <c r="H889" s="251"/>
      <c r="K889" s="251"/>
    </row>
    <row r="890" spans="4:11" ht="15.75" customHeight="1" x14ac:dyDescent="0.25">
      <c r="D890" s="251"/>
      <c r="E890" s="251"/>
      <c r="F890" s="251"/>
      <c r="G890" s="251"/>
      <c r="H890" s="251"/>
      <c r="K890" s="251"/>
    </row>
    <row r="891" spans="4:11" ht="15.75" customHeight="1" x14ac:dyDescent="0.25">
      <c r="D891" s="251"/>
      <c r="E891" s="251"/>
      <c r="F891" s="251"/>
      <c r="G891" s="251"/>
      <c r="H891" s="251"/>
      <c r="K891" s="251"/>
    </row>
    <row r="892" spans="4:11" ht="15.75" customHeight="1" x14ac:dyDescent="0.25">
      <c r="D892" s="251"/>
      <c r="E892" s="251"/>
      <c r="F892" s="251"/>
      <c r="G892" s="251"/>
      <c r="H892" s="251"/>
      <c r="K892" s="251"/>
    </row>
    <row r="893" spans="4:11" ht="15.75" customHeight="1" x14ac:dyDescent="0.25">
      <c r="D893" s="251"/>
      <c r="E893" s="251"/>
      <c r="F893" s="251"/>
      <c r="G893" s="251"/>
      <c r="H893" s="251"/>
      <c r="K893" s="251"/>
    </row>
    <row r="894" spans="4:11" ht="15.75" customHeight="1" x14ac:dyDescent="0.25">
      <c r="D894" s="251"/>
      <c r="E894" s="251"/>
      <c r="F894" s="251"/>
      <c r="G894" s="251"/>
      <c r="H894" s="251"/>
      <c r="K894" s="251"/>
    </row>
    <row r="895" spans="4:11" ht="15.75" customHeight="1" x14ac:dyDescent="0.25">
      <c r="D895" s="251"/>
      <c r="E895" s="251"/>
      <c r="F895" s="251"/>
      <c r="G895" s="251"/>
      <c r="H895" s="251"/>
      <c r="K895" s="251"/>
    </row>
    <row r="896" spans="4:11" ht="15.75" customHeight="1" x14ac:dyDescent="0.25">
      <c r="D896" s="251"/>
      <c r="E896" s="251"/>
      <c r="F896" s="251"/>
      <c r="G896" s="251"/>
      <c r="H896" s="251"/>
      <c r="K896" s="251"/>
    </row>
    <row r="897" spans="4:11" ht="15.75" customHeight="1" x14ac:dyDescent="0.25">
      <c r="D897" s="251"/>
      <c r="E897" s="251"/>
      <c r="F897" s="251"/>
      <c r="G897" s="251"/>
      <c r="H897" s="251"/>
      <c r="K897" s="251"/>
    </row>
    <row r="898" spans="4:11" ht="15.75" customHeight="1" x14ac:dyDescent="0.25">
      <c r="D898" s="251"/>
      <c r="E898" s="251"/>
      <c r="F898" s="251"/>
      <c r="G898" s="251"/>
      <c r="H898" s="251"/>
      <c r="K898" s="251"/>
    </row>
    <row r="899" spans="4:11" ht="15.75" customHeight="1" x14ac:dyDescent="0.25">
      <c r="D899" s="251"/>
      <c r="E899" s="251"/>
      <c r="F899" s="251"/>
      <c r="G899" s="251"/>
      <c r="H899" s="251"/>
      <c r="K899" s="251"/>
    </row>
    <row r="900" spans="4:11" ht="15.75" customHeight="1" x14ac:dyDescent="0.25">
      <c r="D900" s="251"/>
      <c r="E900" s="251"/>
      <c r="F900" s="251"/>
      <c r="G900" s="251"/>
      <c r="H900" s="251"/>
      <c r="K900" s="251"/>
    </row>
    <row r="901" spans="4:11" ht="15.75" customHeight="1" x14ac:dyDescent="0.25">
      <c r="D901" s="251"/>
      <c r="E901" s="251"/>
      <c r="F901" s="251"/>
      <c r="G901" s="251"/>
      <c r="H901" s="251"/>
      <c r="K901" s="251"/>
    </row>
    <row r="902" spans="4:11" ht="15.75" customHeight="1" x14ac:dyDescent="0.25">
      <c r="D902" s="251"/>
      <c r="E902" s="251"/>
      <c r="F902" s="251"/>
      <c r="G902" s="251"/>
      <c r="H902" s="251"/>
      <c r="K902" s="251"/>
    </row>
    <row r="903" spans="4:11" ht="15.75" customHeight="1" x14ac:dyDescent="0.25">
      <c r="D903" s="251"/>
      <c r="E903" s="251"/>
      <c r="F903" s="251"/>
      <c r="G903" s="251"/>
      <c r="H903" s="251"/>
      <c r="K903" s="251"/>
    </row>
    <row r="904" spans="4:11" ht="15.75" customHeight="1" x14ac:dyDescent="0.25">
      <c r="D904" s="251"/>
      <c r="E904" s="251"/>
      <c r="F904" s="251"/>
      <c r="G904" s="251"/>
      <c r="H904" s="251"/>
      <c r="K904" s="251"/>
    </row>
    <row r="905" spans="4:11" ht="15.75" customHeight="1" x14ac:dyDescent="0.25">
      <c r="D905" s="251"/>
      <c r="E905" s="251"/>
      <c r="F905" s="251"/>
      <c r="G905" s="251"/>
      <c r="H905" s="251"/>
      <c r="K905" s="251"/>
    </row>
    <row r="906" spans="4:11" ht="15.75" customHeight="1" x14ac:dyDescent="0.25">
      <c r="D906" s="251"/>
      <c r="E906" s="251"/>
      <c r="F906" s="251"/>
      <c r="G906" s="251"/>
      <c r="H906" s="251"/>
      <c r="K906" s="251"/>
    </row>
    <row r="907" spans="4:11" ht="15.75" customHeight="1" x14ac:dyDescent="0.25">
      <c r="D907" s="251"/>
      <c r="E907" s="251"/>
      <c r="F907" s="251"/>
      <c r="G907" s="251"/>
      <c r="H907" s="251"/>
      <c r="K907" s="251"/>
    </row>
    <row r="908" spans="4:11" ht="15.75" customHeight="1" x14ac:dyDescent="0.25">
      <c r="D908" s="251"/>
      <c r="E908" s="251"/>
      <c r="F908" s="251"/>
      <c r="G908" s="251"/>
      <c r="H908" s="251"/>
      <c r="K908" s="251"/>
    </row>
    <row r="909" spans="4:11" ht="15.75" customHeight="1" x14ac:dyDescent="0.25">
      <c r="D909" s="251"/>
      <c r="E909" s="251"/>
      <c r="F909" s="251"/>
      <c r="G909" s="251"/>
      <c r="H909" s="251"/>
      <c r="K909" s="251"/>
    </row>
    <row r="910" spans="4:11" ht="15.75" customHeight="1" x14ac:dyDescent="0.25">
      <c r="D910" s="251"/>
      <c r="E910" s="251"/>
      <c r="F910" s="251"/>
      <c r="G910" s="251"/>
      <c r="H910" s="251"/>
      <c r="K910" s="251"/>
    </row>
    <row r="911" spans="4:11" ht="15.75" customHeight="1" x14ac:dyDescent="0.25">
      <c r="D911" s="251"/>
      <c r="E911" s="251"/>
      <c r="F911" s="251"/>
      <c r="G911" s="251"/>
      <c r="H911" s="251"/>
      <c r="K911" s="251"/>
    </row>
    <row r="912" spans="4:11" ht="15.75" customHeight="1" x14ac:dyDescent="0.25">
      <c r="D912" s="251"/>
      <c r="E912" s="251"/>
      <c r="F912" s="251"/>
      <c r="G912" s="251"/>
      <c r="H912" s="251"/>
      <c r="K912" s="251"/>
    </row>
    <row r="913" spans="4:11" ht="15.75" customHeight="1" x14ac:dyDescent="0.25">
      <c r="D913" s="251"/>
      <c r="E913" s="251"/>
      <c r="F913" s="251"/>
      <c r="G913" s="251"/>
      <c r="H913" s="251"/>
      <c r="K913" s="251"/>
    </row>
    <row r="914" spans="4:11" ht="15.75" customHeight="1" x14ac:dyDescent="0.25">
      <c r="D914" s="251"/>
      <c r="E914" s="251"/>
      <c r="F914" s="251"/>
      <c r="G914" s="251"/>
      <c r="H914" s="251"/>
      <c r="K914" s="251"/>
    </row>
    <row r="915" spans="4:11" ht="15.75" customHeight="1" x14ac:dyDescent="0.25">
      <c r="D915" s="251"/>
      <c r="E915" s="251"/>
      <c r="F915" s="251"/>
      <c r="G915" s="251"/>
      <c r="H915" s="251"/>
      <c r="K915" s="251"/>
    </row>
    <row r="916" spans="4:11" ht="15.75" customHeight="1" x14ac:dyDescent="0.25">
      <c r="D916" s="251"/>
      <c r="E916" s="251"/>
      <c r="F916" s="251"/>
      <c r="G916" s="251"/>
      <c r="H916" s="251"/>
      <c r="K916" s="251"/>
    </row>
    <row r="917" spans="4:11" ht="15.75" customHeight="1" x14ac:dyDescent="0.25">
      <c r="D917" s="251"/>
      <c r="E917" s="251"/>
      <c r="F917" s="251"/>
      <c r="G917" s="251"/>
      <c r="H917" s="251"/>
      <c r="K917" s="251"/>
    </row>
    <row r="918" spans="4:11" ht="15.75" customHeight="1" x14ac:dyDescent="0.25">
      <c r="D918" s="251"/>
      <c r="E918" s="251"/>
      <c r="F918" s="251"/>
      <c r="G918" s="251"/>
      <c r="H918" s="251"/>
      <c r="K918" s="251"/>
    </row>
    <row r="919" spans="4:11" ht="15.75" customHeight="1" x14ac:dyDescent="0.25">
      <c r="D919" s="251"/>
      <c r="E919" s="251"/>
      <c r="F919" s="251"/>
      <c r="G919" s="251"/>
      <c r="H919" s="251"/>
      <c r="K919" s="251"/>
    </row>
    <row r="920" spans="4:11" ht="15.75" customHeight="1" x14ac:dyDescent="0.25">
      <c r="D920" s="251"/>
      <c r="E920" s="251"/>
      <c r="F920" s="251"/>
      <c r="G920" s="251"/>
      <c r="H920" s="251"/>
      <c r="K920" s="251"/>
    </row>
    <row r="921" spans="4:11" ht="15.75" customHeight="1" x14ac:dyDescent="0.25">
      <c r="D921" s="251"/>
      <c r="E921" s="251"/>
      <c r="F921" s="251"/>
      <c r="G921" s="251"/>
      <c r="H921" s="251"/>
      <c r="K921" s="251"/>
    </row>
    <row r="922" spans="4:11" ht="15.75" customHeight="1" x14ac:dyDescent="0.25">
      <c r="D922" s="251"/>
      <c r="E922" s="251"/>
      <c r="F922" s="251"/>
      <c r="G922" s="251"/>
      <c r="H922" s="251"/>
      <c r="K922" s="251"/>
    </row>
    <row r="923" spans="4:11" ht="15.75" customHeight="1" x14ac:dyDescent="0.25">
      <c r="D923" s="251"/>
      <c r="E923" s="251"/>
      <c r="F923" s="251"/>
      <c r="G923" s="251"/>
      <c r="H923" s="251"/>
      <c r="K923" s="251"/>
    </row>
    <row r="924" spans="4:11" ht="15.75" customHeight="1" x14ac:dyDescent="0.25">
      <c r="D924" s="251"/>
      <c r="E924" s="251"/>
      <c r="F924" s="251"/>
      <c r="G924" s="251"/>
      <c r="H924" s="251"/>
      <c r="K924" s="251"/>
    </row>
    <row r="925" spans="4:11" ht="15.75" customHeight="1" x14ac:dyDescent="0.25">
      <c r="D925" s="251"/>
      <c r="E925" s="251"/>
      <c r="F925" s="251"/>
      <c r="G925" s="251"/>
      <c r="H925" s="251"/>
      <c r="K925" s="251"/>
    </row>
    <row r="926" spans="4:11" ht="15.75" customHeight="1" x14ac:dyDescent="0.25">
      <c r="D926" s="251"/>
      <c r="E926" s="251"/>
      <c r="F926" s="251"/>
      <c r="G926" s="251"/>
      <c r="H926" s="251"/>
      <c r="K926" s="251"/>
    </row>
    <row r="927" spans="4:11" ht="15.75" customHeight="1" x14ac:dyDescent="0.25">
      <c r="D927" s="251"/>
      <c r="E927" s="251"/>
      <c r="F927" s="251"/>
      <c r="G927" s="251"/>
      <c r="H927" s="251"/>
      <c r="K927" s="251"/>
    </row>
    <row r="928" spans="4:11" ht="15.75" customHeight="1" x14ac:dyDescent="0.25">
      <c r="D928" s="251"/>
      <c r="E928" s="251"/>
      <c r="F928" s="251"/>
      <c r="G928" s="251"/>
      <c r="H928" s="251"/>
      <c r="K928" s="251"/>
    </row>
    <row r="929" spans="4:11" ht="15.75" customHeight="1" x14ac:dyDescent="0.25">
      <c r="D929" s="251"/>
      <c r="E929" s="251"/>
      <c r="F929" s="251"/>
      <c r="G929" s="251"/>
      <c r="H929" s="251"/>
      <c r="K929" s="251"/>
    </row>
    <row r="930" spans="4:11" ht="15.75" customHeight="1" x14ac:dyDescent="0.25">
      <c r="D930" s="251"/>
      <c r="E930" s="251"/>
      <c r="F930" s="251"/>
      <c r="G930" s="251"/>
      <c r="H930" s="251"/>
      <c r="K930" s="251"/>
    </row>
    <row r="931" spans="4:11" ht="15.75" customHeight="1" x14ac:dyDescent="0.25">
      <c r="D931" s="251"/>
      <c r="E931" s="251"/>
      <c r="F931" s="251"/>
      <c r="G931" s="251"/>
      <c r="H931" s="251"/>
      <c r="K931" s="251"/>
    </row>
    <row r="932" spans="4:11" ht="15.75" customHeight="1" x14ac:dyDescent="0.25">
      <c r="D932" s="251"/>
      <c r="E932" s="251"/>
      <c r="F932" s="251"/>
      <c r="G932" s="251"/>
      <c r="H932" s="251"/>
      <c r="K932" s="251"/>
    </row>
    <row r="933" spans="4:11" ht="15.75" customHeight="1" x14ac:dyDescent="0.25">
      <c r="D933" s="251"/>
      <c r="E933" s="251"/>
      <c r="F933" s="251"/>
      <c r="G933" s="251"/>
      <c r="H933" s="251"/>
      <c r="K933" s="251"/>
    </row>
    <row r="934" spans="4:11" ht="15.75" customHeight="1" x14ac:dyDescent="0.25">
      <c r="D934" s="251"/>
      <c r="E934" s="251"/>
      <c r="F934" s="251"/>
      <c r="G934" s="251"/>
      <c r="H934" s="251"/>
      <c r="K934" s="251"/>
    </row>
    <row r="935" spans="4:11" ht="15.75" customHeight="1" x14ac:dyDescent="0.25">
      <c r="D935" s="251"/>
      <c r="E935" s="251"/>
      <c r="F935" s="251"/>
      <c r="G935" s="251"/>
      <c r="H935" s="251"/>
      <c r="K935" s="251"/>
    </row>
    <row r="936" spans="4:11" ht="15.75" customHeight="1" x14ac:dyDescent="0.25">
      <c r="D936" s="251"/>
      <c r="E936" s="251"/>
      <c r="F936" s="251"/>
      <c r="G936" s="251"/>
      <c r="H936" s="251"/>
      <c r="K936" s="251"/>
    </row>
    <row r="937" spans="4:11" ht="15.75" customHeight="1" x14ac:dyDescent="0.25">
      <c r="D937" s="251"/>
      <c r="E937" s="251"/>
      <c r="F937" s="251"/>
      <c r="G937" s="251"/>
      <c r="H937" s="251"/>
      <c r="K937" s="251"/>
    </row>
    <row r="938" spans="4:11" ht="15.75" customHeight="1" x14ac:dyDescent="0.25">
      <c r="D938" s="251"/>
      <c r="E938" s="251"/>
      <c r="F938" s="251"/>
      <c r="G938" s="251"/>
      <c r="H938" s="251"/>
      <c r="K938" s="251"/>
    </row>
    <row r="939" spans="4:11" ht="15.75" customHeight="1" x14ac:dyDescent="0.25">
      <c r="D939" s="251"/>
      <c r="E939" s="251"/>
      <c r="F939" s="251"/>
      <c r="G939" s="251"/>
      <c r="H939" s="251"/>
      <c r="K939" s="251"/>
    </row>
    <row r="940" spans="4:11" ht="15.75" customHeight="1" x14ac:dyDescent="0.25">
      <c r="D940" s="251"/>
      <c r="E940" s="251"/>
      <c r="F940" s="251"/>
      <c r="G940" s="251"/>
      <c r="H940" s="251"/>
      <c r="K940" s="251"/>
    </row>
    <row r="941" spans="4:11" ht="15.75" customHeight="1" x14ac:dyDescent="0.25">
      <c r="D941" s="251"/>
      <c r="E941" s="251"/>
      <c r="F941" s="251"/>
      <c r="G941" s="251"/>
      <c r="H941" s="251"/>
      <c r="K941" s="251"/>
    </row>
    <row r="942" spans="4:11" ht="15.75" customHeight="1" x14ac:dyDescent="0.25">
      <c r="D942" s="251"/>
      <c r="E942" s="251"/>
      <c r="F942" s="251"/>
      <c r="G942" s="251"/>
      <c r="H942" s="251"/>
      <c r="K942" s="251"/>
    </row>
    <row r="943" spans="4:11" ht="15.75" customHeight="1" x14ac:dyDescent="0.25">
      <c r="D943" s="251"/>
      <c r="E943" s="251"/>
      <c r="F943" s="251"/>
      <c r="G943" s="251"/>
      <c r="H943" s="251"/>
      <c r="K943" s="251"/>
    </row>
    <row r="944" spans="4:11" ht="15.75" customHeight="1" x14ac:dyDescent="0.25">
      <c r="D944" s="251"/>
      <c r="E944" s="251"/>
      <c r="F944" s="251"/>
      <c r="G944" s="251"/>
      <c r="H944" s="251"/>
      <c r="K944" s="251"/>
    </row>
    <row r="945" spans="4:11" ht="15.75" customHeight="1" x14ac:dyDescent="0.25">
      <c r="D945" s="251"/>
      <c r="E945" s="251"/>
      <c r="F945" s="251"/>
      <c r="G945" s="251"/>
      <c r="H945" s="251"/>
      <c r="K945" s="251"/>
    </row>
    <row r="946" spans="4:11" ht="15.75" customHeight="1" x14ac:dyDescent="0.25">
      <c r="D946" s="251"/>
      <c r="E946" s="251"/>
      <c r="F946" s="251"/>
      <c r="G946" s="251"/>
      <c r="H946" s="251"/>
      <c r="K946" s="251"/>
    </row>
    <row r="947" spans="4:11" ht="15.75" customHeight="1" x14ac:dyDescent="0.25">
      <c r="D947" s="251"/>
      <c r="E947" s="251"/>
      <c r="F947" s="251"/>
      <c r="G947" s="251"/>
      <c r="H947" s="251"/>
      <c r="K947" s="251"/>
    </row>
    <row r="948" spans="4:11" ht="15.75" customHeight="1" x14ac:dyDescent="0.25">
      <c r="D948" s="251"/>
      <c r="E948" s="251"/>
      <c r="F948" s="251"/>
      <c r="G948" s="251"/>
      <c r="H948" s="251"/>
      <c r="K948" s="251"/>
    </row>
    <row r="949" spans="4:11" ht="15.75" customHeight="1" x14ac:dyDescent="0.25">
      <c r="D949" s="251"/>
      <c r="E949" s="251"/>
      <c r="F949" s="251"/>
      <c r="G949" s="251"/>
      <c r="H949" s="251"/>
      <c r="K949" s="251"/>
    </row>
    <row r="950" spans="4:11" ht="15.75" customHeight="1" x14ac:dyDescent="0.25">
      <c r="D950" s="251"/>
      <c r="E950" s="251"/>
      <c r="F950" s="251"/>
      <c r="G950" s="251"/>
      <c r="H950" s="251"/>
      <c r="K950" s="251"/>
    </row>
    <row r="951" spans="4:11" ht="15.75" customHeight="1" x14ac:dyDescent="0.25">
      <c r="D951" s="251"/>
      <c r="E951" s="251"/>
      <c r="F951" s="251"/>
      <c r="G951" s="251"/>
      <c r="H951" s="251"/>
      <c r="K951" s="251"/>
    </row>
    <row r="952" spans="4:11" ht="15.75" customHeight="1" x14ac:dyDescent="0.25">
      <c r="D952" s="251"/>
      <c r="E952" s="251"/>
      <c r="F952" s="251"/>
      <c r="G952" s="251"/>
      <c r="H952" s="251"/>
      <c r="K952" s="251"/>
    </row>
    <row r="953" spans="4:11" ht="15.75" customHeight="1" x14ac:dyDescent="0.25">
      <c r="D953" s="251"/>
      <c r="E953" s="251"/>
      <c r="F953" s="251"/>
      <c r="G953" s="251"/>
      <c r="H953" s="251"/>
      <c r="K953" s="251"/>
    </row>
    <row r="954" spans="4:11" ht="15.75" customHeight="1" x14ac:dyDescent="0.25">
      <c r="D954" s="251"/>
      <c r="E954" s="251"/>
      <c r="F954" s="251"/>
      <c r="G954" s="251"/>
      <c r="H954" s="251"/>
      <c r="K954" s="251"/>
    </row>
    <row r="955" spans="4:11" ht="15.75" customHeight="1" x14ac:dyDescent="0.25">
      <c r="D955" s="251"/>
      <c r="E955" s="251"/>
      <c r="F955" s="251"/>
      <c r="G955" s="251"/>
      <c r="H955" s="251"/>
      <c r="K955" s="251"/>
    </row>
    <row r="956" spans="4:11" ht="15.75" customHeight="1" x14ac:dyDescent="0.25">
      <c r="D956" s="251"/>
      <c r="E956" s="251"/>
      <c r="F956" s="251"/>
      <c r="G956" s="251"/>
      <c r="H956" s="251"/>
      <c r="K956" s="251"/>
    </row>
    <row r="957" spans="4:11" ht="15.75" customHeight="1" x14ac:dyDescent="0.25">
      <c r="D957" s="251"/>
      <c r="E957" s="251"/>
      <c r="F957" s="251"/>
      <c r="G957" s="251"/>
      <c r="H957" s="251"/>
      <c r="K957" s="251"/>
    </row>
    <row r="958" spans="4:11" ht="15.75" customHeight="1" x14ac:dyDescent="0.25">
      <c r="D958" s="251"/>
      <c r="E958" s="251"/>
      <c r="F958" s="251"/>
      <c r="G958" s="251"/>
      <c r="H958" s="251"/>
      <c r="K958" s="251"/>
    </row>
    <row r="959" spans="4:11" ht="15.75" customHeight="1" x14ac:dyDescent="0.25">
      <c r="D959" s="251"/>
      <c r="E959" s="251"/>
      <c r="F959" s="251"/>
      <c r="G959" s="251"/>
      <c r="H959" s="251"/>
      <c r="K959" s="251"/>
    </row>
    <row r="960" spans="4:11" ht="15.75" customHeight="1" x14ac:dyDescent="0.25">
      <c r="D960" s="251"/>
      <c r="E960" s="251"/>
      <c r="F960" s="251"/>
      <c r="G960" s="251"/>
      <c r="H960" s="251"/>
      <c r="K960" s="251"/>
    </row>
    <row r="961" spans="4:11" ht="15.75" customHeight="1" x14ac:dyDescent="0.25">
      <c r="D961" s="251"/>
      <c r="E961" s="251"/>
      <c r="F961" s="251"/>
      <c r="G961" s="251"/>
      <c r="H961" s="251"/>
      <c r="K961" s="251"/>
    </row>
    <row r="962" spans="4:11" ht="15.75" customHeight="1" x14ac:dyDescent="0.25">
      <c r="D962" s="251"/>
      <c r="E962" s="251"/>
      <c r="F962" s="251"/>
      <c r="G962" s="251"/>
      <c r="H962" s="251"/>
      <c r="K962" s="251"/>
    </row>
    <row r="963" spans="4:11" ht="15.75" customHeight="1" x14ac:dyDescent="0.25">
      <c r="D963" s="251"/>
      <c r="E963" s="251"/>
      <c r="F963" s="251"/>
      <c r="G963" s="251"/>
      <c r="H963" s="251"/>
      <c r="K963" s="251"/>
    </row>
    <row r="964" spans="4:11" ht="15.75" customHeight="1" x14ac:dyDescent="0.25">
      <c r="D964" s="251"/>
      <c r="E964" s="251"/>
      <c r="F964" s="251"/>
      <c r="G964" s="251"/>
      <c r="H964" s="251"/>
      <c r="K964" s="251"/>
    </row>
    <row r="965" spans="4:11" ht="15.75" customHeight="1" x14ac:dyDescent="0.25">
      <c r="D965" s="251"/>
      <c r="E965" s="251"/>
      <c r="F965" s="251"/>
      <c r="G965" s="251"/>
      <c r="H965" s="251"/>
      <c r="K965" s="251"/>
    </row>
    <row r="966" spans="4:11" ht="15.75" customHeight="1" x14ac:dyDescent="0.25">
      <c r="D966" s="251"/>
      <c r="E966" s="251"/>
      <c r="F966" s="251"/>
      <c r="G966" s="251"/>
      <c r="H966" s="251"/>
      <c r="K966" s="251"/>
    </row>
    <row r="967" spans="4:11" ht="15.75" customHeight="1" x14ac:dyDescent="0.25">
      <c r="D967" s="251"/>
      <c r="E967" s="251"/>
      <c r="F967" s="251"/>
      <c r="G967" s="251"/>
      <c r="H967" s="251"/>
      <c r="K967" s="251"/>
    </row>
    <row r="968" spans="4:11" ht="15.75" customHeight="1" x14ac:dyDescent="0.25">
      <c r="D968" s="251"/>
      <c r="E968" s="251"/>
      <c r="F968" s="251"/>
      <c r="G968" s="251"/>
      <c r="H968" s="251"/>
      <c r="K968" s="251"/>
    </row>
    <row r="969" spans="4:11" ht="15.75" customHeight="1" x14ac:dyDescent="0.25">
      <c r="D969" s="251"/>
      <c r="E969" s="251"/>
      <c r="F969" s="251"/>
      <c r="G969" s="251"/>
      <c r="H969" s="251"/>
      <c r="K969" s="251"/>
    </row>
    <row r="970" spans="4:11" ht="15.75" customHeight="1" x14ac:dyDescent="0.25">
      <c r="D970" s="251"/>
      <c r="E970" s="251"/>
      <c r="F970" s="251"/>
      <c r="G970" s="251"/>
      <c r="H970" s="251"/>
      <c r="K970" s="251"/>
    </row>
    <row r="971" spans="4:11" ht="15.75" customHeight="1" x14ac:dyDescent="0.25">
      <c r="D971" s="251"/>
      <c r="E971" s="251"/>
      <c r="F971" s="251"/>
      <c r="G971" s="251"/>
      <c r="H971" s="251"/>
      <c r="K971" s="251"/>
    </row>
    <row r="972" spans="4:11" ht="15.75" customHeight="1" x14ac:dyDescent="0.25">
      <c r="D972" s="251"/>
      <c r="E972" s="251"/>
      <c r="F972" s="251"/>
      <c r="G972" s="251"/>
      <c r="H972" s="251"/>
      <c r="K972" s="251"/>
    </row>
    <row r="973" spans="4:11" ht="15.75" customHeight="1" x14ac:dyDescent="0.25">
      <c r="D973" s="251"/>
      <c r="E973" s="251"/>
      <c r="F973" s="251"/>
      <c r="G973" s="251"/>
      <c r="H973" s="251"/>
      <c r="K973" s="251"/>
    </row>
    <row r="974" spans="4:11" ht="15.75" customHeight="1" x14ac:dyDescent="0.25">
      <c r="D974" s="251"/>
      <c r="E974" s="251"/>
      <c r="F974" s="251"/>
      <c r="G974" s="251"/>
      <c r="H974" s="251"/>
      <c r="K974" s="251"/>
    </row>
    <row r="975" spans="4:11" ht="15.75" customHeight="1" x14ac:dyDescent="0.25">
      <c r="D975" s="251"/>
      <c r="E975" s="251"/>
      <c r="F975" s="251"/>
      <c r="G975" s="251"/>
      <c r="H975" s="251"/>
      <c r="K975" s="251"/>
    </row>
    <row r="976" spans="4:11" ht="15.75" customHeight="1" x14ac:dyDescent="0.25">
      <c r="D976" s="251"/>
      <c r="E976" s="251"/>
      <c r="F976" s="251"/>
      <c r="G976" s="251"/>
      <c r="H976" s="251"/>
      <c r="K976" s="251"/>
    </row>
    <row r="977" spans="4:11" ht="15.75" customHeight="1" x14ac:dyDescent="0.25">
      <c r="D977" s="251"/>
      <c r="E977" s="251"/>
      <c r="F977" s="251"/>
      <c r="G977" s="251"/>
      <c r="H977" s="251"/>
      <c r="K977" s="251"/>
    </row>
    <row r="978" spans="4:11" ht="15.75" customHeight="1" x14ac:dyDescent="0.25">
      <c r="D978" s="251"/>
      <c r="E978" s="251"/>
      <c r="F978" s="251"/>
      <c r="G978" s="251"/>
      <c r="H978" s="251"/>
      <c r="K978" s="251"/>
    </row>
    <row r="979" spans="4:11" ht="15.75" customHeight="1" x14ac:dyDescent="0.25">
      <c r="D979" s="251"/>
      <c r="E979" s="251"/>
      <c r="F979" s="251"/>
      <c r="G979" s="251"/>
      <c r="H979" s="251"/>
      <c r="K979" s="251"/>
    </row>
    <row r="980" spans="4:11" ht="15.75" customHeight="1" x14ac:dyDescent="0.25">
      <c r="D980" s="251"/>
      <c r="E980" s="251"/>
      <c r="F980" s="251"/>
      <c r="G980" s="251"/>
      <c r="H980" s="251"/>
      <c r="K980" s="251"/>
    </row>
    <row r="981" spans="4:11" ht="15.75" customHeight="1" x14ac:dyDescent="0.25">
      <c r="D981" s="251"/>
      <c r="E981" s="251"/>
      <c r="F981" s="251"/>
      <c r="G981" s="251"/>
      <c r="H981" s="251"/>
      <c r="K981" s="251"/>
    </row>
    <row r="982" spans="4:11" ht="15.75" customHeight="1" x14ac:dyDescent="0.25">
      <c r="D982" s="251"/>
      <c r="E982" s="251"/>
      <c r="F982" s="251"/>
      <c r="G982" s="251"/>
      <c r="H982" s="251"/>
      <c r="K982" s="251"/>
    </row>
    <row r="983" spans="4:11" ht="15.75" customHeight="1" x14ac:dyDescent="0.25">
      <c r="D983" s="251"/>
      <c r="E983" s="251"/>
      <c r="F983" s="251"/>
      <c r="G983" s="251"/>
      <c r="H983" s="251"/>
      <c r="K983" s="251"/>
    </row>
    <row r="984" spans="4:11" ht="15.75" customHeight="1" x14ac:dyDescent="0.25">
      <c r="D984" s="251"/>
      <c r="E984" s="251"/>
      <c r="F984" s="251"/>
      <c r="G984" s="251"/>
      <c r="H984" s="251"/>
      <c r="K984" s="251"/>
    </row>
    <row r="985" spans="4:11" ht="15.75" customHeight="1" x14ac:dyDescent="0.25">
      <c r="D985" s="251"/>
      <c r="E985" s="251"/>
      <c r="F985" s="251"/>
      <c r="G985" s="251"/>
      <c r="H985" s="251"/>
      <c r="K985" s="251"/>
    </row>
    <row r="986" spans="4:11" ht="15.75" customHeight="1" x14ac:dyDescent="0.25">
      <c r="D986" s="251"/>
      <c r="E986" s="251"/>
      <c r="F986" s="251"/>
      <c r="G986" s="251"/>
      <c r="H986" s="251"/>
      <c r="K986" s="251"/>
    </row>
    <row r="987" spans="4:11" ht="15.75" customHeight="1" x14ac:dyDescent="0.25">
      <c r="D987" s="251"/>
      <c r="E987" s="251"/>
      <c r="F987" s="251"/>
      <c r="G987" s="251"/>
      <c r="H987" s="251"/>
      <c r="K987" s="251"/>
    </row>
    <row r="988" spans="4:11" ht="15.75" customHeight="1" x14ac:dyDescent="0.25">
      <c r="D988" s="251"/>
      <c r="E988" s="251"/>
      <c r="F988" s="251"/>
      <c r="G988" s="251"/>
      <c r="H988" s="251"/>
      <c r="K988" s="251"/>
    </row>
    <row r="989" spans="4:11" ht="15.75" customHeight="1" x14ac:dyDescent="0.25">
      <c r="D989" s="251"/>
      <c r="E989" s="251"/>
      <c r="F989" s="251"/>
      <c r="G989" s="251"/>
      <c r="H989" s="251"/>
      <c r="K989" s="251"/>
    </row>
    <row r="990" spans="4:11" ht="15.75" customHeight="1" x14ac:dyDescent="0.25">
      <c r="D990" s="251"/>
      <c r="E990" s="251"/>
      <c r="F990" s="251"/>
      <c r="G990" s="251"/>
      <c r="H990" s="251"/>
      <c r="K990" s="251"/>
    </row>
    <row r="991" spans="4:11" ht="15.75" customHeight="1" x14ac:dyDescent="0.25">
      <c r="D991" s="251"/>
      <c r="E991" s="251"/>
      <c r="F991" s="251"/>
      <c r="G991" s="251"/>
      <c r="H991" s="251"/>
      <c r="K991" s="251"/>
    </row>
    <row r="992" spans="4:11" ht="15.75" customHeight="1" x14ac:dyDescent="0.25">
      <c r="D992" s="251"/>
      <c r="E992" s="251"/>
      <c r="F992" s="251"/>
      <c r="G992" s="251"/>
      <c r="H992" s="251"/>
      <c r="K992" s="251"/>
    </row>
    <row r="993" spans="4:11" ht="15.75" customHeight="1" x14ac:dyDescent="0.25">
      <c r="D993" s="251"/>
      <c r="E993" s="251"/>
      <c r="F993" s="251"/>
      <c r="G993" s="251"/>
      <c r="H993" s="251"/>
      <c r="K993" s="251"/>
    </row>
    <row r="994" spans="4:11" ht="15.75" customHeight="1" x14ac:dyDescent="0.25">
      <c r="D994" s="251"/>
      <c r="E994" s="251"/>
      <c r="F994" s="251"/>
      <c r="G994" s="251"/>
      <c r="H994" s="251"/>
      <c r="K994" s="251"/>
    </row>
    <row r="995" spans="4:11" ht="15.75" customHeight="1" x14ac:dyDescent="0.25">
      <c r="D995" s="251"/>
      <c r="E995" s="251"/>
      <c r="F995" s="251"/>
      <c r="G995" s="251"/>
      <c r="H995" s="251"/>
      <c r="K995" s="251"/>
    </row>
    <row r="996" spans="4:11" ht="15.75" customHeight="1" x14ac:dyDescent="0.25">
      <c r="D996" s="251"/>
      <c r="E996" s="251"/>
      <c r="F996" s="251"/>
      <c r="G996" s="251"/>
      <c r="H996" s="251"/>
      <c r="K996" s="251"/>
    </row>
    <row r="997" spans="4:11" ht="15.75" customHeight="1" x14ac:dyDescent="0.25">
      <c r="D997" s="251"/>
      <c r="E997" s="251"/>
      <c r="F997" s="251"/>
      <c r="G997" s="251"/>
      <c r="H997" s="251"/>
      <c r="K997" s="251"/>
    </row>
    <row r="998" spans="4:11" ht="15.75" customHeight="1" x14ac:dyDescent="0.25">
      <c r="D998" s="251"/>
      <c r="E998" s="251"/>
      <c r="F998" s="251"/>
      <c r="G998" s="251"/>
      <c r="H998" s="251"/>
      <c r="K998" s="251"/>
    </row>
    <row r="999" spans="4:11" ht="15.75" customHeight="1" x14ac:dyDescent="0.25">
      <c r="D999" s="251"/>
      <c r="E999" s="251"/>
      <c r="F999" s="251"/>
      <c r="G999" s="251"/>
      <c r="H999" s="251"/>
      <c r="K999" s="251"/>
    </row>
    <row r="1000" spans="4:11" ht="15.75" customHeight="1" x14ac:dyDescent="0.25">
      <c r="D1000" s="251"/>
      <c r="E1000" s="251"/>
      <c r="F1000" s="251"/>
      <c r="G1000" s="251"/>
      <c r="H1000" s="251"/>
      <c r="K1000" s="251"/>
    </row>
  </sheetData>
  <mergeCells count="4">
    <mergeCell ref="A5:L5"/>
    <mergeCell ref="A7:L7"/>
    <mergeCell ref="B9:H9"/>
    <mergeCell ref="J9:K9"/>
  </mergeCells>
  <pageMargins left="0.511811024" right="0.511811024" top="0.78740157499999996" bottom="0.78740157499999996" header="0" footer="0"/>
  <pageSetup paperSize="9"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5645E-749E-410C-845D-EA0D9DE6BAB5}">
  <sheetPr>
    <tabColor rgb="FF0070C0"/>
  </sheetPr>
  <dimension ref="A1:L40"/>
  <sheetViews>
    <sheetView showGridLines="0" topLeftCell="A9" zoomScale="115" zoomScaleNormal="115" zoomScaleSheetLayoutView="95" workbookViewId="0">
      <selection activeCell="G28" sqref="G28"/>
    </sheetView>
  </sheetViews>
  <sheetFormatPr defaultColWidth="9.140625" defaultRowHeight="12.75" x14ac:dyDescent="0.25"/>
  <cols>
    <col min="1" max="1" width="48.7109375" style="1" customWidth="1"/>
    <col min="2" max="2" width="15.85546875" style="170" customWidth="1"/>
    <col min="3" max="3" width="7.5703125" style="171" customWidth="1"/>
    <col min="4" max="4" width="11.5703125" style="172" customWidth="1"/>
    <col min="5" max="5" width="15.85546875" style="1" customWidth="1"/>
    <col min="6" max="6" width="12.85546875" style="1" hidden="1" customWidth="1"/>
    <col min="7" max="7" width="19.140625" style="1" customWidth="1"/>
    <col min="8" max="8" width="15.140625" style="1" customWidth="1"/>
    <col min="9" max="9" width="13.5703125" style="1" bestFit="1" customWidth="1"/>
    <col min="10" max="16384" width="9.140625" style="1"/>
  </cols>
  <sheetData>
    <row r="1" spans="1:12" x14ac:dyDescent="0.25">
      <c r="B1" s="2"/>
      <c r="C1" s="1"/>
      <c r="D1" s="1"/>
      <c r="G1" s="102"/>
      <c r="H1" s="102"/>
      <c r="I1" s="2"/>
    </row>
    <row r="2" spans="1:12" ht="12.75" customHeight="1" x14ac:dyDescent="0.25">
      <c r="A2" s="1049" t="s">
        <v>158</v>
      </c>
      <c r="B2" s="2"/>
      <c r="C2" s="1"/>
      <c r="D2" s="1"/>
      <c r="G2" s="103"/>
      <c r="H2" s="103"/>
      <c r="I2" s="2"/>
    </row>
    <row r="3" spans="1:12" ht="12.75" customHeight="1" x14ac:dyDescent="0.25">
      <c r="A3" s="1050"/>
      <c r="B3" s="2"/>
      <c r="C3" s="1"/>
      <c r="D3" s="1"/>
      <c r="G3" s="103"/>
      <c r="H3" s="103"/>
      <c r="I3" s="2"/>
    </row>
    <row r="4" spans="1:12" ht="12.75" customHeight="1" x14ac:dyDescent="0.25">
      <c r="A4" s="1050"/>
      <c r="B4" s="2"/>
      <c r="C4" s="1"/>
      <c r="D4" s="1"/>
      <c r="G4" s="103"/>
      <c r="H4" s="103"/>
      <c r="I4" s="2"/>
    </row>
    <row r="5" spans="1:12" ht="13.5" thickBot="1" x14ac:dyDescent="0.3">
      <c r="A5" s="104"/>
      <c r="B5" s="105"/>
      <c r="C5" s="105"/>
      <c r="D5" s="105"/>
      <c r="E5" s="105"/>
      <c r="F5" s="105"/>
      <c r="G5" s="106"/>
      <c r="H5" s="106"/>
      <c r="I5" s="2"/>
    </row>
    <row r="6" spans="1:12" x14ac:dyDescent="0.25">
      <c r="A6" s="107"/>
      <c r="B6" s="2"/>
      <c r="C6" s="1"/>
      <c r="D6" s="1"/>
      <c r="G6" s="102"/>
      <c r="H6" s="102"/>
      <c r="I6" s="2"/>
    </row>
    <row r="7" spans="1:12" x14ac:dyDescent="0.25">
      <c r="A7" s="108" t="s">
        <v>159</v>
      </c>
      <c r="B7" s="109" t="str">
        <f>DADOS_INICIAIS!B2</f>
        <v>BLUE HEAVEN</v>
      </c>
      <c r="C7" s="110"/>
      <c r="D7" s="110"/>
      <c r="E7" s="110"/>
      <c r="F7" s="110"/>
      <c r="G7" s="110"/>
      <c r="H7" s="111"/>
      <c r="I7" s="2"/>
    </row>
    <row r="8" spans="1:12" x14ac:dyDescent="0.25">
      <c r="A8" s="112" t="s">
        <v>0</v>
      </c>
      <c r="B8" s="109" t="str">
        <f>DADOS_INICIAIS!B1</f>
        <v>MONOLYT</v>
      </c>
      <c r="C8" s="113"/>
      <c r="D8" s="113"/>
      <c r="E8" s="113"/>
      <c r="F8" s="113"/>
      <c r="G8" s="113"/>
      <c r="H8" s="114"/>
      <c r="I8" s="2"/>
    </row>
    <row r="9" spans="1:12" ht="15" customHeight="1" x14ac:dyDescent="0.25">
      <c r="A9" s="115" t="s">
        <v>160</v>
      </c>
      <c r="B9" s="116">
        <v>45448</v>
      </c>
      <c r="C9" s="117"/>
      <c r="D9" s="117"/>
      <c r="E9" s="117"/>
      <c r="F9" s="117"/>
      <c r="G9" s="117"/>
      <c r="H9" s="118"/>
    </row>
    <row r="10" spans="1:12" x14ac:dyDescent="0.25">
      <c r="A10" s="119" t="s">
        <v>1</v>
      </c>
      <c r="B10" s="120" t="s">
        <v>161</v>
      </c>
      <c r="C10" s="121"/>
      <c r="D10" s="121"/>
      <c r="E10" s="121"/>
      <c r="F10" s="121"/>
      <c r="G10" s="121"/>
      <c r="H10" s="122"/>
    </row>
    <row r="12" spans="1:12" ht="15.75" customHeight="1" x14ac:dyDescent="0.25">
      <c r="A12" s="123" t="s">
        <v>201</v>
      </c>
      <c r="B12" s="124"/>
      <c r="C12" s="125"/>
      <c r="D12" s="126"/>
      <c r="E12" s="127"/>
      <c r="F12" s="127"/>
      <c r="G12" s="127"/>
      <c r="H12" s="128"/>
    </row>
    <row r="13" spans="1:12" ht="15.75" customHeight="1" x14ac:dyDescent="0.25">
      <c r="A13" s="129"/>
      <c r="B13" s="130"/>
      <c r="C13" s="131"/>
      <c r="D13" s="132"/>
      <c r="E13" s="132"/>
      <c r="F13" s="132"/>
      <c r="H13" s="133"/>
    </row>
    <row r="14" spans="1:12" ht="15.75" customHeight="1" x14ac:dyDescent="0.25">
      <c r="A14" s="134" t="s">
        <v>14</v>
      </c>
      <c r="B14" s="1051" t="s">
        <v>18</v>
      </c>
      <c r="C14" s="1052"/>
      <c r="D14" s="1053" t="s">
        <v>5</v>
      </c>
      <c r="E14" s="1054"/>
      <c r="F14" s="135" t="s">
        <v>163</v>
      </c>
      <c r="G14" s="136" t="s">
        <v>16</v>
      </c>
      <c r="H14" s="133"/>
      <c r="L14" s="173"/>
    </row>
    <row r="15" spans="1:12" x14ac:dyDescent="0.25">
      <c r="A15" s="175" t="s">
        <v>183</v>
      </c>
      <c r="B15" s="183">
        <f>FACHADA!I12</f>
        <v>3968.0502462499999</v>
      </c>
      <c r="C15" s="143" t="s">
        <v>2</v>
      </c>
      <c r="D15" s="142">
        <v>102.82</v>
      </c>
      <c r="E15" s="144" t="s">
        <v>169</v>
      </c>
      <c r="F15" s="145" t="s">
        <v>202</v>
      </c>
      <c r="G15" s="146">
        <f>B15*D15*1.1</f>
        <v>448794.41895136749</v>
      </c>
      <c r="H15" s="774" t="str">
        <f>FACHADA!L12</f>
        <v>CUSTO CHAPISCO + REBOCO GRAN TORINO / TEXTURA SPOTCO</v>
      </c>
      <c r="L15" s="173"/>
    </row>
    <row r="16" spans="1:12" x14ac:dyDescent="0.25">
      <c r="A16" s="770" t="s">
        <v>1162</v>
      </c>
      <c r="B16" s="771">
        <f>FACHADA!I11</f>
        <v>10610.365782600002</v>
      </c>
      <c r="C16" s="143" t="s">
        <v>2</v>
      </c>
      <c r="D16" s="772">
        <f>FACHADA!J11</f>
        <v>117.699</v>
      </c>
      <c r="E16" s="144" t="s">
        <v>169</v>
      </c>
      <c r="F16" s="773"/>
      <c r="G16" s="146">
        <f>B16*D16*1.1</f>
        <v>1373712.3864708615</v>
      </c>
      <c r="H16" s="774" t="str">
        <f>FACHADA!L11</f>
        <v>CUSTO ATALAIA, MUDANDO O ITEM DA COMPOSIÇÃO VERNIZ PARA RESINA</v>
      </c>
      <c r="L16" s="173"/>
    </row>
    <row r="17" spans="1:11" x14ac:dyDescent="0.25">
      <c r="A17" s="1055" t="s">
        <v>17</v>
      </c>
      <c r="B17" s="1056"/>
      <c r="C17" s="1056"/>
      <c r="D17" s="1056"/>
      <c r="E17" s="1056"/>
      <c r="F17" s="1056"/>
      <c r="G17" s="160">
        <f>SUM(G15:G16)</f>
        <v>1822506.805422229</v>
      </c>
      <c r="H17" s="161"/>
    </row>
    <row r="18" spans="1:11" ht="15.75" customHeight="1" x14ac:dyDescent="0.25">
      <c r="A18" s="1057"/>
      <c r="B18" s="1058"/>
      <c r="C18" s="1058"/>
      <c r="D18" s="1058"/>
      <c r="E18" s="1058"/>
      <c r="F18" s="1058"/>
      <c r="G18" s="181"/>
      <c r="H18" s="165"/>
    </row>
    <row r="19" spans="1:11" ht="15.75" customHeight="1" x14ac:dyDescent="0.25">
      <c r="A19" s="123" t="s">
        <v>203</v>
      </c>
      <c r="B19" s="124"/>
      <c r="C19" s="125"/>
      <c r="D19" s="126"/>
      <c r="E19" s="127"/>
      <c r="F19" s="127"/>
      <c r="G19" s="127"/>
      <c r="H19" s="128"/>
    </row>
    <row r="20" spans="1:11" ht="15.75" customHeight="1" x14ac:dyDescent="0.25">
      <c r="A20" s="129"/>
      <c r="B20" s="195"/>
      <c r="C20" s="131"/>
      <c r="D20" s="132"/>
      <c r="E20" s="132"/>
      <c r="F20" s="132"/>
      <c r="H20" s="133"/>
      <c r="K20" s="173"/>
    </row>
    <row r="21" spans="1:11" ht="15.75" customHeight="1" x14ac:dyDescent="0.25">
      <c r="A21" s="134" t="s">
        <v>14</v>
      </c>
      <c r="B21" s="1051" t="s">
        <v>18</v>
      </c>
      <c r="C21" s="1052"/>
      <c r="D21" s="1053" t="s">
        <v>5</v>
      </c>
      <c r="E21" s="1054"/>
      <c r="F21" s="135" t="s">
        <v>163</v>
      </c>
      <c r="G21" s="136" t="s">
        <v>16</v>
      </c>
      <c r="H21" s="133"/>
    </row>
    <row r="22" spans="1:11" ht="15.75" customHeight="1" x14ac:dyDescent="0.25">
      <c r="A22" s="175" t="s">
        <v>1164</v>
      </c>
      <c r="B22" s="183">
        <f>B15</f>
        <v>3968.0502462499999</v>
      </c>
      <c r="C22" s="143" t="s">
        <v>2</v>
      </c>
      <c r="D22" s="142">
        <v>250</v>
      </c>
      <c r="E22" s="144" t="s">
        <v>169</v>
      </c>
      <c r="F22" s="145" t="s">
        <v>202</v>
      </c>
      <c r="G22" s="146">
        <f>+B22*D22*1.1</f>
        <v>1091213.8177187501</v>
      </c>
      <c r="H22" s="133"/>
    </row>
    <row r="23" spans="1:11" x14ac:dyDescent="0.25">
      <c r="A23" s="1055" t="s">
        <v>17</v>
      </c>
      <c r="B23" s="1056"/>
      <c r="C23" s="1056"/>
      <c r="D23" s="1056"/>
      <c r="E23" s="1056"/>
      <c r="F23" s="1056"/>
      <c r="G23" s="160">
        <f>SUM(G22)</f>
        <v>1091213.8177187501</v>
      </c>
      <c r="H23" s="161"/>
    </row>
    <row r="24" spans="1:11" x14ac:dyDescent="0.25">
      <c r="A24" s="1129"/>
      <c r="B24" s="1130"/>
      <c r="C24" s="1130"/>
      <c r="D24" s="1130"/>
      <c r="E24" s="1130"/>
      <c r="F24" s="1130"/>
      <c r="G24" s="181"/>
      <c r="H24" s="165"/>
    </row>
    <row r="25" spans="1:11" ht="15.75" customHeight="1" x14ac:dyDescent="0.25">
      <c r="A25" s="123" t="s">
        <v>204</v>
      </c>
      <c r="B25" s="124"/>
      <c r="C25" s="125"/>
      <c r="D25" s="126"/>
      <c r="E25" s="127"/>
      <c r="F25" s="127"/>
      <c r="G25" s="127"/>
      <c r="H25" s="128"/>
    </row>
    <row r="26" spans="1:11" ht="15.75" customHeight="1" x14ac:dyDescent="0.25">
      <c r="A26" s="129"/>
      <c r="B26" s="130"/>
      <c r="C26" s="131"/>
      <c r="D26" s="132"/>
      <c r="E26" s="132"/>
      <c r="F26" s="132"/>
      <c r="H26" s="133"/>
    </row>
    <row r="27" spans="1:11" ht="15.75" customHeight="1" x14ac:dyDescent="0.25">
      <c r="A27" s="134" t="s">
        <v>14</v>
      </c>
      <c r="B27" s="1051" t="s">
        <v>18</v>
      </c>
      <c r="C27" s="1052"/>
      <c r="D27" s="1053" t="s">
        <v>5</v>
      </c>
      <c r="E27" s="1054"/>
      <c r="F27" s="135" t="s">
        <v>163</v>
      </c>
      <c r="G27" s="136" t="s">
        <v>16</v>
      </c>
      <c r="H27" s="133"/>
    </row>
    <row r="28" spans="1:11" ht="15.75" customHeight="1" x14ac:dyDescent="0.25">
      <c r="A28" s="175" t="s">
        <v>205</v>
      </c>
      <c r="B28" s="183">
        <f>FACHADA!I13</f>
        <v>451.70282399999996</v>
      </c>
      <c r="C28" s="143" t="s">
        <v>2</v>
      </c>
      <c r="D28" s="142">
        <v>350</v>
      </c>
      <c r="E28" s="144" t="s">
        <v>169</v>
      </c>
      <c r="F28" s="145" t="s">
        <v>202</v>
      </c>
      <c r="G28" s="146">
        <f>B28*D28*1.1</f>
        <v>173905.58723999999</v>
      </c>
      <c r="H28" s="133"/>
    </row>
    <row r="29" spans="1:11" ht="15.75" customHeight="1" x14ac:dyDescent="0.25">
      <c r="A29" s="1055"/>
      <c r="B29" s="1056"/>
      <c r="C29" s="1056"/>
      <c r="D29" s="1056"/>
      <c r="E29" s="1056"/>
      <c r="F29" s="1056"/>
      <c r="G29" s="160">
        <f>SUM(G28:G28)</f>
        <v>173905.58723999999</v>
      </c>
      <c r="H29" s="161"/>
    </row>
    <row r="30" spans="1:11" x14ac:dyDescent="0.25">
      <c r="A30" s="1057"/>
      <c r="B30" s="1058"/>
      <c r="C30" s="1058"/>
      <c r="D30" s="1058"/>
      <c r="E30" s="1058"/>
      <c r="F30" s="1058"/>
      <c r="G30" s="181"/>
      <c r="H30" s="165"/>
    </row>
    <row r="31" spans="1:11" ht="15.75" customHeight="1" x14ac:dyDescent="0.25">
      <c r="G31" s="173"/>
    </row>
    <row r="32" spans="1:11" ht="15.75" customHeight="1" x14ac:dyDescent="0.25">
      <c r="A32" s="1047" t="s">
        <v>206</v>
      </c>
      <c r="B32" s="1047"/>
      <c r="C32" s="1047"/>
      <c r="D32" s="1047"/>
      <c r="E32" s="1047"/>
      <c r="F32" s="1047"/>
      <c r="G32" s="168">
        <f>G29+G23+G17</f>
        <v>3087626.2103809789</v>
      </c>
      <c r="H32" s="169">
        <f>G32/DADOS_INICIAIS!E11</f>
        <v>210.1366605174955</v>
      </c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</sheetData>
  <mergeCells count="14">
    <mergeCell ref="A32:F32"/>
    <mergeCell ref="A23:F23"/>
    <mergeCell ref="A24:F24"/>
    <mergeCell ref="B27:C27"/>
    <mergeCell ref="D27:E27"/>
    <mergeCell ref="A29:F29"/>
    <mergeCell ref="A30:F30"/>
    <mergeCell ref="B21:C21"/>
    <mergeCell ref="D21:E21"/>
    <mergeCell ref="A2:A4"/>
    <mergeCell ref="B14:C14"/>
    <mergeCell ref="D14:E14"/>
    <mergeCell ref="A17:F17"/>
    <mergeCell ref="A18:F18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3655E-BEF5-40FC-A7F2-1B99E5A08034}">
  <sheetPr>
    <tabColor rgb="FF0070C0"/>
  </sheetPr>
  <dimension ref="A1:V1002"/>
  <sheetViews>
    <sheetView showGridLines="0" topLeftCell="C17" workbookViewId="0">
      <selection activeCell="G35" sqref="G35"/>
    </sheetView>
  </sheetViews>
  <sheetFormatPr defaultColWidth="14.42578125" defaultRowHeight="15" customHeight="1" x14ac:dyDescent="0.25"/>
  <cols>
    <col min="1" max="1" width="12.28515625" customWidth="1"/>
    <col min="2" max="2" width="22.42578125" customWidth="1"/>
    <col min="3" max="3" width="40" customWidth="1"/>
    <col min="4" max="4" width="27.7109375" customWidth="1"/>
    <col min="5" max="5" width="26" customWidth="1"/>
    <col min="6" max="6" width="13.42578125" customWidth="1"/>
    <col min="7" max="7" width="4.5703125" customWidth="1"/>
    <col min="8" max="8" width="28.85546875" bestFit="1" customWidth="1"/>
    <col min="9" max="9" width="12.42578125" customWidth="1"/>
    <col min="10" max="10" width="14.28515625" customWidth="1"/>
    <col min="11" max="11" width="12.28515625" customWidth="1"/>
    <col min="12" max="12" width="22.7109375" customWidth="1"/>
    <col min="13" max="22" width="8.7109375" customWidth="1"/>
  </cols>
  <sheetData>
    <row r="1" spans="1:22" ht="15" customHeight="1" x14ac:dyDescent="0.25">
      <c r="A1" s="214" t="s">
        <v>0</v>
      </c>
      <c r="B1" s="712" t="str">
        <f>DADOS_INICIAIS!B1</f>
        <v>MONOLYT</v>
      </c>
      <c r="C1" s="400"/>
      <c r="D1" s="400"/>
      <c r="E1" s="400"/>
      <c r="F1" s="402"/>
      <c r="G1" s="402"/>
      <c r="H1" s="402"/>
      <c r="I1" s="402"/>
      <c r="J1" s="402"/>
      <c r="K1" s="402"/>
      <c r="L1" s="403"/>
    </row>
    <row r="2" spans="1:22" ht="15" customHeight="1" x14ac:dyDescent="0.25">
      <c r="A2" s="219" t="s">
        <v>113</v>
      </c>
      <c r="B2" s="399" t="str">
        <f>DADOS_INICIAIS!B2</f>
        <v>BLUE HEAVEN</v>
      </c>
      <c r="C2" s="405"/>
      <c r="D2" s="405"/>
      <c r="E2" s="405"/>
      <c r="F2" s="407"/>
      <c r="G2" s="407"/>
      <c r="H2" s="407"/>
      <c r="I2" s="407"/>
      <c r="J2" s="407"/>
      <c r="K2" s="407"/>
      <c r="L2" s="408"/>
    </row>
    <row r="3" spans="1:22" ht="15" customHeight="1" x14ac:dyDescent="0.25">
      <c r="A3" s="219" t="s">
        <v>1</v>
      </c>
      <c r="B3" s="404" t="s">
        <v>161</v>
      </c>
      <c r="C3" s="405"/>
      <c r="D3" s="405"/>
      <c r="E3" s="405"/>
      <c r="F3" s="407"/>
      <c r="G3" s="407"/>
      <c r="H3" s="407"/>
      <c r="I3" s="407"/>
      <c r="J3" s="407"/>
      <c r="K3" s="407"/>
      <c r="L3" s="408"/>
    </row>
    <row r="4" spans="1:22" ht="15" customHeight="1" x14ac:dyDescent="0.25">
      <c r="A4" s="409" t="s">
        <v>160</v>
      </c>
      <c r="B4" s="713">
        <v>45448</v>
      </c>
      <c r="C4" s="405"/>
      <c r="D4" s="739"/>
      <c r="E4" s="739"/>
      <c r="F4" s="412"/>
      <c r="G4" s="412"/>
      <c r="H4" s="289"/>
      <c r="I4" s="289"/>
      <c r="J4" s="289"/>
      <c r="K4" s="289"/>
      <c r="L4" s="408"/>
    </row>
    <row r="5" spans="1:22" ht="26.25" customHeight="1" x14ac:dyDescent="0.25">
      <c r="A5" s="1061" t="s">
        <v>283</v>
      </c>
      <c r="B5" s="1062"/>
      <c r="C5" s="1062"/>
      <c r="D5" s="1062"/>
      <c r="E5" s="1062"/>
      <c r="F5" s="1062"/>
      <c r="G5" s="1062"/>
      <c r="H5" s="1062"/>
      <c r="I5" s="1062"/>
      <c r="J5" s="1062"/>
      <c r="K5" s="1062"/>
      <c r="L5" s="1063"/>
    </row>
    <row r="6" spans="1:22" ht="14.25" customHeight="1" x14ac:dyDescent="0.25">
      <c r="A6" s="284"/>
      <c r="B6" s="289"/>
      <c r="C6" s="289"/>
      <c r="D6" s="289"/>
      <c r="E6" s="289"/>
      <c r="F6" s="289"/>
      <c r="G6" s="289"/>
      <c r="H6" s="289"/>
      <c r="I6" s="289"/>
      <c r="J6" s="289"/>
      <c r="K6" s="289"/>
      <c r="L6" s="285"/>
    </row>
    <row r="7" spans="1:22" ht="26.25" customHeight="1" x14ac:dyDescent="0.25">
      <c r="A7" s="1064" t="s">
        <v>545</v>
      </c>
      <c r="B7" s="1062"/>
      <c r="C7" s="1062"/>
      <c r="D7" s="1062"/>
      <c r="E7" s="1062"/>
      <c r="F7" s="1062"/>
      <c r="G7" s="1062"/>
      <c r="H7" s="1062"/>
      <c r="I7" s="1062"/>
      <c r="J7" s="1062"/>
      <c r="K7" s="1062"/>
      <c r="L7" s="1063"/>
    </row>
    <row r="8" spans="1:22" ht="14.25" customHeight="1" thickBot="1" x14ac:dyDescent="0.3">
      <c r="A8" s="284"/>
      <c r="B8" s="289"/>
      <c r="C8" s="289"/>
      <c r="D8" s="289"/>
      <c r="E8" s="289"/>
      <c r="F8" s="289"/>
      <c r="G8" s="289"/>
      <c r="H8" s="289"/>
      <c r="I8" s="289"/>
      <c r="J8" s="289"/>
      <c r="K8" s="289"/>
      <c r="L8" s="285"/>
      <c r="M8" s="289"/>
      <c r="N8" s="289"/>
      <c r="O8" s="289"/>
      <c r="P8" s="289"/>
      <c r="Q8" s="289"/>
      <c r="R8" s="289"/>
      <c r="S8" s="289"/>
      <c r="T8" s="289"/>
      <c r="U8" s="289"/>
      <c r="V8" s="289"/>
    </row>
    <row r="9" spans="1:22" ht="14.25" customHeight="1" thickBot="1" x14ac:dyDescent="0.3">
      <c r="A9" s="284"/>
      <c r="B9" s="1128" t="s">
        <v>521</v>
      </c>
      <c r="C9" s="1085"/>
      <c r="D9" s="1085"/>
      <c r="E9" s="1085"/>
      <c r="F9" s="1121"/>
      <c r="G9" s="289"/>
      <c r="H9" s="1065" t="s">
        <v>521</v>
      </c>
      <c r="I9" s="1067"/>
      <c r="J9" s="1067"/>
      <c r="K9" s="1060"/>
      <c r="L9" s="285"/>
    </row>
    <row r="10" spans="1:22" ht="14.25" customHeight="1" x14ac:dyDescent="0.25">
      <c r="A10" s="284"/>
      <c r="B10" s="234" t="s">
        <v>522</v>
      </c>
      <c r="C10" s="445" t="s">
        <v>529</v>
      </c>
      <c r="D10" s="740" t="s">
        <v>724</v>
      </c>
      <c r="E10" s="740" t="s">
        <v>537</v>
      </c>
      <c r="F10" s="446" t="s">
        <v>523</v>
      </c>
      <c r="G10" s="289"/>
      <c r="H10" s="733" t="s">
        <v>529</v>
      </c>
      <c r="I10" s="445" t="s">
        <v>523</v>
      </c>
      <c r="J10" s="740" t="s">
        <v>1145</v>
      </c>
      <c r="K10" s="747" t="s">
        <v>520</v>
      </c>
      <c r="L10" s="285"/>
    </row>
    <row r="11" spans="1:22" ht="14.25" customHeight="1" x14ac:dyDescent="0.25">
      <c r="A11" s="284"/>
      <c r="B11" s="451" t="s">
        <v>1134</v>
      </c>
      <c r="C11" s="444" t="s">
        <v>1133</v>
      </c>
      <c r="D11" s="742">
        <v>208.5592</v>
      </c>
      <c r="E11" s="742">
        <f>3.42*1.15</f>
        <v>3.9329999999999998</v>
      </c>
      <c r="F11" s="743">
        <f>Table_1[[#This Row],[Perímetro (m)]]*Table_1[[#This Row],[Altura (m)]]</f>
        <v>820.26333360000001</v>
      </c>
      <c r="G11" s="289"/>
      <c r="H11" s="748" t="str" cm="1">
        <f t="array" ref="H11:H14">_xlfn.UNIQUE(C11:C185)</f>
        <v>CONCRETO APARENTE</v>
      </c>
      <c r="I11" s="755">
        <f t="shared" ref="I11:I20" si="0">SUMIF(C:C,H11,F:F)</f>
        <v>10610.365782600002</v>
      </c>
      <c r="J11" s="741">
        <f>SUM(R20:R24)+52</f>
        <v>117.699</v>
      </c>
      <c r="K11" s="749">
        <f>I11*J11*1.1</f>
        <v>1373712.3864708615</v>
      </c>
      <c r="L11" s="285" t="s">
        <v>1149</v>
      </c>
    </row>
    <row r="12" spans="1:22" ht="14.25" customHeight="1" x14ac:dyDescent="0.25">
      <c r="A12" s="284"/>
      <c r="B12" s="768" t="s">
        <v>1161</v>
      </c>
      <c r="C12" s="444" t="s">
        <v>1133</v>
      </c>
      <c r="D12" s="742">
        <v>7.2960000000000003</v>
      </c>
      <c r="E12" s="742">
        <v>9.1890000000000001</v>
      </c>
      <c r="F12" s="743">
        <f>Table_1[[#This Row],[Perímetro (m)]]*Table_1[[#This Row],[Altura (m)]]</f>
        <v>67.042944000000006</v>
      </c>
      <c r="G12" s="289"/>
      <c r="H12" s="750" t="str">
        <v>CHAPISCO/REBOCO/TEXTURA</v>
      </c>
      <c r="I12" s="756">
        <f t="shared" si="0"/>
        <v>3968.0502462499999</v>
      </c>
      <c r="J12" s="742">
        <v>352.82</v>
      </c>
      <c r="K12" s="751">
        <f>I12*J12*1.1</f>
        <v>1540008.2366701176</v>
      </c>
      <c r="L12" s="285" t="s">
        <v>1148</v>
      </c>
    </row>
    <row r="13" spans="1:22" ht="14.25" customHeight="1" x14ac:dyDescent="0.25">
      <c r="A13" s="284"/>
      <c r="B13" s="768" t="s">
        <v>1161</v>
      </c>
      <c r="C13" s="444" t="s">
        <v>1133</v>
      </c>
      <c r="D13" s="742">
        <v>5.27</v>
      </c>
      <c r="E13" s="742">
        <v>36.338999999999999</v>
      </c>
      <c r="F13" s="743">
        <f>Table_1[[#This Row],[Perímetro (m)]]*Table_1[[#This Row],[Altura (m)]]</f>
        <v>191.50652999999997</v>
      </c>
      <c r="G13" s="289"/>
      <c r="H13" s="750" t="str">
        <v>PEDRA MACIÇA PILARES SACADAS</v>
      </c>
      <c r="I13" s="756">
        <f t="shared" si="0"/>
        <v>451.70282399999996</v>
      </c>
      <c r="J13" s="742">
        <v>350</v>
      </c>
      <c r="K13" s="751">
        <f>I13*J13*1.1</f>
        <v>173905.58723999999</v>
      </c>
      <c r="L13" s="285"/>
    </row>
    <row r="14" spans="1:22" ht="14.25" customHeight="1" x14ac:dyDescent="0.25">
      <c r="A14" s="284"/>
      <c r="B14" s="452" t="s">
        <v>1137</v>
      </c>
      <c r="C14" s="444" t="s">
        <v>1135</v>
      </c>
      <c r="D14" s="742">
        <v>132.9299</v>
      </c>
      <c r="E14" s="742">
        <v>1.1000000000000001</v>
      </c>
      <c r="F14" s="743">
        <f>Table_1[[#This Row],[Perímetro (m)]]*Table_1[[#This Row],[Altura (m)]]</f>
        <v>146.22289000000001</v>
      </c>
      <c r="G14" s="289"/>
      <c r="H14" s="750">
        <v>0</v>
      </c>
      <c r="I14" s="756">
        <f t="shared" si="0"/>
        <v>0</v>
      </c>
      <c r="J14" s="742"/>
      <c r="K14" s="751">
        <f t="shared" ref="K14:K20" si="1">I14*J14*1.1</f>
        <v>0</v>
      </c>
      <c r="L14" s="285"/>
    </row>
    <row r="15" spans="1:22" ht="14.25" customHeight="1" x14ac:dyDescent="0.25">
      <c r="A15" s="284"/>
      <c r="B15" s="452" t="s">
        <v>607</v>
      </c>
      <c r="C15" s="444" t="s">
        <v>1133</v>
      </c>
      <c r="D15" s="742">
        <v>238.26490000000001</v>
      </c>
      <c r="E15" s="742">
        <f>3.65*1.15</f>
        <v>4.1974999999999998</v>
      </c>
      <c r="F15" s="743">
        <f>Table_1[[#This Row],[Perímetro (m)]]*Table_1[[#This Row],[Altura (m)]]</f>
        <v>1000.11691775</v>
      </c>
      <c r="G15" s="289"/>
      <c r="H15" s="750"/>
      <c r="I15" s="756">
        <f t="shared" si="0"/>
        <v>0</v>
      </c>
      <c r="J15" s="742"/>
      <c r="K15" s="751">
        <f t="shared" si="1"/>
        <v>0</v>
      </c>
      <c r="L15" s="285"/>
    </row>
    <row r="16" spans="1:22" ht="14.25" customHeight="1" x14ac:dyDescent="0.25">
      <c r="A16" s="284"/>
      <c r="B16" s="452" t="s">
        <v>607</v>
      </c>
      <c r="C16" s="444" t="s">
        <v>1136</v>
      </c>
      <c r="D16" s="742">
        <v>24.892800000000001</v>
      </c>
      <c r="E16" s="742">
        <v>3.68</v>
      </c>
      <c r="F16" s="743">
        <f>Table_1[[#This Row],[Perímetro (m)]]*Table_1[[#This Row],[Altura (m)]]</f>
        <v>91.60550400000001</v>
      </c>
      <c r="G16" s="289"/>
      <c r="H16" s="750"/>
      <c r="I16" s="756">
        <f t="shared" si="0"/>
        <v>0</v>
      </c>
      <c r="J16" s="742"/>
      <c r="K16" s="751">
        <f t="shared" si="1"/>
        <v>0</v>
      </c>
      <c r="L16" s="285"/>
    </row>
    <row r="17" spans="1:19" ht="14.25" customHeight="1" x14ac:dyDescent="0.25">
      <c r="A17" s="284"/>
      <c r="B17" s="452" t="s">
        <v>607</v>
      </c>
      <c r="C17" s="444" t="s">
        <v>1135</v>
      </c>
      <c r="D17" s="742">
        <v>143.10470000000001</v>
      </c>
      <c r="E17" s="742">
        <v>3.68</v>
      </c>
      <c r="F17" s="743">
        <f>Table_1[[#This Row],[Perímetro (m)]]*Table_1[[#This Row],[Altura (m)]]</f>
        <v>526.62529600000005</v>
      </c>
      <c r="G17" s="289"/>
      <c r="H17" s="750"/>
      <c r="I17" s="756">
        <f t="shared" si="0"/>
        <v>0</v>
      </c>
      <c r="J17" s="742"/>
      <c r="K17" s="751">
        <f t="shared" si="1"/>
        <v>0</v>
      </c>
      <c r="L17" s="285"/>
    </row>
    <row r="18" spans="1:19" ht="14.25" customHeight="1" x14ac:dyDescent="0.25">
      <c r="A18" s="284"/>
      <c r="B18" s="452" t="s">
        <v>1138</v>
      </c>
      <c r="C18" s="444" t="s">
        <v>1133</v>
      </c>
      <c r="D18" s="742">
        <v>6</v>
      </c>
      <c r="E18" s="742">
        <f>(25.9911+12.0218*0.2+1.838+0.85*0.2+2.16*0.2*2)*1.1</f>
        <v>34.394206000000004</v>
      </c>
      <c r="F18" s="743">
        <f>Table_1[[#This Row],[Perímetro (m)]]*Table_1[[#This Row],[Altura (m)]]</f>
        <v>206.36523600000004</v>
      </c>
      <c r="G18" s="289"/>
      <c r="H18" s="750"/>
      <c r="I18" s="756">
        <f t="shared" si="0"/>
        <v>0</v>
      </c>
      <c r="J18" s="742"/>
      <c r="K18" s="751">
        <f t="shared" si="1"/>
        <v>0</v>
      </c>
      <c r="L18" s="285"/>
    </row>
    <row r="19" spans="1:19" ht="14.25" customHeight="1" x14ac:dyDescent="0.25">
      <c r="A19" s="284"/>
      <c r="B19" s="452" t="s">
        <v>1140</v>
      </c>
      <c r="C19" s="444" t="s">
        <v>1133</v>
      </c>
      <c r="D19" s="742">
        <f>DADOS_INICIAIS!$E$18+DADOS_INICIAIS!$F$18</f>
        <v>448.87</v>
      </c>
      <c r="E19" s="742">
        <v>0.2</v>
      </c>
      <c r="F19" s="743">
        <f>Table_1[[#This Row],[Perímetro (m)]]*Table_1[[#This Row],[Altura (m)]]</f>
        <v>89.774000000000001</v>
      </c>
      <c r="G19" s="289"/>
      <c r="H19" s="750"/>
      <c r="I19" s="756">
        <f t="shared" si="0"/>
        <v>0</v>
      </c>
      <c r="J19" s="742"/>
      <c r="K19" s="751">
        <f t="shared" si="1"/>
        <v>0</v>
      </c>
      <c r="L19" s="285"/>
    </row>
    <row r="20" spans="1:19" ht="14.25" customHeight="1" thickBot="1" x14ac:dyDescent="0.3">
      <c r="A20" s="284"/>
      <c r="B20" s="452" t="s">
        <v>1139</v>
      </c>
      <c r="C20" s="444" t="s">
        <v>1133</v>
      </c>
      <c r="D20" s="742">
        <v>482.61360000000002</v>
      </c>
      <c r="E20" s="742">
        <f>3.65*1.15</f>
        <v>4.1974999999999998</v>
      </c>
      <c r="F20" s="743">
        <f>Table_1[[#This Row],[Perímetro (m)]]*Table_1[[#This Row],[Altura (m)]]</f>
        <v>2025.7705859999999</v>
      </c>
      <c r="G20" s="289"/>
      <c r="H20" s="752"/>
      <c r="I20" s="757">
        <f t="shared" si="0"/>
        <v>0</v>
      </c>
      <c r="J20" s="753"/>
      <c r="K20" s="754">
        <f t="shared" si="1"/>
        <v>0</v>
      </c>
      <c r="L20" s="285"/>
      <c r="Q20">
        <v>0.36</v>
      </c>
      <c r="R20">
        <f>Q20*(300/1.8)</f>
        <v>59.999999999999993</v>
      </c>
      <c r="S20" t="s">
        <v>1150</v>
      </c>
    </row>
    <row r="21" spans="1:19" ht="14.25" customHeight="1" x14ac:dyDescent="0.25">
      <c r="A21" s="284"/>
      <c r="B21" s="452" t="s">
        <v>1139</v>
      </c>
      <c r="C21" s="444" t="s">
        <v>1135</v>
      </c>
      <c r="D21" s="742">
        <v>378.11</v>
      </c>
      <c r="E21" s="742">
        <v>3.65</v>
      </c>
      <c r="F21" s="743">
        <f>Table_1[[#This Row],[Perímetro (m)]]*Table_1[[#This Row],[Altura (m)]]</f>
        <v>1380.1015</v>
      </c>
      <c r="G21" s="289"/>
      <c r="H21" s="289"/>
      <c r="I21" s="289"/>
      <c r="J21" s="289"/>
      <c r="K21" s="289"/>
      <c r="L21" s="285"/>
      <c r="R21">
        <v>0.56000000000000005</v>
      </c>
      <c r="S21" t="s">
        <v>1151</v>
      </c>
    </row>
    <row r="22" spans="1:19" ht="14.25" customHeight="1" x14ac:dyDescent="0.25">
      <c r="A22" s="284"/>
      <c r="B22" s="452" t="s">
        <v>1139</v>
      </c>
      <c r="C22" s="444" t="s">
        <v>1136</v>
      </c>
      <c r="D22" s="742">
        <v>35.060299999999998</v>
      </c>
      <c r="E22" s="742">
        <v>3.65</v>
      </c>
      <c r="F22" s="743">
        <f>Table_1[[#This Row],[Perímetro (m)]]*Table_1[[#This Row],[Altura (m)]]</f>
        <v>127.97009499999999</v>
      </c>
      <c r="G22" s="289"/>
      <c r="H22" s="289"/>
      <c r="I22" s="289"/>
      <c r="J22" s="289"/>
      <c r="K22" s="289"/>
      <c r="L22" s="285"/>
      <c r="R22">
        <v>0.44400000000000001</v>
      </c>
      <c r="S22" t="s">
        <v>1152</v>
      </c>
    </row>
    <row r="23" spans="1:19" ht="14.25" customHeight="1" x14ac:dyDescent="0.25">
      <c r="A23" s="284"/>
      <c r="B23" s="452" t="s">
        <v>1139</v>
      </c>
      <c r="C23" s="444" t="s">
        <v>1133</v>
      </c>
      <c r="D23" s="742">
        <v>8</v>
      </c>
      <c r="E23" s="742">
        <f>(25.9911+12.0218*0.2+1.838+0.85*0.2+2.16*0.2*2)*1.1</f>
        <v>34.394206000000004</v>
      </c>
      <c r="F23" s="743">
        <f>Table_1[[#This Row],[Perímetro (m)]]*Table_1[[#This Row],[Altura (m)]]</f>
        <v>275.15364800000003</v>
      </c>
      <c r="G23" s="289"/>
      <c r="H23" s="289"/>
      <c r="I23" s="289"/>
      <c r="J23" s="289"/>
      <c r="K23" s="289"/>
      <c r="L23" s="285"/>
      <c r="R23">
        <v>1.095</v>
      </c>
      <c r="S23" t="s">
        <v>1153</v>
      </c>
    </row>
    <row r="24" spans="1:19" ht="14.25" customHeight="1" x14ac:dyDescent="0.25">
      <c r="A24" s="284"/>
      <c r="B24" s="452" t="s">
        <v>1139</v>
      </c>
      <c r="C24" s="444" t="s">
        <v>1133</v>
      </c>
      <c r="D24" s="742">
        <f>DADOS_INICIAIS!$E$18+DADOS_INICIAIS!$F$18</f>
        <v>448.87</v>
      </c>
      <c r="E24" s="742">
        <v>0.2</v>
      </c>
      <c r="F24" s="743">
        <f>Table_1[[#This Row],[Perímetro (m)]]*Table_1[[#This Row],[Altura (m)]]</f>
        <v>89.774000000000001</v>
      </c>
      <c r="G24" s="289"/>
      <c r="H24" s="289"/>
      <c r="I24" s="289"/>
      <c r="J24" s="289"/>
      <c r="K24" s="289"/>
      <c r="L24" s="285"/>
      <c r="R24">
        <v>3.6</v>
      </c>
      <c r="S24" t="s">
        <v>1154</v>
      </c>
    </row>
    <row r="25" spans="1:19" ht="14.25" customHeight="1" x14ac:dyDescent="0.25">
      <c r="A25" s="284"/>
      <c r="B25" s="452" t="s">
        <v>1141</v>
      </c>
      <c r="C25" s="444" t="s">
        <v>1133</v>
      </c>
      <c r="D25" s="742">
        <v>344.73349999999999</v>
      </c>
      <c r="E25" s="742">
        <f>3.65*1.15</f>
        <v>4.1974999999999998</v>
      </c>
      <c r="F25" s="743">
        <f>Table_1[[#This Row],[Perímetro (m)]]*Table_1[[#This Row],[Altura (m)]]</f>
        <v>1447.01886625</v>
      </c>
      <c r="G25" s="289"/>
      <c r="H25" s="289"/>
      <c r="I25" s="289"/>
      <c r="J25" s="289"/>
      <c r="K25" s="289"/>
      <c r="L25" s="285"/>
    </row>
    <row r="26" spans="1:19" ht="14.25" customHeight="1" x14ac:dyDescent="0.25">
      <c r="A26" s="284"/>
      <c r="B26" s="452" t="s">
        <v>1141</v>
      </c>
      <c r="C26" s="444" t="s">
        <v>1136</v>
      </c>
      <c r="D26" s="742">
        <v>63.596499999999999</v>
      </c>
      <c r="E26" s="742">
        <v>3.65</v>
      </c>
      <c r="F26" s="743">
        <f>Table_1[[#This Row],[Perímetro (m)]]*Table_1[[#This Row],[Altura (m)]]</f>
        <v>232.12722499999998</v>
      </c>
      <c r="G26" s="289"/>
      <c r="H26" s="289"/>
      <c r="I26" s="289"/>
      <c r="J26" s="289"/>
      <c r="K26" s="289"/>
      <c r="L26" s="285"/>
    </row>
    <row r="27" spans="1:19" ht="14.25" customHeight="1" x14ac:dyDescent="0.25">
      <c r="A27" s="284"/>
      <c r="B27" s="452" t="s">
        <v>1141</v>
      </c>
      <c r="C27" s="444" t="s">
        <v>1135</v>
      </c>
      <c r="D27" s="742">
        <v>286.81</v>
      </c>
      <c r="E27" s="742">
        <v>3.65</v>
      </c>
      <c r="F27" s="743">
        <f>Table_1[[#This Row],[Perímetro (m)]]*Table_1[[#This Row],[Altura (m)]]</f>
        <v>1046.8565000000001</v>
      </c>
      <c r="G27" s="289"/>
      <c r="H27" s="289"/>
      <c r="I27" s="289"/>
      <c r="J27" s="289"/>
      <c r="K27" s="289"/>
      <c r="L27" s="285"/>
    </row>
    <row r="28" spans="1:19" ht="14.25" customHeight="1" x14ac:dyDescent="0.25">
      <c r="A28" s="284"/>
      <c r="B28" s="452" t="s">
        <v>1141</v>
      </c>
      <c r="C28" s="444" t="s">
        <v>1133</v>
      </c>
      <c r="D28" s="742">
        <v>8</v>
      </c>
      <c r="E28" s="742">
        <f>(25.9911+12.0218*0.2+1.838+0.85*0.2+2.16*0.2*2)*1.1</f>
        <v>34.394206000000004</v>
      </c>
      <c r="F28" s="743">
        <f>Table_1[[#This Row],[Perímetro (m)]]*Table_1[[#This Row],[Altura (m)]]</f>
        <v>275.15364800000003</v>
      </c>
      <c r="G28" s="289"/>
      <c r="H28" s="289"/>
      <c r="I28" s="289"/>
      <c r="J28" s="289"/>
      <c r="K28" s="289"/>
      <c r="L28" s="285"/>
    </row>
    <row r="29" spans="1:19" ht="14.25" customHeight="1" x14ac:dyDescent="0.25">
      <c r="A29" s="284"/>
      <c r="B29" s="452" t="s">
        <v>1141</v>
      </c>
      <c r="C29" s="444" t="s">
        <v>1133</v>
      </c>
      <c r="D29" s="742">
        <f>DADOS_INICIAIS!$E$18+DADOS_INICIAIS!$F$18</f>
        <v>448.87</v>
      </c>
      <c r="E29" s="742">
        <v>0.2</v>
      </c>
      <c r="F29" s="743">
        <f>Table_1[[#This Row],[Perímetro (m)]]*Table_1[[#This Row],[Altura (m)]]</f>
        <v>89.774000000000001</v>
      </c>
      <c r="G29" s="289"/>
      <c r="H29" s="289"/>
      <c r="I29" s="289"/>
      <c r="J29" s="289"/>
      <c r="K29" s="289"/>
      <c r="L29" s="285"/>
    </row>
    <row r="30" spans="1:19" ht="14.25" customHeight="1" x14ac:dyDescent="0.25">
      <c r="A30" s="284"/>
      <c r="B30" s="452" t="s">
        <v>1142</v>
      </c>
      <c r="C30" s="444" t="s">
        <v>1133</v>
      </c>
      <c r="D30" s="742">
        <v>44.753900000000002</v>
      </c>
      <c r="E30" s="742">
        <v>3.65</v>
      </c>
      <c r="F30" s="743">
        <f>Table_1[[#This Row],[Perímetro (m)]]*Table_1[[#This Row],[Altura (m)]]</f>
        <v>163.35173499999999</v>
      </c>
      <c r="G30" s="289"/>
      <c r="H30" s="289"/>
      <c r="I30" s="289"/>
      <c r="J30" s="289"/>
      <c r="K30" s="289"/>
      <c r="L30" s="285"/>
    </row>
    <row r="31" spans="1:19" ht="14.25" customHeight="1" x14ac:dyDescent="0.25">
      <c r="A31" s="284"/>
      <c r="B31" s="452" t="s">
        <v>1142</v>
      </c>
      <c r="C31" s="444" t="s">
        <v>1133</v>
      </c>
      <c r="D31" s="742">
        <v>2</v>
      </c>
      <c r="E31" s="742">
        <v>524.60400000000004</v>
      </c>
      <c r="F31" s="743">
        <f>Table_1[[#This Row],[Perímetro (m)]]*Table_1[[#This Row],[Altura (m)]]</f>
        <v>1049.2080000000001</v>
      </c>
      <c r="G31" s="289"/>
      <c r="H31" s="289"/>
      <c r="I31" s="289"/>
      <c r="J31" s="289"/>
      <c r="K31" s="289"/>
      <c r="L31" s="285"/>
    </row>
    <row r="32" spans="1:19" ht="14.25" customHeight="1" x14ac:dyDescent="0.25">
      <c r="A32" s="284"/>
      <c r="B32" s="452" t="s">
        <v>1142</v>
      </c>
      <c r="C32" s="444" t="s">
        <v>1133</v>
      </c>
      <c r="D32" s="742">
        <v>696.78629999999998</v>
      </c>
      <c r="E32" s="742">
        <v>0.2</v>
      </c>
      <c r="F32" s="743">
        <f>Table_1[[#This Row],[Perímetro (m)]]*Table_1[[#This Row],[Altura (m)]]</f>
        <v>139.35726</v>
      </c>
      <c r="G32" s="289"/>
      <c r="H32" s="289"/>
      <c r="I32" s="289"/>
      <c r="J32" s="289"/>
      <c r="K32" s="289"/>
      <c r="L32" s="285"/>
    </row>
    <row r="33" spans="1:12" ht="14.25" customHeight="1" x14ac:dyDescent="0.25">
      <c r="A33" s="284"/>
      <c r="B33" s="452" t="s">
        <v>1142</v>
      </c>
      <c r="C33" s="444" t="s">
        <v>1135</v>
      </c>
      <c r="D33" s="742">
        <v>206.84790000000001</v>
      </c>
      <c r="E33" s="742">
        <f>3.65*1.15</f>
        <v>4.1974999999999998</v>
      </c>
      <c r="F33" s="743">
        <f>Table_1[[#This Row],[Perímetro (m)]]*Table_1[[#This Row],[Altura (m)]]</f>
        <v>868.24406024999996</v>
      </c>
      <c r="G33" s="289"/>
      <c r="H33" s="289"/>
      <c r="I33" s="289"/>
      <c r="J33" s="289"/>
      <c r="K33" s="289"/>
      <c r="L33" s="285"/>
    </row>
    <row r="34" spans="1:12" ht="14.25" customHeight="1" x14ac:dyDescent="0.25">
      <c r="A34" s="284"/>
      <c r="B34" s="452" t="s">
        <v>1143</v>
      </c>
      <c r="C34" s="444" t="s">
        <v>1133</v>
      </c>
      <c r="D34" s="742">
        <v>3</v>
      </c>
      <c r="E34" s="742">
        <f>(25.9911+12.0218*0.2+1.838+0.85*0.2+2.16*0.2*2)*1.1</f>
        <v>34.394206000000004</v>
      </c>
      <c r="F34" s="743">
        <f>Table_1[[#This Row],[Perímetro (m)]]*Table_1[[#This Row],[Altura (m)]]</f>
        <v>103.18261800000002</v>
      </c>
      <c r="G34" s="289"/>
      <c r="H34" s="289"/>
      <c r="I34" s="289"/>
      <c r="J34" s="289"/>
      <c r="K34" s="289"/>
      <c r="L34" s="285"/>
    </row>
    <row r="35" spans="1:12" ht="14.25" customHeight="1" x14ac:dyDescent="0.25">
      <c r="A35" s="284"/>
      <c r="B35" s="452" t="s">
        <v>1142</v>
      </c>
      <c r="C35" s="444" t="s">
        <v>1133</v>
      </c>
      <c r="D35" s="742">
        <f>DADOS_INICIAIS!$E$18+DADOS_INICIAIS!$F$18</f>
        <v>448.87</v>
      </c>
      <c r="E35" s="742">
        <v>0.2</v>
      </c>
      <c r="F35" s="743">
        <f>Table_1[[#This Row],[Perímetro (m)]]*Table_1[[#This Row],[Altura (m)]]</f>
        <v>89.774000000000001</v>
      </c>
      <c r="G35" s="289"/>
      <c r="H35" s="289"/>
      <c r="I35" s="289"/>
      <c r="J35" s="289"/>
      <c r="K35" s="289"/>
      <c r="L35" s="285"/>
    </row>
    <row r="36" spans="1:12" ht="14.25" customHeight="1" x14ac:dyDescent="0.25">
      <c r="A36" s="284"/>
      <c r="B36" s="452" t="s">
        <v>1144</v>
      </c>
      <c r="C36" s="444" t="s">
        <v>1133</v>
      </c>
      <c r="D36" s="742">
        <v>6</v>
      </c>
      <c r="E36" s="742">
        <v>21.059000000000001</v>
      </c>
      <c r="F36" s="743">
        <f>Table_1[[#This Row],[Perímetro (m)]]*Table_1[[#This Row],[Altura (m)]]</f>
        <v>126.35400000000001</v>
      </c>
      <c r="G36" s="289"/>
      <c r="H36" s="289"/>
      <c r="I36" s="289"/>
      <c r="J36" s="289"/>
      <c r="K36" s="289"/>
      <c r="L36" s="285"/>
    </row>
    <row r="37" spans="1:12" ht="14.25" customHeight="1" x14ac:dyDescent="0.25">
      <c r="A37" s="284"/>
      <c r="B37" s="452" t="s">
        <v>194</v>
      </c>
      <c r="C37" s="444" t="s">
        <v>1133</v>
      </c>
      <c r="D37" s="742">
        <v>2</v>
      </c>
      <c r="E37" s="742">
        <v>798.59209999999996</v>
      </c>
      <c r="F37" s="743">
        <f>Table_1[[#This Row],[Perímetro (m)]]*Table_1[[#This Row],[Altura (m)]]</f>
        <v>1597.1841999999999</v>
      </c>
      <c r="G37" s="289"/>
      <c r="H37" s="289"/>
      <c r="I37" s="289"/>
      <c r="J37" s="289"/>
      <c r="K37" s="289"/>
      <c r="L37" s="285"/>
    </row>
    <row r="38" spans="1:12" ht="14.25" customHeight="1" x14ac:dyDescent="0.25">
      <c r="A38" s="284"/>
      <c r="B38" s="452" t="s">
        <v>194</v>
      </c>
      <c r="C38" s="444" t="s">
        <v>1133</v>
      </c>
      <c r="D38" s="742">
        <v>378.60129999999998</v>
      </c>
      <c r="E38" s="742">
        <v>0.2</v>
      </c>
      <c r="F38" s="743">
        <f>Table_1[[#This Row],[Perímetro (m)]]*Table_1[[#This Row],[Altura (m)]]</f>
        <v>75.720259999999996</v>
      </c>
      <c r="G38" s="289"/>
      <c r="H38" s="289"/>
      <c r="I38" s="289"/>
      <c r="J38" s="289"/>
      <c r="K38" s="289"/>
      <c r="L38" s="285"/>
    </row>
    <row r="39" spans="1:12" ht="14.25" customHeight="1" x14ac:dyDescent="0.25">
      <c r="A39" s="284"/>
      <c r="B39" s="452" t="s">
        <v>1267</v>
      </c>
      <c r="C39" s="444" t="s">
        <v>1133</v>
      </c>
      <c r="D39" s="742">
        <v>688.52</v>
      </c>
      <c r="E39" s="742">
        <v>1</v>
      </c>
      <c r="F39" s="743">
        <f>Table_1[[#This Row],[Perímetro (m)]]*Table_1[[#This Row],[Altura (m)]]</f>
        <v>688.52</v>
      </c>
      <c r="G39" s="289"/>
      <c r="H39" s="289"/>
      <c r="I39" s="289"/>
      <c r="J39" s="289"/>
      <c r="K39" s="289"/>
      <c r="L39" s="285"/>
    </row>
    <row r="40" spans="1:12" ht="14.25" customHeight="1" x14ac:dyDescent="0.25">
      <c r="A40" s="284"/>
      <c r="B40" s="452"/>
      <c r="C40" s="444"/>
      <c r="D40" s="742"/>
      <c r="E40" s="742"/>
      <c r="F40" s="743">
        <f>Table_1[[#This Row],[Perímetro (m)]]*Table_1[[#This Row],[Altura (m)]]</f>
        <v>0</v>
      </c>
      <c r="G40" s="289"/>
      <c r="H40" s="289"/>
      <c r="I40" s="289"/>
      <c r="J40" s="289"/>
      <c r="K40" s="289"/>
      <c r="L40" s="285"/>
    </row>
    <row r="41" spans="1:12" ht="14.25" customHeight="1" x14ac:dyDescent="0.25">
      <c r="A41" s="284"/>
      <c r="B41" s="452"/>
      <c r="C41" s="444"/>
      <c r="D41" s="742"/>
      <c r="E41" s="742"/>
      <c r="F41" s="743">
        <f>Table_1[[#This Row],[Perímetro (m)]]*Table_1[[#This Row],[Altura (m)]]</f>
        <v>0</v>
      </c>
      <c r="G41" s="289"/>
      <c r="H41" s="289"/>
      <c r="I41" s="289"/>
      <c r="J41" s="289"/>
      <c r="K41" s="289"/>
      <c r="L41" s="285"/>
    </row>
    <row r="42" spans="1:12" ht="14.25" customHeight="1" x14ac:dyDescent="0.25">
      <c r="A42" s="284"/>
      <c r="B42" s="452"/>
      <c r="C42" s="444"/>
      <c r="D42" s="742"/>
      <c r="E42" s="742"/>
      <c r="F42" s="743">
        <f>Table_1[[#This Row],[Perímetro (m)]]*Table_1[[#This Row],[Altura (m)]]</f>
        <v>0</v>
      </c>
      <c r="G42" s="289"/>
      <c r="H42" s="289"/>
      <c r="I42" s="289"/>
      <c r="J42" s="289"/>
      <c r="K42" s="289"/>
      <c r="L42" s="285"/>
    </row>
    <row r="43" spans="1:12" ht="14.25" customHeight="1" x14ac:dyDescent="0.25">
      <c r="A43" s="284"/>
      <c r="B43" s="452"/>
      <c r="C43" s="444"/>
      <c r="D43" s="742"/>
      <c r="E43" s="742"/>
      <c r="F43" s="743">
        <f>Table_1[[#This Row],[Perímetro (m)]]*Table_1[[#This Row],[Altura (m)]]</f>
        <v>0</v>
      </c>
      <c r="G43" s="289"/>
      <c r="H43" s="289"/>
      <c r="I43" s="289"/>
      <c r="J43" s="289"/>
      <c r="K43" s="289"/>
      <c r="L43" s="285"/>
    </row>
    <row r="44" spans="1:12" ht="14.25" customHeight="1" x14ac:dyDescent="0.25">
      <c r="A44" s="284"/>
      <c r="B44" s="452"/>
      <c r="C44" s="444"/>
      <c r="D44" s="742"/>
      <c r="E44" s="742"/>
      <c r="F44" s="743">
        <f>Table_1[[#This Row],[Perímetro (m)]]*Table_1[[#This Row],[Altura (m)]]</f>
        <v>0</v>
      </c>
      <c r="G44" s="289"/>
      <c r="H44" s="289"/>
      <c r="I44" s="289"/>
      <c r="J44" s="289"/>
      <c r="K44" s="289"/>
      <c r="L44" s="285"/>
    </row>
    <row r="45" spans="1:12" ht="14.25" customHeight="1" x14ac:dyDescent="0.25">
      <c r="A45" s="284"/>
      <c r="B45" s="452"/>
      <c r="C45" s="444"/>
      <c r="D45" s="742"/>
      <c r="E45" s="742"/>
      <c r="F45" s="743">
        <f>Table_1[[#This Row],[Perímetro (m)]]*Table_1[[#This Row],[Altura (m)]]</f>
        <v>0</v>
      </c>
      <c r="G45" s="289"/>
      <c r="H45" s="289"/>
      <c r="I45" s="289"/>
      <c r="J45" s="289"/>
      <c r="K45" s="289"/>
      <c r="L45" s="285"/>
    </row>
    <row r="46" spans="1:12" ht="14.25" customHeight="1" x14ac:dyDescent="0.25">
      <c r="A46" s="284"/>
      <c r="B46" s="452"/>
      <c r="C46" s="444"/>
      <c r="D46" s="742"/>
      <c r="E46" s="742"/>
      <c r="F46" s="743">
        <f>Table_1[[#This Row],[Perímetro (m)]]*Table_1[[#This Row],[Altura (m)]]</f>
        <v>0</v>
      </c>
      <c r="G46" s="289"/>
      <c r="H46" s="289"/>
      <c r="I46" s="289"/>
      <c r="J46" s="289"/>
      <c r="K46" s="289"/>
      <c r="L46" s="285"/>
    </row>
    <row r="47" spans="1:12" ht="14.25" customHeight="1" x14ac:dyDescent="0.25">
      <c r="A47" s="284"/>
      <c r="B47" s="452"/>
      <c r="C47" s="444"/>
      <c r="D47" s="742"/>
      <c r="E47" s="742"/>
      <c r="F47" s="743">
        <f>Table_1[[#This Row],[Perímetro (m)]]*Table_1[[#This Row],[Altura (m)]]</f>
        <v>0</v>
      </c>
      <c r="G47" s="289"/>
      <c r="H47" s="289"/>
      <c r="I47" s="289"/>
      <c r="J47" s="289"/>
      <c r="K47" s="289"/>
      <c r="L47" s="285"/>
    </row>
    <row r="48" spans="1:12" ht="14.25" customHeight="1" x14ac:dyDescent="0.25">
      <c r="A48" s="284"/>
      <c r="B48" s="452"/>
      <c r="C48" s="444"/>
      <c r="D48" s="742"/>
      <c r="E48" s="742"/>
      <c r="F48" s="743">
        <f>Table_1[[#This Row],[Perímetro (m)]]*Table_1[[#This Row],[Altura (m)]]</f>
        <v>0</v>
      </c>
      <c r="G48" s="289"/>
      <c r="H48" s="289"/>
      <c r="I48" s="289"/>
      <c r="J48" s="289"/>
      <c r="K48" s="289"/>
      <c r="L48" s="285"/>
    </row>
    <row r="49" spans="1:12" ht="14.25" customHeight="1" x14ac:dyDescent="0.25">
      <c r="A49" s="284"/>
      <c r="B49" s="452"/>
      <c r="C49" s="444"/>
      <c r="D49" s="742"/>
      <c r="E49" s="742"/>
      <c r="F49" s="743">
        <f>Table_1[[#This Row],[Perímetro (m)]]*Table_1[[#This Row],[Altura (m)]]</f>
        <v>0</v>
      </c>
      <c r="G49" s="289"/>
      <c r="H49" s="289"/>
      <c r="I49" s="289"/>
      <c r="J49" s="289"/>
      <c r="K49" s="289"/>
      <c r="L49" s="285"/>
    </row>
    <row r="50" spans="1:12" ht="14.25" customHeight="1" x14ac:dyDescent="0.25">
      <c r="A50" s="284"/>
      <c r="B50" s="453"/>
      <c r="C50" s="454"/>
      <c r="D50" s="744"/>
      <c r="E50" s="744"/>
      <c r="F50" s="745">
        <f>Table_1[[#This Row],[Perímetro (m)]]*Table_1[[#This Row],[Altura (m)]]</f>
        <v>0</v>
      </c>
      <c r="G50" s="289"/>
      <c r="H50" s="289"/>
      <c r="I50" s="289"/>
      <c r="J50" s="289"/>
      <c r="K50" s="289"/>
      <c r="L50" s="285"/>
    </row>
    <row r="51" spans="1:12" ht="14.25" customHeight="1" x14ac:dyDescent="0.25">
      <c r="A51" s="284"/>
      <c r="B51" s="452"/>
      <c r="C51" s="444"/>
      <c r="D51" s="742"/>
      <c r="E51" s="742"/>
      <c r="F51" s="743">
        <f>Table_1[[#This Row],[Perímetro (m)]]*Table_1[[#This Row],[Altura (m)]]</f>
        <v>0</v>
      </c>
      <c r="G51" s="289"/>
      <c r="H51" s="289"/>
      <c r="I51" s="289"/>
      <c r="J51" s="289"/>
      <c r="K51" s="289"/>
      <c r="L51" s="285"/>
    </row>
    <row r="52" spans="1:12" ht="14.25" customHeight="1" x14ac:dyDescent="0.25">
      <c r="A52" s="284"/>
      <c r="B52" s="452"/>
      <c r="C52" s="444"/>
      <c r="D52" s="742"/>
      <c r="E52" s="742"/>
      <c r="F52" s="743">
        <f>Table_1[[#This Row],[Perímetro (m)]]*Table_1[[#This Row],[Altura (m)]]</f>
        <v>0</v>
      </c>
      <c r="G52" s="289"/>
      <c r="H52" s="289"/>
      <c r="I52" s="289"/>
      <c r="J52" s="289"/>
      <c r="K52" s="289"/>
      <c r="L52" s="285"/>
    </row>
    <row r="53" spans="1:12" ht="14.25" customHeight="1" x14ac:dyDescent="0.25">
      <c r="A53" s="284"/>
      <c r="B53" s="452"/>
      <c r="C53" s="444"/>
      <c r="D53" s="742"/>
      <c r="E53" s="742"/>
      <c r="F53" s="743">
        <f>Table_1[[#This Row],[Perímetro (m)]]*Table_1[[#This Row],[Altura (m)]]</f>
        <v>0</v>
      </c>
      <c r="G53" s="289"/>
      <c r="H53" s="289"/>
      <c r="I53" s="289"/>
      <c r="J53" s="289"/>
      <c r="K53" s="289"/>
      <c r="L53" s="285"/>
    </row>
    <row r="54" spans="1:12" ht="14.25" customHeight="1" x14ac:dyDescent="0.25">
      <c r="A54" s="284"/>
      <c r="B54" s="452"/>
      <c r="C54" s="444"/>
      <c r="D54" s="742"/>
      <c r="E54" s="742"/>
      <c r="F54" s="743">
        <f>Table_1[[#This Row],[Perímetro (m)]]*Table_1[[#This Row],[Altura (m)]]</f>
        <v>0</v>
      </c>
      <c r="G54" s="289"/>
      <c r="H54" s="289"/>
      <c r="I54" s="289"/>
      <c r="J54" s="289"/>
      <c r="K54" s="289"/>
      <c r="L54" s="285"/>
    </row>
    <row r="55" spans="1:12" ht="14.25" customHeight="1" x14ac:dyDescent="0.25">
      <c r="A55" s="284"/>
      <c r="B55" s="452"/>
      <c r="C55" s="444"/>
      <c r="D55" s="742"/>
      <c r="E55" s="742"/>
      <c r="F55" s="743">
        <f>Table_1[[#This Row],[Perímetro (m)]]*Table_1[[#This Row],[Altura (m)]]</f>
        <v>0</v>
      </c>
      <c r="G55" s="289"/>
      <c r="H55" s="289"/>
      <c r="I55" s="289"/>
      <c r="J55" s="289"/>
      <c r="K55" s="289"/>
      <c r="L55" s="285"/>
    </row>
    <row r="56" spans="1:12" ht="14.25" customHeight="1" x14ac:dyDescent="0.25">
      <c r="A56" s="284"/>
      <c r="B56" s="452"/>
      <c r="C56" s="444"/>
      <c r="D56" s="742"/>
      <c r="E56" s="742"/>
      <c r="F56" s="743">
        <f>Table_1[[#This Row],[Perímetro (m)]]*Table_1[[#This Row],[Altura (m)]]</f>
        <v>0</v>
      </c>
      <c r="G56" s="289"/>
      <c r="H56" s="289"/>
      <c r="I56" s="289"/>
      <c r="J56" s="289"/>
      <c r="K56" s="289"/>
      <c r="L56" s="285"/>
    </row>
    <row r="57" spans="1:12" ht="14.25" customHeight="1" x14ac:dyDescent="0.25">
      <c r="A57" s="284"/>
      <c r="B57" s="452"/>
      <c r="C57" s="444"/>
      <c r="D57" s="742"/>
      <c r="E57" s="742"/>
      <c r="F57" s="743">
        <f>Table_1[[#This Row],[Perímetro (m)]]*Table_1[[#This Row],[Altura (m)]]</f>
        <v>0</v>
      </c>
      <c r="G57" s="289"/>
      <c r="H57" s="289"/>
      <c r="I57" s="289"/>
      <c r="J57" s="289"/>
      <c r="K57" s="289"/>
      <c r="L57" s="285"/>
    </row>
    <row r="58" spans="1:12" ht="14.25" customHeight="1" x14ac:dyDescent="0.25">
      <c r="A58" s="284"/>
      <c r="B58" s="452"/>
      <c r="C58" s="444"/>
      <c r="D58" s="742"/>
      <c r="E58" s="742"/>
      <c r="F58" s="743">
        <f>Table_1[[#This Row],[Perímetro (m)]]*Table_1[[#This Row],[Altura (m)]]</f>
        <v>0</v>
      </c>
      <c r="G58" s="289"/>
      <c r="H58" s="289"/>
      <c r="I58" s="289"/>
      <c r="J58" s="289"/>
      <c r="K58" s="289"/>
      <c r="L58" s="285"/>
    </row>
    <row r="59" spans="1:12" ht="14.25" customHeight="1" x14ac:dyDescent="0.25">
      <c r="A59" s="284"/>
      <c r="B59" s="452"/>
      <c r="C59" s="444"/>
      <c r="D59" s="742"/>
      <c r="E59" s="742"/>
      <c r="F59" s="743">
        <f>Table_1[[#This Row],[Perímetro (m)]]*Table_1[[#This Row],[Altura (m)]]</f>
        <v>0</v>
      </c>
      <c r="G59" s="289"/>
      <c r="H59" s="289"/>
      <c r="I59" s="289"/>
      <c r="J59" s="289"/>
      <c r="K59" s="289"/>
      <c r="L59" s="285"/>
    </row>
    <row r="60" spans="1:12" ht="14.25" customHeight="1" x14ac:dyDescent="0.25">
      <c r="A60" s="284"/>
      <c r="B60" s="452"/>
      <c r="C60" s="444"/>
      <c r="D60" s="742"/>
      <c r="E60" s="742"/>
      <c r="F60" s="743">
        <f>Table_1[[#This Row],[Perímetro (m)]]*Table_1[[#This Row],[Altura (m)]]</f>
        <v>0</v>
      </c>
      <c r="G60" s="289"/>
      <c r="H60" s="289"/>
      <c r="I60" s="289"/>
      <c r="J60" s="289"/>
      <c r="K60" s="289"/>
      <c r="L60" s="285"/>
    </row>
    <row r="61" spans="1:12" ht="14.25" customHeight="1" x14ac:dyDescent="0.25">
      <c r="A61" s="284"/>
      <c r="B61" s="452"/>
      <c r="C61" s="444"/>
      <c r="D61" s="742"/>
      <c r="E61" s="742"/>
      <c r="F61" s="743">
        <f>Table_1[[#This Row],[Perímetro (m)]]*Table_1[[#This Row],[Altura (m)]]</f>
        <v>0</v>
      </c>
      <c r="G61" s="289"/>
      <c r="H61" s="289"/>
      <c r="I61" s="289"/>
      <c r="J61" s="289"/>
      <c r="K61" s="289"/>
      <c r="L61" s="285"/>
    </row>
    <row r="62" spans="1:12" ht="14.25" customHeight="1" x14ac:dyDescent="0.25">
      <c r="A62" s="284"/>
      <c r="B62" s="452"/>
      <c r="C62" s="444"/>
      <c r="D62" s="742"/>
      <c r="E62" s="742"/>
      <c r="F62" s="743">
        <f>Table_1[[#This Row],[Perímetro (m)]]*Table_1[[#This Row],[Altura (m)]]</f>
        <v>0</v>
      </c>
      <c r="G62" s="289"/>
      <c r="H62" s="289"/>
      <c r="I62" s="289"/>
      <c r="J62" s="289"/>
      <c r="K62" s="289"/>
      <c r="L62" s="285"/>
    </row>
    <row r="63" spans="1:12" ht="14.25" customHeight="1" x14ac:dyDescent="0.25">
      <c r="A63" s="284"/>
      <c r="B63" s="452"/>
      <c r="C63" s="444"/>
      <c r="D63" s="742"/>
      <c r="E63" s="742"/>
      <c r="F63" s="743">
        <f>Table_1[[#This Row],[Perímetro (m)]]*Table_1[[#This Row],[Altura (m)]]</f>
        <v>0</v>
      </c>
      <c r="G63" s="289"/>
      <c r="H63" s="289"/>
      <c r="I63" s="289"/>
      <c r="J63" s="289"/>
      <c r="K63" s="289"/>
      <c r="L63" s="285"/>
    </row>
    <row r="64" spans="1:12" ht="14.25" customHeight="1" x14ac:dyDescent="0.25">
      <c r="A64" s="284"/>
      <c r="B64" s="452"/>
      <c r="C64" s="444"/>
      <c r="D64" s="742"/>
      <c r="E64" s="742"/>
      <c r="F64" s="743">
        <f>Table_1[[#This Row],[Perímetro (m)]]*Table_1[[#This Row],[Altura (m)]]</f>
        <v>0</v>
      </c>
      <c r="G64" s="289"/>
      <c r="H64" s="289"/>
      <c r="I64" s="289"/>
      <c r="J64" s="289"/>
      <c r="K64" s="289"/>
      <c r="L64" s="285"/>
    </row>
    <row r="65" spans="1:12" ht="14.25" customHeight="1" x14ac:dyDescent="0.25">
      <c r="A65" s="284"/>
      <c r="B65" s="452"/>
      <c r="C65" s="444"/>
      <c r="D65" s="742"/>
      <c r="E65" s="742"/>
      <c r="F65" s="743">
        <f>Table_1[[#This Row],[Perímetro (m)]]*Table_1[[#This Row],[Altura (m)]]</f>
        <v>0</v>
      </c>
      <c r="G65" s="289"/>
      <c r="H65" s="289"/>
      <c r="I65" s="289"/>
      <c r="J65" s="289"/>
      <c r="K65" s="289"/>
      <c r="L65" s="285"/>
    </row>
    <row r="66" spans="1:12" ht="14.25" customHeight="1" x14ac:dyDescent="0.25">
      <c r="A66" s="284"/>
      <c r="B66" s="452"/>
      <c r="C66" s="444"/>
      <c r="D66" s="742"/>
      <c r="E66" s="742"/>
      <c r="F66" s="743">
        <f>Table_1[[#This Row],[Perímetro (m)]]*Table_1[[#This Row],[Altura (m)]]</f>
        <v>0</v>
      </c>
      <c r="G66" s="289"/>
      <c r="H66" s="289"/>
      <c r="I66" s="289"/>
      <c r="J66" s="289"/>
      <c r="K66" s="289"/>
      <c r="L66" s="285"/>
    </row>
    <row r="67" spans="1:12" ht="14.25" customHeight="1" x14ac:dyDescent="0.25">
      <c r="A67" s="284"/>
      <c r="B67" s="452"/>
      <c r="C67" s="444"/>
      <c r="D67" s="742"/>
      <c r="E67" s="742"/>
      <c r="F67" s="743">
        <f>Table_1[[#This Row],[Perímetro (m)]]*Table_1[[#This Row],[Altura (m)]]</f>
        <v>0</v>
      </c>
      <c r="G67" s="289"/>
      <c r="H67" s="289"/>
      <c r="I67" s="289"/>
      <c r="J67" s="289"/>
      <c r="K67" s="289"/>
      <c r="L67" s="285"/>
    </row>
    <row r="68" spans="1:12" ht="14.25" customHeight="1" x14ac:dyDescent="0.25">
      <c r="A68" s="284"/>
      <c r="B68" s="452"/>
      <c r="C68" s="444"/>
      <c r="D68" s="742"/>
      <c r="E68" s="742"/>
      <c r="F68" s="743">
        <f>Table_1[[#This Row],[Perímetro (m)]]*Table_1[[#This Row],[Altura (m)]]</f>
        <v>0</v>
      </c>
      <c r="G68" s="289"/>
      <c r="H68" s="289"/>
      <c r="I68" s="289"/>
      <c r="J68" s="289"/>
      <c r="K68" s="289"/>
      <c r="L68" s="285"/>
    </row>
    <row r="69" spans="1:12" ht="14.25" customHeight="1" x14ac:dyDescent="0.25">
      <c r="A69" s="284"/>
      <c r="B69" s="452"/>
      <c r="C69" s="444"/>
      <c r="D69" s="742"/>
      <c r="E69" s="742"/>
      <c r="F69" s="743">
        <f>Table_1[[#This Row],[Perímetro (m)]]*Table_1[[#This Row],[Altura (m)]]</f>
        <v>0</v>
      </c>
      <c r="G69" s="289"/>
      <c r="H69" s="289"/>
      <c r="I69" s="289"/>
      <c r="J69" s="289"/>
      <c r="K69" s="289"/>
      <c r="L69" s="285"/>
    </row>
    <row r="70" spans="1:12" ht="14.25" customHeight="1" x14ac:dyDescent="0.25">
      <c r="A70" s="284"/>
      <c r="B70" s="452"/>
      <c r="C70" s="444"/>
      <c r="D70" s="742"/>
      <c r="E70" s="742"/>
      <c r="F70" s="743">
        <f>Table_1[[#This Row],[Perímetro (m)]]*Table_1[[#This Row],[Altura (m)]]</f>
        <v>0</v>
      </c>
      <c r="G70" s="289"/>
      <c r="H70" s="289"/>
      <c r="I70" s="289"/>
      <c r="J70" s="289"/>
      <c r="K70" s="289"/>
      <c r="L70" s="285"/>
    </row>
    <row r="71" spans="1:12" ht="14.25" customHeight="1" x14ac:dyDescent="0.25">
      <c r="A71" s="284"/>
      <c r="B71" s="452"/>
      <c r="C71" s="444"/>
      <c r="D71" s="742"/>
      <c r="E71" s="742"/>
      <c r="F71" s="743">
        <f>Table_1[[#This Row],[Perímetro (m)]]*Table_1[[#This Row],[Altura (m)]]</f>
        <v>0</v>
      </c>
      <c r="G71" s="289"/>
      <c r="H71" s="289"/>
      <c r="I71" s="289"/>
      <c r="J71" s="289"/>
      <c r="K71" s="289"/>
      <c r="L71" s="285"/>
    </row>
    <row r="72" spans="1:12" ht="14.25" customHeight="1" x14ac:dyDescent="0.25">
      <c r="A72" s="284"/>
      <c r="B72" s="452"/>
      <c r="C72" s="444"/>
      <c r="D72" s="742"/>
      <c r="E72" s="742"/>
      <c r="F72" s="743">
        <f>Table_1[[#This Row],[Perímetro (m)]]*Table_1[[#This Row],[Altura (m)]]</f>
        <v>0</v>
      </c>
      <c r="G72" s="289"/>
      <c r="H72" s="289"/>
      <c r="I72" s="289"/>
      <c r="J72" s="289"/>
      <c r="K72" s="289"/>
      <c r="L72" s="285"/>
    </row>
    <row r="73" spans="1:12" ht="14.25" customHeight="1" x14ac:dyDescent="0.25">
      <c r="A73" s="284"/>
      <c r="B73" s="452"/>
      <c r="C73" s="444"/>
      <c r="D73" s="742"/>
      <c r="E73" s="742"/>
      <c r="F73" s="743">
        <f>Table_1[[#This Row],[Perímetro (m)]]*Table_1[[#This Row],[Altura (m)]]</f>
        <v>0</v>
      </c>
      <c r="G73" s="289"/>
      <c r="H73" s="289"/>
      <c r="I73" s="289"/>
      <c r="J73" s="289"/>
      <c r="K73" s="289"/>
      <c r="L73" s="285"/>
    </row>
    <row r="74" spans="1:12" ht="14.25" customHeight="1" x14ac:dyDescent="0.25">
      <c r="A74" s="284"/>
      <c r="B74" s="452"/>
      <c r="C74" s="444"/>
      <c r="D74" s="742"/>
      <c r="E74" s="742"/>
      <c r="F74" s="743">
        <f>Table_1[[#This Row],[Perímetro (m)]]*Table_1[[#This Row],[Altura (m)]]</f>
        <v>0</v>
      </c>
      <c r="G74" s="289"/>
      <c r="H74" s="289"/>
      <c r="I74" s="289"/>
      <c r="J74" s="289"/>
      <c r="K74" s="289"/>
      <c r="L74" s="285"/>
    </row>
    <row r="75" spans="1:12" ht="14.25" customHeight="1" x14ac:dyDescent="0.25">
      <c r="A75" s="284"/>
      <c r="B75" s="452"/>
      <c r="C75" s="444"/>
      <c r="D75" s="742"/>
      <c r="E75" s="742"/>
      <c r="F75" s="743">
        <f>Table_1[[#This Row],[Perímetro (m)]]*Table_1[[#This Row],[Altura (m)]]</f>
        <v>0</v>
      </c>
      <c r="G75" s="289"/>
      <c r="H75" s="289"/>
      <c r="I75" s="289"/>
      <c r="J75" s="289"/>
      <c r="K75" s="289"/>
      <c r="L75" s="285"/>
    </row>
    <row r="76" spans="1:12" ht="14.25" customHeight="1" x14ac:dyDescent="0.25">
      <c r="A76" s="284"/>
      <c r="B76" s="452"/>
      <c r="C76" s="444"/>
      <c r="D76" s="742"/>
      <c r="E76" s="742"/>
      <c r="F76" s="743">
        <f>Table_1[[#This Row],[Perímetro (m)]]*Table_1[[#This Row],[Altura (m)]]</f>
        <v>0</v>
      </c>
      <c r="G76" s="289"/>
      <c r="H76" s="289"/>
      <c r="I76" s="289"/>
      <c r="J76" s="289"/>
      <c r="K76" s="289"/>
      <c r="L76" s="285"/>
    </row>
    <row r="77" spans="1:12" ht="14.25" customHeight="1" x14ac:dyDescent="0.25">
      <c r="A77" s="284"/>
      <c r="B77" s="452"/>
      <c r="C77" s="444"/>
      <c r="D77" s="742"/>
      <c r="E77" s="742"/>
      <c r="F77" s="743">
        <f>Table_1[[#This Row],[Perímetro (m)]]*Table_1[[#This Row],[Altura (m)]]</f>
        <v>0</v>
      </c>
      <c r="G77" s="289"/>
      <c r="H77" s="289"/>
      <c r="I77" s="289"/>
      <c r="J77" s="289"/>
      <c r="K77" s="289"/>
      <c r="L77" s="285"/>
    </row>
    <row r="78" spans="1:12" ht="14.25" customHeight="1" x14ac:dyDescent="0.25">
      <c r="A78" s="284"/>
      <c r="B78" s="452"/>
      <c r="C78" s="444"/>
      <c r="D78" s="742"/>
      <c r="E78" s="742"/>
      <c r="F78" s="743">
        <f>Table_1[[#This Row],[Perímetro (m)]]*Table_1[[#This Row],[Altura (m)]]</f>
        <v>0</v>
      </c>
      <c r="G78" s="289"/>
      <c r="H78" s="289"/>
      <c r="I78" s="289"/>
      <c r="J78" s="289"/>
      <c r="K78" s="289"/>
      <c r="L78" s="285"/>
    </row>
    <row r="79" spans="1:12" ht="14.25" customHeight="1" x14ac:dyDescent="0.25">
      <c r="A79" s="284"/>
      <c r="B79" s="452"/>
      <c r="C79" s="444"/>
      <c r="D79" s="742"/>
      <c r="E79" s="742"/>
      <c r="F79" s="743">
        <f>Table_1[[#This Row],[Perímetro (m)]]*Table_1[[#This Row],[Altura (m)]]</f>
        <v>0</v>
      </c>
      <c r="G79" s="289"/>
      <c r="H79" s="289"/>
      <c r="I79" s="289"/>
      <c r="J79" s="289"/>
      <c r="K79" s="289"/>
      <c r="L79" s="285"/>
    </row>
    <row r="80" spans="1:12" ht="14.25" customHeight="1" x14ac:dyDescent="0.25">
      <c r="A80" s="284"/>
      <c r="B80" s="452"/>
      <c r="C80" s="444"/>
      <c r="D80" s="742"/>
      <c r="E80" s="742"/>
      <c r="F80" s="743">
        <f>Table_1[[#This Row],[Perímetro (m)]]*Table_1[[#This Row],[Altura (m)]]</f>
        <v>0</v>
      </c>
      <c r="G80" s="289"/>
      <c r="H80" s="289"/>
      <c r="I80" s="289"/>
      <c r="J80" s="289"/>
      <c r="K80" s="289"/>
      <c r="L80" s="285"/>
    </row>
    <row r="81" spans="1:12" ht="14.25" customHeight="1" x14ac:dyDescent="0.25">
      <c r="A81" s="284"/>
      <c r="B81" s="452"/>
      <c r="C81" s="444"/>
      <c r="D81" s="742"/>
      <c r="E81" s="742"/>
      <c r="F81" s="743">
        <f>Table_1[[#This Row],[Perímetro (m)]]*Table_1[[#This Row],[Altura (m)]]</f>
        <v>0</v>
      </c>
      <c r="G81" s="289"/>
      <c r="H81" s="289"/>
      <c r="I81" s="289"/>
      <c r="J81" s="289"/>
      <c r="K81" s="289"/>
      <c r="L81" s="285"/>
    </row>
    <row r="82" spans="1:12" ht="14.25" customHeight="1" x14ac:dyDescent="0.25">
      <c r="A82" s="284"/>
      <c r="B82" s="452"/>
      <c r="C82" s="444"/>
      <c r="D82" s="742"/>
      <c r="E82" s="742"/>
      <c r="F82" s="743">
        <f>Table_1[[#This Row],[Perímetro (m)]]*Table_1[[#This Row],[Altura (m)]]</f>
        <v>0</v>
      </c>
      <c r="G82" s="289"/>
      <c r="H82" s="289"/>
      <c r="I82" s="289"/>
      <c r="J82" s="289"/>
      <c r="K82" s="289"/>
      <c r="L82" s="285"/>
    </row>
    <row r="83" spans="1:12" ht="14.25" customHeight="1" x14ac:dyDescent="0.25">
      <c r="A83" s="284"/>
      <c r="B83" s="452"/>
      <c r="C83" s="444"/>
      <c r="D83" s="742"/>
      <c r="E83" s="742"/>
      <c r="F83" s="743">
        <f>Table_1[[#This Row],[Perímetro (m)]]*Table_1[[#This Row],[Altura (m)]]</f>
        <v>0</v>
      </c>
      <c r="G83" s="289"/>
      <c r="H83" s="289"/>
      <c r="I83" s="289"/>
      <c r="J83" s="289"/>
      <c r="K83" s="289"/>
      <c r="L83" s="285"/>
    </row>
    <row r="84" spans="1:12" ht="14.25" customHeight="1" x14ac:dyDescent="0.25">
      <c r="A84" s="284"/>
      <c r="B84" s="452"/>
      <c r="C84" s="444"/>
      <c r="D84" s="742"/>
      <c r="E84" s="742"/>
      <c r="F84" s="743">
        <f>Table_1[[#This Row],[Perímetro (m)]]*Table_1[[#This Row],[Altura (m)]]</f>
        <v>0</v>
      </c>
      <c r="G84" s="289"/>
      <c r="H84" s="289"/>
      <c r="I84" s="289"/>
      <c r="J84" s="289"/>
      <c r="K84" s="289"/>
      <c r="L84" s="285"/>
    </row>
    <row r="85" spans="1:12" ht="14.25" customHeight="1" x14ac:dyDescent="0.25">
      <c r="A85" s="284"/>
      <c r="B85" s="452"/>
      <c r="C85" s="444"/>
      <c r="D85" s="742"/>
      <c r="E85" s="742"/>
      <c r="F85" s="743">
        <f>Table_1[[#This Row],[Perímetro (m)]]*Table_1[[#This Row],[Altura (m)]]</f>
        <v>0</v>
      </c>
      <c r="G85" s="289"/>
      <c r="H85" s="289"/>
      <c r="I85" s="289"/>
      <c r="J85" s="289"/>
      <c r="K85" s="289"/>
      <c r="L85" s="285"/>
    </row>
    <row r="86" spans="1:12" ht="14.25" customHeight="1" x14ac:dyDescent="0.25">
      <c r="A86" s="284"/>
      <c r="B86" s="452"/>
      <c r="C86" s="444"/>
      <c r="D86" s="742"/>
      <c r="E86" s="742"/>
      <c r="F86" s="743">
        <f>Table_1[[#This Row],[Perímetro (m)]]*Table_1[[#This Row],[Altura (m)]]</f>
        <v>0</v>
      </c>
      <c r="G86" s="289"/>
      <c r="H86" s="289"/>
      <c r="I86" s="289"/>
      <c r="J86" s="289"/>
      <c r="K86" s="289"/>
      <c r="L86" s="285"/>
    </row>
    <row r="87" spans="1:12" ht="14.25" customHeight="1" x14ac:dyDescent="0.25">
      <c r="A87" s="284"/>
      <c r="B87" s="452"/>
      <c r="C87" s="444"/>
      <c r="D87" s="742"/>
      <c r="E87" s="742"/>
      <c r="F87" s="743">
        <f>Table_1[[#This Row],[Perímetro (m)]]*Table_1[[#This Row],[Altura (m)]]</f>
        <v>0</v>
      </c>
      <c r="G87" s="289"/>
      <c r="H87" s="289"/>
      <c r="I87" s="289"/>
      <c r="J87" s="289"/>
      <c r="K87" s="289"/>
      <c r="L87" s="285"/>
    </row>
    <row r="88" spans="1:12" ht="14.25" customHeight="1" x14ac:dyDescent="0.25">
      <c r="A88" s="284"/>
      <c r="B88" s="452"/>
      <c r="C88" s="444"/>
      <c r="D88" s="742"/>
      <c r="E88" s="742"/>
      <c r="F88" s="743">
        <f>Table_1[[#This Row],[Perímetro (m)]]*Table_1[[#This Row],[Altura (m)]]</f>
        <v>0</v>
      </c>
      <c r="G88" s="289"/>
      <c r="H88" s="289"/>
      <c r="I88" s="289"/>
      <c r="J88" s="289"/>
      <c r="K88" s="289"/>
      <c r="L88" s="285"/>
    </row>
    <row r="89" spans="1:12" ht="14.25" customHeight="1" x14ac:dyDescent="0.25">
      <c r="A89" s="284"/>
      <c r="B89" s="452"/>
      <c r="C89" s="444"/>
      <c r="D89" s="742"/>
      <c r="E89" s="742"/>
      <c r="F89" s="743">
        <f>Table_1[[#This Row],[Perímetro (m)]]*Table_1[[#This Row],[Altura (m)]]</f>
        <v>0</v>
      </c>
      <c r="G89" s="289"/>
      <c r="H89" s="289"/>
      <c r="I89" s="289"/>
      <c r="J89" s="289"/>
      <c r="K89" s="289"/>
      <c r="L89" s="285"/>
    </row>
    <row r="90" spans="1:12" ht="14.25" customHeight="1" x14ac:dyDescent="0.25">
      <c r="A90" s="284"/>
      <c r="B90" s="452"/>
      <c r="C90" s="444"/>
      <c r="D90" s="742"/>
      <c r="E90" s="742"/>
      <c r="F90" s="743">
        <f>Table_1[[#This Row],[Perímetro (m)]]*Table_1[[#This Row],[Altura (m)]]</f>
        <v>0</v>
      </c>
      <c r="G90" s="289"/>
      <c r="H90" s="289"/>
      <c r="I90" s="289"/>
      <c r="J90" s="289"/>
      <c r="K90" s="289"/>
      <c r="L90" s="285"/>
    </row>
    <row r="91" spans="1:12" ht="14.25" customHeight="1" x14ac:dyDescent="0.25">
      <c r="A91" s="284"/>
      <c r="B91" s="452"/>
      <c r="C91" s="444"/>
      <c r="D91" s="742"/>
      <c r="E91" s="742"/>
      <c r="F91" s="743">
        <f>Table_1[[#This Row],[Perímetro (m)]]*Table_1[[#This Row],[Altura (m)]]</f>
        <v>0</v>
      </c>
      <c r="G91" s="289"/>
      <c r="H91" s="289"/>
      <c r="I91" s="289"/>
      <c r="J91" s="289"/>
      <c r="K91" s="289"/>
      <c r="L91" s="285"/>
    </row>
    <row r="92" spans="1:12" ht="14.25" customHeight="1" x14ac:dyDescent="0.25">
      <c r="A92" s="284"/>
      <c r="B92" s="452"/>
      <c r="C92" s="444"/>
      <c r="D92" s="742"/>
      <c r="E92" s="742"/>
      <c r="F92" s="743">
        <f>Table_1[[#This Row],[Perímetro (m)]]*Table_1[[#This Row],[Altura (m)]]</f>
        <v>0</v>
      </c>
      <c r="G92" s="289"/>
      <c r="H92" s="289"/>
      <c r="I92" s="289"/>
      <c r="J92" s="289"/>
      <c r="K92" s="289"/>
      <c r="L92" s="285"/>
    </row>
    <row r="93" spans="1:12" ht="14.25" customHeight="1" x14ac:dyDescent="0.25">
      <c r="A93" s="284"/>
      <c r="B93" s="452"/>
      <c r="C93" s="444"/>
      <c r="D93" s="742"/>
      <c r="E93" s="742"/>
      <c r="F93" s="743">
        <f>Table_1[[#This Row],[Perímetro (m)]]*Table_1[[#This Row],[Altura (m)]]</f>
        <v>0</v>
      </c>
      <c r="G93" s="289"/>
      <c r="H93" s="289"/>
      <c r="I93" s="289"/>
      <c r="J93" s="289"/>
      <c r="K93" s="289"/>
      <c r="L93" s="285"/>
    </row>
    <row r="94" spans="1:12" ht="14.25" customHeight="1" x14ac:dyDescent="0.25">
      <c r="A94" s="284"/>
      <c r="B94" s="452"/>
      <c r="C94" s="444"/>
      <c r="D94" s="742"/>
      <c r="E94" s="742"/>
      <c r="F94" s="743">
        <f>Table_1[[#This Row],[Perímetro (m)]]*Table_1[[#This Row],[Altura (m)]]</f>
        <v>0</v>
      </c>
      <c r="G94" s="289"/>
      <c r="H94" s="289"/>
      <c r="I94" s="289"/>
      <c r="J94" s="289"/>
      <c r="K94" s="289"/>
      <c r="L94" s="285"/>
    </row>
    <row r="95" spans="1:12" ht="14.25" customHeight="1" x14ac:dyDescent="0.25">
      <c r="A95" s="284"/>
      <c r="B95" s="452"/>
      <c r="C95" s="444"/>
      <c r="D95" s="742"/>
      <c r="E95" s="742"/>
      <c r="F95" s="743">
        <f>Table_1[[#This Row],[Perímetro (m)]]*Table_1[[#This Row],[Altura (m)]]</f>
        <v>0</v>
      </c>
      <c r="G95" s="289"/>
      <c r="H95" s="289"/>
      <c r="I95" s="289"/>
      <c r="J95" s="289"/>
      <c r="K95" s="289"/>
      <c r="L95" s="285"/>
    </row>
    <row r="96" spans="1:12" ht="14.25" customHeight="1" x14ac:dyDescent="0.25">
      <c r="A96" s="284"/>
      <c r="B96" s="452"/>
      <c r="C96" s="444"/>
      <c r="D96" s="742"/>
      <c r="E96" s="742"/>
      <c r="F96" s="743">
        <f>Table_1[[#This Row],[Perímetro (m)]]*Table_1[[#This Row],[Altura (m)]]</f>
        <v>0</v>
      </c>
      <c r="G96" s="289"/>
      <c r="H96" s="289"/>
      <c r="I96" s="289"/>
      <c r="J96" s="289"/>
      <c r="K96" s="289"/>
      <c r="L96" s="285"/>
    </row>
    <row r="97" spans="1:12" ht="14.25" customHeight="1" x14ac:dyDescent="0.25">
      <c r="A97" s="284"/>
      <c r="B97" s="452"/>
      <c r="C97" s="444"/>
      <c r="D97" s="742"/>
      <c r="E97" s="742"/>
      <c r="F97" s="743">
        <f>Table_1[[#This Row],[Perímetro (m)]]*Table_1[[#This Row],[Altura (m)]]</f>
        <v>0</v>
      </c>
      <c r="G97" s="289"/>
      <c r="H97" s="289"/>
      <c r="I97" s="289"/>
      <c r="J97" s="289"/>
      <c r="K97" s="289"/>
      <c r="L97" s="285"/>
    </row>
    <row r="98" spans="1:12" ht="14.25" customHeight="1" x14ac:dyDescent="0.25">
      <c r="A98" s="284"/>
      <c r="B98" s="452"/>
      <c r="C98" s="444"/>
      <c r="D98" s="742"/>
      <c r="E98" s="742"/>
      <c r="F98" s="743">
        <f>Table_1[[#This Row],[Perímetro (m)]]*Table_1[[#This Row],[Altura (m)]]</f>
        <v>0</v>
      </c>
      <c r="G98" s="289"/>
      <c r="H98" s="289"/>
      <c r="I98" s="289"/>
      <c r="J98" s="289"/>
      <c r="K98" s="289"/>
      <c r="L98" s="285"/>
    </row>
    <row r="99" spans="1:12" ht="14.25" customHeight="1" x14ac:dyDescent="0.25">
      <c r="A99" s="284"/>
      <c r="B99" s="452"/>
      <c r="C99" s="444"/>
      <c r="D99" s="742"/>
      <c r="E99" s="742"/>
      <c r="F99" s="743">
        <f>Table_1[[#This Row],[Perímetro (m)]]*Table_1[[#This Row],[Altura (m)]]</f>
        <v>0</v>
      </c>
      <c r="G99" s="289"/>
      <c r="H99" s="289"/>
      <c r="I99" s="289"/>
      <c r="J99" s="289"/>
      <c r="K99" s="289"/>
      <c r="L99" s="285"/>
    </row>
    <row r="100" spans="1:12" ht="14.25" customHeight="1" x14ac:dyDescent="0.25">
      <c r="A100" s="284"/>
      <c r="B100" s="452"/>
      <c r="C100" s="444"/>
      <c r="D100" s="742"/>
      <c r="E100" s="742"/>
      <c r="F100" s="743">
        <f>Table_1[[#This Row],[Perímetro (m)]]*Table_1[[#This Row],[Altura (m)]]</f>
        <v>0</v>
      </c>
      <c r="G100" s="289"/>
      <c r="H100" s="289"/>
      <c r="I100" s="289"/>
      <c r="J100" s="289"/>
      <c r="K100" s="289"/>
      <c r="L100" s="285"/>
    </row>
    <row r="101" spans="1:12" ht="14.25" customHeight="1" x14ac:dyDescent="0.25">
      <c r="A101" s="284"/>
      <c r="B101" s="452"/>
      <c r="C101" s="444"/>
      <c r="D101" s="742"/>
      <c r="E101" s="742"/>
      <c r="F101" s="743">
        <f>Table_1[[#This Row],[Perímetro (m)]]*Table_1[[#This Row],[Altura (m)]]</f>
        <v>0</v>
      </c>
      <c r="G101" s="289"/>
      <c r="H101" s="289"/>
      <c r="I101" s="289"/>
      <c r="J101" s="289"/>
      <c r="K101" s="289"/>
      <c r="L101" s="285"/>
    </row>
    <row r="102" spans="1:12" ht="14.25" customHeight="1" x14ac:dyDescent="0.25">
      <c r="A102" s="284"/>
      <c r="B102" s="452"/>
      <c r="C102" s="444"/>
      <c r="D102" s="742"/>
      <c r="E102" s="742"/>
      <c r="F102" s="743">
        <f>Table_1[[#This Row],[Perímetro (m)]]*Table_1[[#This Row],[Altura (m)]]</f>
        <v>0</v>
      </c>
      <c r="G102" s="289"/>
      <c r="H102" s="289"/>
      <c r="I102" s="289"/>
      <c r="J102" s="289"/>
      <c r="K102" s="289"/>
      <c r="L102" s="285"/>
    </row>
    <row r="103" spans="1:12" ht="14.25" customHeight="1" x14ac:dyDescent="0.25">
      <c r="A103" s="284"/>
      <c r="B103" s="452"/>
      <c r="C103" s="444"/>
      <c r="D103" s="742"/>
      <c r="E103" s="742"/>
      <c r="F103" s="743">
        <f>Table_1[[#This Row],[Perímetro (m)]]*Table_1[[#This Row],[Altura (m)]]</f>
        <v>0</v>
      </c>
      <c r="G103" s="289"/>
      <c r="H103" s="289"/>
      <c r="I103" s="289"/>
      <c r="J103" s="289"/>
      <c r="K103" s="289"/>
      <c r="L103" s="285"/>
    </row>
    <row r="104" spans="1:12" ht="14.25" customHeight="1" x14ac:dyDescent="0.25">
      <c r="A104" s="284"/>
      <c r="B104" s="452"/>
      <c r="C104" s="444"/>
      <c r="D104" s="742"/>
      <c r="E104" s="742"/>
      <c r="F104" s="743">
        <f>Table_1[[#This Row],[Perímetro (m)]]*Table_1[[#This Row],[Altura (m)]]</f>
        <v>0</v>
      </c>
      <c r="G104" s="289"/>
      <c r="H104" s="289"/>
      <c r="I104" s="289"/>
      <c r="J104" s="289"/>
      <c r="K104" s="289"/>
      <c r="L104" s="285"/>
    </row>
    <row r="105" spans="1:12" ht="14.25" customHeight="1" x14ac:dyDescent="0.25">
      <c r="A105" s="284"/>
      <c r="B105" s="452"/>
      <c r="C105" s="444"/>
      <c r="D105" s="742"/>
      <c r="E105" s="742"/>
      <c r="F105" s="743">
        <f>Table_1[[#This Row],[Perímetro (m)]]*Table_1[[#This Row],[Altura (m)]]</f>
        <v>0</v>
      </c>
      <c r="G105" s="289"/>
      <c r="H105" s="289"/>
      <c r="I105" s="289"/>
      <c r="J105" s="289"/>
      <c r="K105" s="289"/>
      <c r="L105" s="285"/>
    </row>
    <row r="106" spans="1:12" ht="14.25" customHeight="1" x14ac:dyDescent="0.25">
      <c r="A106" s="284"/>
      <c r="B106" s="452"/>
      <c r="C106" s="444"/>
      <c r="D106" s="742"/>
      <c r="E106" s="742"/>
      <c r="F106" s="743">
        <f>Table_1[[#This Row],[Perímetro (m)]]*Table_1[[#This Row],[Altura (m)]]</f>
        <v>0</v>
      </c>
      <c r="G106" s="289"/>
      <c r="H106" s="289"/>
      <c r="I106" s="289"/>
      <c r="J106" s="289"/>
      <c r="K106" s="289"/>
      <c r="L106" s="285"/>
    </row>
    <row r="107" spans="1:12" ht="14.25" customHeight="1" x14ac:dyDescent="0.25">
      <c r="A107" s="284"/>
      <c r="B107" s="452"/>
      <c r="C107" s="444"/>
      <c r="D107" s="742"/>
      <c r="E107" s="742"/>
      <c r="F107" s="743">
        <f>Table_1[[#This Row],[Perímetro (m)]]*Table_1[[#This Row],[Altura (m)]]</f>
        <v>0</v>
      </c>
      <c r="G107" s="289"/>
      <c r="H107" s="289"/>
      <c r="I107" s="289"/>
      <c r="J107" s="289"/>
      <c r="K107" s="289"/>
      <c r="L107" s="285"/>
    </row>
    <row r="108" spans="1:12" ht="14.25" customHeight="1" x14ac:dyDescent="0.25">
      <c r="A108" s="284"/>
      <c r="B108" s="452"/>
      <c r="C108" s="444"/>
      <c r="D108" s="742"/>
      <c r="E108" s="742"/>
      <c r="F108" s="743">
        <f>Table_1[[#This Row],[Perímetro (m)]]*Table_1[[#This Row],[Altura (m)]]</f>
        <v>0</v>
      </c>
      <c r="G108" s="289"/>
      <c r="H108" s="289"/>
      <c r="I108" s="289"/>
      <c r="J108" s="289"/>
      <c r="K108" s="289"/>
      <c r="L108" s="285"/>
    </row>
    <row r="109" spans="1:12" ht="14.25" customHeight="1" x14ac:dyDescent="0.25">
      <c r="A109" s="284"/>
      <c r="B109" s="452"/>
      <c r="C109" s="444"/>
      <c r="D109" s="742"/>
      <c r="E109" s="742"/>
      <c r="F109" s="743">
        <f>Table_1[[#This Row],[Perímetro (m)]]*Table_1[[#This Row],[Altura (m)]]</f>
        <v>0</v>
      </c>
      <c r="G109" s="289"/>
      <c r="H109" s="289"/>
      <c r="I109" s="289"/>
      <c r="J109" s="289"/>
      <c r="K109" s="289"/>
      <c r="L109" s="285"/>
    </row>
    <row r="110" spans="1:12" ht="14.25" customHeight="1" x14ac:dyDescent="0.25">
      <c r="A110" s="284"/>
      <c r="B110" s="452"/>
      <c r="C110" s="444"/>
      <c r="D110" s="742"/>
      <c r="E110" s="742"/>
      <c r="F110" s="743">
        <f>Table_1[[#This Row],[Perímetro (m)]]*Table_1[[#This Row],[Altura (m)]]</f>
        <v>0</v>
      </c>
      <c r="G110" s="289"/>
      <c r="H110" s="289"/>
      <c r="I110" s="289"/>
      <c r="J110" s="289"/>
      <c r="K110" s="289"/>
      <c r="L110" s="285"/>
    </row>
    <row r="111" spans="1:12" ht="14.25" customHeight="1" x14ac:dyDescent="0.25">
      <c r="A111" s="284"/>
      <c r="B111" s="452"/>
      <c r="C111" s="444"/>
      <c r="D111" s="742"/>
      <c r="E111" s="742"/>
      <c r="F111" s="743">
        <f>Table_1[[#This Row],[Perímetro (m)]]*Table_1[[#This Row],[Altura (m)]]</f>
        <v>0</v>
      </c>
      <c r="G111" s="289"/>
      <c r="H111" s="289"/>
      <c r="I111" s="289"/>
      <c r="J111" s="289"/>
      <c r="K111" s="289"/>
      <c r="L111" s="285"/>
    </row>
    <row r="112" spans="1:12" ht="14.25" customHeight="1" x14ac:dyDescent="0.25">
      <c r="A112" s="284"/>
      <c r="B112" s="452"/>
      <c r="C112" s="444"/>
      <c r="D112" s="742"/>
      <c r="E112" s="742"/>
      <c r="F112" s="743">
        <f>Table_1[[#This Row],[Perímetro (m)]]*Table_1[[#This Row],[Altura (m)]]</f>
        <v>0</v>
      </c>
      <c r="G112" s="289"/>
      <c r="H112" s="289"/>
      <c r="I112" s="289"/>
      <c r="J112" s="289"/>
      <c r="K112" s="289"/>
      <c r="L112" s="285"/>
    </row>
    <row r="113" spans="1:12" ht="14.25" customHeight="1" x14ac:dyDescent="0.25">
      <c r="A113" s="284"/>
      <c r="B113" s="452"/>
      <c r="C113" s="444"/>
      <c r="D113" s="742"/>
      <c r="E113" s="742"/>
      <c r="F113" s="743">
        <f>Table_1[[#This Row],[Perímetro (m)]]*Table_1[[#This Row],[Altura (m)]]</f>
        <v>0</v>
      </c>
      <c r="G113" s="289"/>
      <c r="H113" s="289"/>
      <c r="I113" s="289"/>
      <c r="J113" s="289"/>
      <c r="K113" s="289"/>
      <c r="L113" s="285"/>
    </row>
    <row r="114" spans="1:12" ht="14.25" customHeight="1" x14ac:dyDescent="0.25">
      <c r="A114" s="284"/>
      <c r="B114" s="452"/>
      <c r="C114" s="444"/>
      <c r="D114" s="742"/>
      <c r="E114" s="742"/>
      <c r="F114" s="743">
        <f>Table_1[[#This Row],[Perímetro (m)]]*Table_1[[#This Row],[Altura (m)]]</f>
        <v>0</v>
      </c>
      <c r="G114" s="289"/>
      <c r="H114" s="289"/>
      <c r="I114" s="289"/>
      <c r="J114" s="289"/>
      <c r="K114" s="289"/>
      <c r="L114" s="285"/>
    </row>
    <row r="115" spans="1:12" ht="14.25" customHeight="1" x14ac:dyDescent="0.25">
      <c r="A115" s="284"/>
      <c r="B115" s="452"/>
      <c r="C115" s="444"/>
      <c r="D115" s="742"/>
      <c r="E115" s="742"/>
      <c r="F115" s="743">
        <f>Table_1[[#This Row],[Perímetro (m)]]*Table_1[[#This Row],[Altura (m)]]</f>
        <v>0</v>
      </c>
      <c r="G115" s="289"/>
      <c r="H115" s="289"/>
      <c r="I115" s="289"/>
      <c r="J115" s="289"/>
      <c r="K115" s="289"/>
      <c r="L115" s="285"/>
    </row>
    <row r="116" spans="1:12" ht="14.25" customHeight="1" x14ac:dyDescent="0.25">
      <c r="A116" s="284"/>
      <c r="B116" s="452"/>
      <c r="C116" s="444"/>
      <c r="D116" s="742"/>
      <c r="E116" s="742"/>
      <c r="F116" s="743">
        <f>Table_1[[#This Row],[Perímetro (m)]]*Table_1[[#This Row],[Altura (m)]]</f>
        <v>0</v>
      </c>
      <c r="G116" s="289"/>
      <c r="H116" s="289"/>
      <c r="I116" s="289"/>
      <c r="J116" s="289"/>
      <c r="K116" s="289"/>
      <c r="L116" s="285"/>
    </row>
    <row r="117" spans="1:12" ht="14.25" customHeight="1" x14ac:dyDescent="0.25">
      <c r="A117" s="284"/>
      <c r="B117" s="452"/>
      <c r="C117" s="444"/>
      <c r="D117" s="742"/>
      <c r="E117" s="742"/>
      <c r="F117" s="743">
        <f>Table_1[[#This Row],[Perímetro (m)]]*Table_1[[#This Row],[Altura (m)]]</f>
        <v>0</v>
      </c>
      <c r="G117" s="289"/>
      <c r="H117" s="289"/>
      <c r="I117" s="289"/>
      <c r="J117" s="289"/>
      <c r="K117" s="289"/>
      <c r="L117" s="285"/>
    </row>
    <row r="118" spans="1:12" ht="14.25" customHeight="1" x14ac:dyDescent="0.25">
      <c r="A118" s="284"/>
      <c r="B118" s="452"/>
      <c r="C118" s="444"/>
      <c r="D118" s="742"/>
      <c r="E118" s="742"/>
      <c r="F118" s="743">
        <f>Table_1[[#This Row],[Perímetro (m)]]*Table_1[[#This Row],[Altura (m)]]</f>
        <v>0</v>
      </c>
      <c r="G118" s="289"/>
      <c r="H118" s="289"/>
      <c r="I118" s="289"/>
      <c r="J118" s="289"/>
      <c r="K118" s="289"/>
      <c r="L118" s="285"/>
    </row>
    <row r="119" spans="1:12" ht="14.25" customHeight="1" x14ac:dyDescent="0.25">
      <c r="A119" s="284"/>
      <c r="B119" s="452"/>
      <c r="C119" s="444"/>
      <c r="D119" s="742"/>
      <c r="E119" s="742"/>
      <c r="F119" s="743">
        <f>Table_1[[#This Row],[Perímetro (m)]]*Table_1[[#This Row],[Altura (m)]]</f>
        <v>0</v>
      </c>
      <c r="G119" s="289"/>
      <c r="H119" s="289"/>
      <c r="I119" s="289"/>
      <c r="J119" s="289"/>
      <c r="K119" s="289"/>
      <c r="L119" s="285"/>
    </row>
    <row r="120" spans="1:12" ht="14.25" customHeight="1" x14ac:dyDescent="0.25">
      <c r="A120" s="284"/>
      <c r="B120" s="452"/>
      <c r="C120" s="444"/>
      <c r="D120" s="742"/>
      <c r="E120" s="742"/>
      <c r="F120" s="743">
        <f>Table_1[[#This Row],[Perímetro (m)]]*Table_1[[#This Row],[Altura (m)]]</f>
        <v>0</v>
      </c>
      <c r="G120" s="289"/>
      <c r="H120" s="289"/>
      <c r="I120" s="289"/>
      <c r="J120" s="289"/>
      <c r="K120" s="289"/>
      <c r="L120" s="285"/>
    </row>
    <row r="121" spans="1:12" ht="14.25" customHeight="1" x14ac:dyDescent="0.25">
      <c r="A121" s="284"/>
      <c r="B121" s="452"/>
      <c r="C121" s="444"/>
      <c r="D121" s="742"/>
      <c r="E121" s="742"/>
      <c r="F121" s="743">
        <f>Table_1[[#This Row],[Perímetro (m)]]*Table_1[[#This Row],[Altura (m)]]</f>
        <v>0</v>
      </c>
      <c r="G121" s="289"/>
      <c r="H121" s="289"/>
      <c r="I121" s="289"/>
      <c r="J121" s="289"/>
      <c r="K121" s="289"/>
      <c r="L121" s="285"/>
    </row>
    <row r="122" spans="1:12" ht="14.25" customHeight="1" x14ac:dyDescent="0.25">
      <c r="A122" s="284"/>
      <c r="B122" s="452"/>
      <c r="C122" s="444"/>
      <c r="D122" s="742"/>
      <c r="E122" s="742"/>
      <c r="F122" s="743">
        <f>Table_1[[#This Row],[Perímetro (m)]]*Table_1[[#This Row],[Altura (m)]]</f>
        <v>0</v>
      </c>
      <c r="G122" s="289"/>
      <c r="H122" s="289"/>
      <c r="I122" s="289"/>
      <c r="J122" s="289"/>
      <c r="K122" s="289"/>
      <c r="L122" s="285"/>
    </row>
    <row r="123" spans="1:12" ht="14.25" customHeight="1" x14ac:dyDescent="0.25">
      <c r="A123" s="284"/>
      <c r="B123" s="452"/>
      <c r="C123" s="444"/>
      <c r="D123" s="742"/>
      <c r="E123" s="742"/>
      <c r="F123" s="743">
        <f>Table_1[[#This Row],[Perímetro (m)]]*Table_1[[#This Row],[Altura (m)]]</f>
        <v>0</v>
      </c>
      <c r="G123" s="289"/>
      <c r="H123" s="289"/>
      <c r="I123" s="289"/>
      <c r="J123" s="289"/>
      <c r="K123" s="289"/>
      <c r="L123" s="285"/>
    </row>
    <row r="124" spans="1:12" ht="14.25" customHeight="1" x14ac:dyDescent="0.25">
      <c r="A124" s="284"/>
      <c r="B124" s="452"/>
      <c r="C124" s="444"/>
      <c r="D124" s="742"/>
      <c r="E124" s="742"/>
      <c r="F124" s="743">
        <f>Table_1[[#This Row],[Perímetro (m)]]*Table_1[[#This Row],[Altura (m)]]</f>
        <v>0</v>
      </c>
      <c r="G124" s="289"/>
      <c r="H124" s="289"/>
      <c r="I124" s="289"/>
      <c r="J124" s="289"/>
      <c r="K124" s="289"/>
      <c r="L124" s="285"/>
    </row>
    <row r="125" spans="1:12" ht="14.25" customHeight="1" x14ac:dyDescent="0.25">
      <c r="A125" s="284"/>
      <c r="B125" s="452"/>
      <c r="C125" s="444"/>
      <c r="D125" s="742"/>
      <c r="E125" s="742"/>
      <c r="F125" s="743">
        <f>Table_1[[#This Row],[Perímetro (m)]]*Table_1[[#This Row],[Altura (m)]]</f>
        <v>0</v>
      </c>
      <c r="G125" s="289"/>
      <c r="H125" s="289"/>
      <c r="I125" s="289"/>
      <c r="J125" s="289"/>
      <c r="K125" s="289"/>
      <c r="L125" s="285"/>
    </row>
    <row r="126" spans="1:12" ht="14.25" customHeight="1" x14ac:dyDescent="0.25">
      <c r="A126" s="284"/>
      <c r="B126" s="452"/>
      <c r="C126" s="444"/>
      <c r="D126" s="742"/>
      <c r="E126" s="742"/>
      <c r="F126" s="743">
        <f>Table_1[[#This Row],[Perímetro (m)]]*Table_1[[#This Row],[Altura (m)]]</f>
        <v>0</v>
      </c>
      <c r="G126" s="289"/>
      <c r="H126" s="289"/>
      <c r="I126" s="289"/>
      <c r="J126" s="289"/>
      <c r="K126" s="289"/>
      <c r="L126" s="285"/>
    </row>
    <row r="127" spans="1:12" ht="14.25" customHeight="1" x14ac:dyDescent="0.25">
      <c r="A127" s="284"/>
      <c r="B127" s="452"/>
      <c r="C127" s="444"/>
      <c r="D127" s="742"/>
      <c r="E127" s="742"/>
      <c r="F127" s="743">
        <f>Table_1[[#This Row],[Perímetro (m)]]*Table_1[[#This Row],[Altura (m)]]</f>
        <v>0</v>
      </c>
      <c r="G127" s="289"/>
      <c r="H127" s="289"/>
      <c r="I127" s="289"/>
      <c r="J127" s="289"/>
      <c r="K127" s="289"/>
      <c r="L127" s="285"/>
    </row>
    <row r="128" spans="1:12" ht="14.25" customHeight="1" x14ac:dyDescent="0.25">
      <c r="A128" s="284"/>
      <c r="B128" s="452"/>
      <c r="C128" s="444"/>
      <c r="D128" s="742"/>
      <c r="E128" s="742"/>
      <c r="F128" s="743">
        <f>Table_1[[#This Row],[Perímetro (m)]]*Table_1[[#This Row],[Altura (m)]]</f>
        <v>0</v>
      </c>
      <c r="G128" s="289"/>
      <c r="H128" s="289"/>
      <c r="I128" s="289"/>
      <c r="J128" s="289"/>
      <c r="K128" s="289"/>
      <c r="L128" s="285"/>
    </row>
    <row r="129" spans="1:12" ht="14.25" customHeight="1" x14ac:dyDescent="0.25">
      <c r="A129" s="284"/>
      <c r="B129" s="452"/>
      <c r="C129" s="444"/>
      <c r="D129" s="742"/>
      <c r="E129" s="742"/>
      <c r="F129" s="743">
        <f>Table_1[[#This Row],[Perímetro (m)]]*Table_1[[#This Row],[Altura (m)]]</f>
        <v>0</v>
      </c>
      <c r="G129" s="289"/>
      <c r="H129" s="289"/>
      <c r="I129" s="289"/>
      <c r="J129" s="289"/>
      <c r="K129" s="289"/>
      <c r="L129" s="285"/>
    </row>
    <row r="130" spans="1:12" ht="14.25" customHeight="1" x14ac:dyDescent="0.25">
      <c r="A130" s="284"/>
      <c r="B130" s="452"/>
      <c r="C130" s="444"/>
      <c r="D130" s="742"/>
      <c r="E130" s="742"/>
      <c r="F130" s="743">
        <f>Table_1[[#This Row],[Perímetro (m)]]*Table_1[[#This Row],[Altura (m)]]</f>
        <v>0</v>
      </c>
      <c r="G130" s="289"/>
      <c r="H130" s="289"/>
      <c r="I130" s="289"/>
      <c r="J130" s="289"/>
      <c r="K130" s="289"/>
      <c r="L130" s="285"/>
    </row>
    <row r="131" spans="1:12" ht="14.25" customHeight="1" x14ac:dyDescent="0.25">
      <c r="A131" s="284"/>
      <c r="B131" s="452"/>
      <c r="C131" s="444"/>
      <c r="D131" s="742"/>
      <c r="E131" s="742"/>
      <c r="F131" s="743">
        <f>Table_1[[#This Row],[Perímetro (m)]]*Table_1[[#This Row],[Altura (m)]]</f>
        <v>0</v>
      </c>
      <c r="G131" s="289"/>
      <c r="H131" s="289"/>
      <c r="I131" s="289"/>
      <c r="J131" s="289"/>
      <c r="K131" s="289"/>
      <c r="L131" s="285"/>
    </row>
    <row r="132" spans="1:12" ht="14.25" customHeight="1" x14ac:dyDescent="0.25">
      <c r="A132" s="284"/>
      <c r="B132" s="452"/>
      <c r="C132" s="444"/>
      <c r="D132" s="742"/>
      <c r="E132" s="742"/>
      <c r="F132" s="743">
        <f>Table_1[[#This Row],[Perímetro (m)]]*Table_1[[#This Row],[Altura (m)]]</f>
        <v>0</v>
      </c>
      <c r="G132" s="289"/>
      <c r="H132" s="289"/>
      <c r="I132" s="289"/>
      <c r="J132" s="289"/>
      <c r="K132" s="289"/>
      <c r="L132" s="285"/>
    </row>
    <row r="133" spans="1:12" ht="14.25" customHeight="1" x14ac:dyDescent="0.25">
      <c r="A133" s="284"/>
      <c r="B133" s="452"/>
      <c r="C133" s="444"/>
      <c r="D133" s="742"/>
      <c r="E133" s="742"/>
      <c r="F133" s="743">
        <f>Table_1[[#This Row],[Perímetro (m)]]*Table_1[[#This Row],[Altura (m)]]</f>
        <v>0</v>
      </c>
      <c r="G133" s="289"/>
      <c r="H133" s="289"/>
      <c r="I133" s="289"/>
      <c r="J133" s="289"/>
      <c r="K133" s="289"/>
      <c r="L133" s="285"/>
    </row>
    <row r="134" spans="1:12" ht="14.25" customHeight="1" x14ac:dyDescent="0.25">
      <c r="A134" s="284"/>
      <c r="B134" s="452"/>
      <c r="C134" s="444"/>
      <c r="D134" s="742"/>
      <c r="E134" s="742"/>
      <c r="F134" s="743">
        <f>Table_1[[#This Row],[Perímetro (m)]]*Table_1[[#This Row],[Altura (m)]]</f>
        <v>0</v>
      </c>
      <c r="G134" s="289"/>
      <c r="H134" s="289"/>
      <c r="I134" s="289"/>
      <c r="J134" s="289"/>
      <c r="K134" s="289"/>
      <c r="L134" s="285"/>
    </row>
    <row r="135" spans="1:12" ht="14.25" customHeight="1" x14ac:dyDescent="0.25">
      <c r="A135" s="284"/>
      <c r="B135" s="452"/>
      <c r="C135" s="444"/>
      <c r="D135" s="742"/>
      <c r="E135" s="742"/>
      <c r="F135" s="743">
        <f>Table_1[[#This Row],[Perímetro (m)]]*Table_1[[#This Row],[Altura (m)]]</f>
        <v>0</v>
      </c>
      <c r="G135" s="289"/>
      <c r="H135" s="289"/>
      <c r="I135" s="289"/>
      <c r="J135" s="289"/>
      <c r="K135" s="289"/>
      <c r="L135" s="285"/>
    </row>
    <row r="136" spans="1:12" ht="14.25" customHeight="1" x14ac:dyDescent="0.25">
      <c r="A136" s="284"/>
      <c r="B136" s="452"/>
      <c r="C136" s="444"/>
      <c r="D136" s="742"/>
      <c r="E136" s="742"/>
      <c r="F136" s="743">
        <f>Table_1[[#This Row],[Perímetro (m)]]*Table_1[[#This Row],[Altura (m)]]</f>
        <v>0</v>
      </c>
      <c r="G136" s="289"/>
      <c r="H136" s="289"/>
      <c r="I136" s="289"/>
      <c r="J136" s="289"/>
      <c r="K136" s="289"/>
      <c r="L136" s="285"/>
    </row>
    <row r="137" spans="1:12" ht="14.25" customHeight="1" x14ac:dyDescent="0.25">
      <c r="A137" s="284"/>
      <c r="B137" s="452"/>
      <c r="C137" s="444"/>
      <c r="D137" s="742"/>
      <c r="E137" s="742"/>
      <c r="F137" s="743">
        <f>Table_1[[#This Row],[Perímetro (m)]]*Table_1[[#This Row],[Altura (m)]]</f>
        <v>0</v>
      </c>
      <c r="G137" s="289"/>
      <c r="H137" s="289"/>
      <c r="I137" s="289"/>
      <c r="J137" s="289"/>
      <c r="K137" s="289"/>
      <c r="L137" s="285"/>
    </row>
    <row r="138" spans="1:12" ht="14.25" customHeight="1" x14ac:dyDescent="0.25">
      <c r="A138" s="284"/>
      <c r="B138" s="452"/>
      <c r="C138" s="444"/>
      <c r="D138" s="742"/>
      <c r="E138" s="742"/>
      <c r="F138" s="743">
        <f>Table_1[[#This Row],[Perímetro (m)]]*Table_1[[#This Row],[Altura (m)]]</f>
        <v>0</v>
      </c>
      <c r="G138" s="289"/>
      <c r="H138" s="289"/>
      <c r="I138" s="289"/>
      <c r="J138" s="289"/>
      <c r="K138" s="289"/>
      <c r="L138" s="285"/>
    </row>
    <row r="139" spans="1:12" ht="14.25" customHeight="1" x14ac:dyDescent="0.25">
      <c r="A139" s="284"/>
      <c r="B139" s="452"/>
      <c r="C139" s="444"/>
      <c r="D139" s="742"/>
      <c r="E139" s="742"/>
      <c r="F139" s="743">
        <f>Table_1[[#This Row],[Perímetro (m)]]*Table_1[[#This Row],[Altura (m)]]</f>
        <v>0</v>
      </c>
      <c r="G139" s="289"/>
      <c r="H139" s="289"/>
      <c r="I139" s="289"/>
      <c r="J139" s="289"/>
      <c r="K139" s="289"/>
      <c r="L139" s="285"/>
    </row>
    <row r="140" spans="1:12" ht="14.25" customHeight="1" x14ac:dyDescent="0.25">
      <c r="A140" s="284"/>
      <c r="B140" s="452"/>
      <c r="C140" s="444"/>
      <c r="D140" s="742"/>
      <c r="E140" s="742"/>
      <c r="F140" s="743">
        <f>Table_1[[#This Row],[Perímetro (m)]]*Table_1[[#This Row],[Altura (m)]]</f>
        <v>0</v>
      </c>
      <c r="G140" s="289"/>
      <c r="H140" s="289"/>
      <c r="I140" s="289"/>
      <c r="J140" s="289"/>
      <c r="K140" s="289"/>
      <c r="L140" s="285"/>
    </row>
    <row r="141" spans="1:12" ht="14.25" customHeight="1" x14ac:dyDescent="0.25">
      <c r="A141" s="284"/>
      <c r="B141" s="452"/>
      <c r="C141" s="444"/>
      <c r="D141" s="742"/>
      <c r="E141" s="742"/>
      <c r="F141" s="743">
        <f>Table_1[[#This Row],[Perímetro (m)]]*Table_1[[#This Row],[Altura (m)]]</f>
        <v>0</v>
      </c>
      <c r="G141" s="289"/>
      <c r="H141" s="289"/>
      <c r="I141" s="289"/>
      <c r="J141" s="289"/>
      <c r="K141" s="289"/>
      <c r="L141" s="285"/>
    </row>
    <row r="142" spans="1:12" ht="14.25" customHeight="1" x14ac:dyDescent="0.25">
      <c r="A142" s="284"/>
      <c r="B142" s="452"/>
      <c r="C142" s="444"/>
      <c r="D142" s="742"/>
      <c r="E142" s="742"/>
      <c r="F142" s="743">
        <f>Table_1[[#This Row],[Perímetro (m)]]*Table_1[[#This Row],[Altura (m)]]</f>
        <v>0</v>
      </c>
      <c r="G142" s="289"/>
      <c r="H142" s="289"/>
      <c r="I142" s="289"/>
      <c r="J142" s="289"/>
      <c r="K142" s="289"/>
      <c r="L142" s="285"/>
    </row>
    <row r="143" spans="1:12" ht="14.25" customHeight="1" x14ac:dyDescent="0.25">
      <c r="A143" s="284"/>
      <c r="B143" s="452"/>
      <c r="C143" s="444"/>
      <c r="D143" s="742"/>
      <c r="E143" s="742"/>
      <c r="F143" s="743">
        <f>Table_1[[#This Row],[Perímetro (m)]]*Table_1[[#This Row],[Altura (m)]]</f>
        <v>0</v>
      </c>
      <c r="G143" s="289"/>
      <c r="H143" s="289"/>
      <c r="I143" s="289"/>
      <c r="J143" s="289"/>
      <c r="K143" s="289"/>
      <c r="L143" s="285"/>
    </row>
    <row r="144" spans="1:12" ht="14.25" customHeight="1" x14ac:dyDescent="0.25">
      <c r="A144" s="284"/>
      <c r="B144" s="452"/>
      <c r="C144" s="444"/>
      <c r="D144" s="742"/>
      <c r="E144" s="742"/>
      <c r="F144" s="743">
        <f>Table_1[[#This Row],[Perímetro (m)]]*Table_1[[#This Row],[Altura (m)]]</f>
        <v>0</v>
      </c>
      <c r="G144" s="289"/>
      <c r="H144" s="289"/>
      <c r="I144" s="289"/>
      <c r="J144" s="289"/>
      <c r="K144" s="289"/>
      <c r="L144" s="285"/>
    </row>
    <row r="145" spans="1:12" ht="14.25" customHeight="1" x14ac:dyDescent="0.25">
      <c r="A145" s="284"/>
      <c r="B145" s="452"/>
      <c r="C145" s="444"/>
      <c r="D145" s="742"/>
      <c r="E145" s="742"/>
      <c r="F145" s="743">
        <f>Table_1[[#This Row],[Perímetro (m)]]*Table_1[[#This Row],[Altura (m)]]</f>
        <v>0</v>
      </c>
      <c r="G145" s="289"/>
      <c r="H145" s="289"/>
      <c r="I145" s="289"/>
      <c r="J145" s="289"/>
      <c r="K145" s="289"/>
      <c r="L145" s="285"/>
    </row>
    <row r="146" spans="1:12" ht="14.25" customHeight="1" x14ac:dyDescent="0.25">
      <c r="A146" s="284"/>
      <c r="B146" s="452"/>
      <c r="C146" s="444"/>
      <c r="D146" s="742"/>
      <c r="E146" s="742"/>
      <c r="F146" s="743">
        <f>Table_1[[#This Row],[Perímetro (m)]]*Table_1[[#This Row],[Altura (m)]]</f>
        <v>0</v>
      </c>
      <c r="G146" s="289"/>
      <c r="H146" s="289"/>
      <c r="I146" s="289"/>
      <c r="J146" s="289"/>
      <c r="K146" s="289"/>
      <c r="L146" s="285"/>
    </row>
    <row r="147" spans="1:12" ht="14.25" customHeight="1" x14ac:dyDescent="0.25">
      <c r="A147" s="284"/>
      <c r="B147" s="452"/>
      <c r="C147" s="444"/>
      <c r="D147" s="742"/>
      <c r="E147" s="742"/>
      <c r="F147" s="743">
        <f>Table_1[[#This Row],[Perímetro (m)]]*Table_1[[#This Row],[Altura (m)]]</f>
        <v>0</v>
      </c>
      <c r="G147" s="289"/>
      <c r="H147" s="289"/>
      <c r="I147" s="289"/>
      <c r="J147" s="289"/>
      <c r="K147" s="289"/>
      <c r="L147" s="285"/>
    </row>
    <row r="148" spans="1:12" ht="14.25" customHeight="1" x14ac:dyDescent="0.25">
      <c r="A148" s="284"/>
      <c r="B148" s="452"/>
      <c r="C148" s="444"/>
      <c r="D148" s="742"/>
      <c r="E148" s="742"/>
      <c r="F148" s="743">
        <f>Table_1[[#This Row],[Perímetro (m)]]*Table_1[[#This Row],[Altura (m)]]</f>
        <v>0</v>
      </c>
      <c r="G148" s="289"/>
      <c r="H148" s="289"/>
      <c r="I148" s="289"/>
      <c r="J148" s="289"/>
      <c r="K148" s="289"/>
      <c r="L148" s="285"/>
    </row>
    <row r="149" spans="1:12" ht="14.25" customHeight="1" x14ac:dyDescent="0.25">
      <c r="A149" s="284"/>
      <c r="B149" s="452"/>
      <c r="C149" s="444"/>
      <c r="D149" s="742"/>
      <c r="E149" s="742"/>
      <c r="F149" s="743">
        <f>Table_1[[#This Row],[Perímetro (m)]]*Table_1[[#This Row],[Altura (m)]]</f>
        <v>0</v>
      </c>
      <c r="G149" s="289"/>
      <c r="H149" s="289"/>
      <c r="I149" s="289"/>
      <c r="J149" s="289"/>
      <c r="K149" s="289"/>
      <c r="L149" s="285"/>
    </row>
    <row r="150" spans="1:12" ht="14.25" customHeight="1" x14ac:dyDescent="0.25">
      <c r="A150" s="284"/>
      <c r="B150" s="452"/>
      <c r="C150" s="444"/>
      <c r="D150" s="742"/>
      <c r="E150" s="742"/>
      <c r="F150" s="743">
        <f>Table_1[[#This Row],[Perímetro (m)]]*Table_1[[#This Row],[Altura (m)]]</f>
        <v>0</v>
      </c>
      <c r="G150" s="289"/>
      <c r="H150" s="289"/>
      <c r="I150" s="289"/>
      <c r="J150" s="289"/>
      <c r="K150" s="289"/>
      <c r="L150" s="285"/>
    </row>
    <row r="151" spans="1:12" ht="14.25" customHeight="1" x14ac:dyDescent="0.25">
      <c r="A151" s="284"/>
      <c r="B151" s="452"/>
      <c r="C151" s="444"/>
      <c r="D151" s="742"/>
      <c r="E151" s="742"/>
      <c r="F151" s="743">
        <f>Table_1[[#This Row],[Perímetro (m)]]*Table_1[[#This Row],[Altura (m)]]</f>
        <v>0</v>
      </c>
      <c r="G151" s="289"/>
      <c r="H151" s="289"/>
      <c r="I151" s="289"/>
      <c r="J151" s="289"/>
      <c r="K151" s="289"/>
      <c r="L151" s="285"/>
    </row>
    <row r="152" spans="1:12" ht="14.25" customHeight="1" x14ac:dyDescent="0.25">
      <c r="A152" s="284"/>
      <c r="B152" s="452"/>
      <c r="C152" s="444"/>
      <c r="D152" s="742"/>
      <c r="E152" s="742"/>
      <c r="F152" s="743">
        <f>Table_1[[#This Row],[Perímetro (m)]]*Table_1[[#This Row],[Altura (m)]]</f>
        <v>0</v>
      </c>
      <c r="G152" s="289"/>
      <c r="H152" s="289"/>
      <c r="I152" s="289"/>
      <c r="J152" s="289"/>
      <c r="K152" s="289"/>
      <c r="L152" s="285"/>
    </row>
    <row r="153" spans="1:12" ht="14.25" customHeight="1" x14ac:dyDescent="0.25">
      <c r="A153" s="284"/>
      <c r="B153" s="452"/>
      <c r="C153" s="444"/>
      <c r="D153" s="742"/>
      <c r="E153" s="742"/>
      <c r="F153" s="743">
        <f>Table_1[[#This Row],[Perímetro (m)]]*Table_1[[#This Row],[Altura (m)]]</f>
        <v>0</v>
      </c>
      <c r="G153" s="289"/>
      <c r="H153" s="289"/>
      <c r="I153" s="289"/>
      <c r="J153" s="289"/>
      <c r="K153" s="289"/>
      <c r="L153" s="285"/>
    </row>
    <row r="154" spans="1:12" ht="14.25" customHeight="1" x14ac:dyDescent="0.25">
      <c r="A154" s="284"/>
      <c r="B154" s="452"/>
      <c r="C154" s="444"/>
      <c r="D154" s="742"/>
      <c r="E154" s="742"/>
      <c r="F154" s="743">
        <f>Table_1[[#This Row],[Perímetro (m)]]*Table_1[[#This Row],[Altura (m)]]</f>
        <v>0</v>
      </c>
      <c r="G154" s="289"/>
      <c r="H154" s="289"/>
      <c r="I154" s="289"/>
      <c r="J154" s="289"/>
      <c r="K154" s="289"/>
      <c r="L154" s="285"/>
    </row>
    <row r="155" spans="1:12" ht="14.25" customHeight="1" x14ac:dyDescent="0.25">
      <c r="A155" s="284"/>
      <c r="B155" s="452"/>
      <c r="C155" s="444"/>
      <c r="D155" s="742"/>
      <c r="E155" s="742"/>
      <c r="F155" s="743">
        <f>Table_1[[#This Row],[Perímetro (m)]]*Table_1[[#This Row],[Altura (m)]]</f>
        <v>0</v>
      </c>
      <c r="G155" s="289"/>
      <c r="H155" s="289"/>
      <c r="I155" s="289"/>
      <c r="J155" s="289"/>
      <c r="K155" s="289"/>
      <c r="L155" s="285"/>
    </row>
    <row r="156" spans="1:12" ht="14.25" customHeight="1" x14ac:dyDescent="0.25">
      <c r="A156" s="284"/>
      <c r="B156" s="452"/>
      <c r="C156" s="444"/>
      <c r="D156" s="742"/>
      <c r="E156" s="742"/>
      <c r="F156" s="743">
        <f>Table_1[[#This Row],[Perímetro (m)]]*Table_1[[#This Row],[Altura (m)]]</f>
        <v>0</v>
      </c>
      <c r="G156" s="289"/>
      <c r="H156" s="289"/>
      <c r="I156" s="289"/>
      <c r="J156" s="289"/>
      <c r="K156" s="289"/>
      <c r="L156" s="285"/>
    </row>
    <row r="157" spans="1:12" ht="14.25" customHeight="1" x14ac:dyDescent="0.25">
      <c r="A157" s="284"/>
      <c r="B157" s="452"/>
      <c r="C157" s="444"/>
      <c r="D157" s="742"/>
      <c r="E157" s="742"/>
      <c r="F157" s="743">
        <f>Table_1[[#This Row],[Perímetro (m)]]*Table_1[[#This Row],[Altura (m)]]</f>
        <v>0</v>
      </c>
      <c r="G157" s="289"/>
      <c r="H157" s="289"/>
      <c r="I157" s="289"/>
      <c r="J157" s="289"/>
      <c r="K157" s="289"/>
      <c r="L157" s="285"/>
    </row>
    <row r="158" spans="1:12" ht="14.25" customHeight="1" x14ac:dyDescent="0.25">
      <c r="A158" s="284"/>
      <c r="B158" s="452"/>
      <c r="C158" s="444"/>
      <c r="D158" s="742"/>
      <c r="E158" s="742"/>
      <c r="F158" s="743">
        <f>Table_1[[#This Row],[Perímetro (m)]]*Table_1[[#This Row],[Altura (m)]]</f>
        <v>0</v>
      </c>
      <c r="G158" s="289"/>
      <c r="H158" s="289"/>
      <c r="I158" s="289"/>
      <c r="J158" s="289"/>
      <c r="K158" s="289"/>
      <c r="L158" s="285"/>
    </row>
    <row r="159" spans="1:12" ht="14.25" customHeight="1" x14ac:dyDescent="0.25">
      <c r="A159" s="284"/>
      <c r="B159" s="452"/>
      <c r="C159" s="444"/>
      <c r="D159" s="742"/>
      <c r="E159" s="742"/>
      <c r="F159" s="743">
        <f>Table_1[[#This Row],[Perímetro (m)]]*Table_1[[#This Row],[Altura (m)]]</f>
        <v>0</v>
      </c>
      <c r="G159" s="289"/>
      <c r="H159" s="289"/>
      <c r="I159" s="289"/>
      <c r="J159" s="289"/>
      <c r="K159" s="289"/>
      <c r="L159" s="285"/>
    </row>
    <row r="160" spans="1:12" ht="14.25" customHeight="1" x14ac:dyDescent="0.25">
      <c r="A160" s="284"/>
      <c r="B160" s="452"/>
      <c r="C160" s="444"/>
      <c r="D160" s="742"/>
      <c r="E160" s="742"/>
      <c r="F160" s="743">
        <f>Table_1[[#This Row],[Perímetro (m)]]*Table_1[[#This Row],[Altura (m)]]</f>
        <v>0</v>
      </c>
      <c r="G160" s="289"/>
      <c r="H160" s="289"/>
      <c r="I160" s="289"/>
      <c r="J160" s="289"/>
      <c r="K160" s="289"/>
      <c r="L160" s="285"/>
    </row>
    <row r="161" spans="1:12" ht="14.25" customHeight="1" x14ac:dyDescent="0.25">
      <c r="A161" s="284"/>
      <c r="B161" s="452"/>
      <c r="C161" s="444"/>
      <c r="D161" s="742"/>
      <c r="E161" s="742"/>
      <c r="F161" s="743">
        <f>Table_1[[#This Row],[Perímetro (m)]]*Table_1[[#This Row],[Altura (m)]]</f>
        <v>0</v>
      </c>
      <c r="G161" s="289"/>
      <c r="H161" s="289"/>
      <c r="I161" s="289"/>
      <c r="J161" s="289"/>
      <c r="K161" s="289"/>
      <c r="L161" s="285"/>
    </row>
    <row r="162" spans="1:12" ht="14.25" customHeight="1" x14ac:dyDescent="0.25">
      <c r="A162" s="284"/>
      <c r="B162" s="452"/>
      <c r="C162" s="444"/>
      <c r="D162" s="742"/>
      <c r="E162" s="742"/>
      <c r="F162" s="743">
        <f>Table_1[[#This Row],[Perímetro (m)]]*Table_1[[#This Row],[Altura (m)]]</f>
        <v>0</v>
      </c>
      <c r="G162" s="289"/>
      <c r="H162" s="289"/>
      <c r="I162" s="289"/>
      <c r="J162" s="289"/>
      <c r="K162" s="289"/>
      <c r="L162" s="285"/>
    </row>
    <row r="163" spans="1:12" ht="14.25" customHeight="1" x14ac:dyDescent="0.25">
      <c r="A163" s="284"/>
      <c r="B163" s="452"/>
      <c r="C163" s="444"/>
      <c r="D163" s="742"/>
      <c r="E163" s="742"/>
      <c r="F163" s="743">
        <f>Table_1[[#This Row],[Perímetro (m)]]*Table_1[[#This Row],[Altura (m)]]</f>
        <v>0</v>
      </c>
      <c r="G163" s="289"/>
      <c r="H163" s="289"/>
      <c r="I163" s="289"/>
      <c r="J163" s="289"/>
      <c r="K163" s="289"/>
      <c r="L163" s="285"/>
    </row>
    <row r="164" spans="1:12" ht="14.25" customHeight="1" x14ac:dyDescent="0.25">
      <c r="A164" s="284"/>
      <c r="B164" s="452"/>
      <c r="C164" s="444"/>
      <c r="D164" s="742"/>
      <c r="E164" s="742"/>
      <c r="F164" s="743">
        <f>Table_1[[#This Row],[Perímetro (m)]]*Table_1[[#This Row],[Altura (m)]]</f>
        <v>0</v>
      </c>
      <c r="G164" s="289"/>
      <c r="H164" s="289"/>
      <c r="I164" s="289"/>
      <c r="J164" s="289"/>
      <c r="K164" s="289"/>
      <c r="L164" s="285"/>
    </row>
    <row r="165" spans="1:12" ht="14.25" customHeight="1" x14ac:dyDescent="0.25">
      <c r="A165" s="284"/>
      <c r="B165" s="452"/>
      <c r="C165" s="444"/>
      <c r="D165" s="742"/>
      <c r="E165" s="742"/>
      <c r="F165" s="743">
        <f>Table_1[[#This Row],[Perímetro (m)]]*Table_1[[#This Row],[Altura (m)]]</f>
        <v>0</v>
      </c>
      <c r="G165" s="289"/>
      <c r="H165" s="289"/>
      <c r="I165" s="289"/>
      <c r="J165" s="289"/>
      <c r="K165" s="289"/>
      <c r="L165" s="285"/>
    </row>
    <row r="166" spans="1:12" ht="14.25" customHeight="1" x14ac:dyDescent="0.25">
      <c r="A166" s="284"/>
      <c r="B166" s="452"/>
      <c r="C166" s="444"/>
      <c r="D166" s="742"/>
      <c r="E166" s="742"/>
      <c r="F166" s="743">
        <f>Table_1[[#This Row],[Perímetro (m)]]*Table_1[[#This Row],[Altura (m)]]</f>
        <v>0</v>
      </c>
      <c r="G166" s="289"/>
      <c r="H166" s="289"/>
      <c r="I166" s="289"/>
      <c r="J166" s="289"/>
      <c r="K166" s="289"/>
      <c r="L166" s="285"/>
    </row>
    <row r="167" spans="1:12" ht="14.25" customHeight="1" x14ac:dyDescent="0.25">
      <c r="A167" s="284"/>
      <c r="B167" s="452"/>
      <c r="C167" s="444"/>
      <c r="D167" s="742"/>
      <c r="E167" s="742"/>
      <c r="F167" s="743">
        <f>Table_1[[#This Row],[Perímetro (m)]]*Table_1[[#This Row],[Altura (m)]]</f>
        <v>0</v>
      </c>
      <c r="G167" s="289"/>
      <c r="H167" s="289"/>
      <c r="I167" s="289"/>
      <c r="J167" s="289"/>
      <c r="K167" s="289"/>
      <c r="L167" s="285"/>
    </row>
    <row r="168" spans="1:12" ht="14.25" customHeight="1" x14ac:dyDescent="0.25">
      <c r="A168" s="284"/>
      <c r="B168" s="452"/>
      <c r="C168" s="444"/>
      <c r="D168" s="742"/>
      <c r="E168" s="742"/>
      <c r="F168" s="743">
        <f>Table_1[[#This Row],[Perímetro (m)]]*Table_1[[#This Row],[Altura (m)]]</f>
        <v>0</v>
      </c>
      <c r="G168" s="289"/>
      <c r="H168" s="289"/>
      <c r="I168" s="289"/>
      <c r="J168" s="289"/>
      <c r="K168" s="289"/>
      <c r="L168" s="285"/>
    </row>
    <row r="169" spans="1:12" ht="14.25" customHeight="1" x14ac:dyDescent="0.25">
      <c r="A169" s="284"/>
      <c r="B169" s="452"/>
      <c r="C169" s="444"/>
      <c r="D169" s="742"/>
      <c r="E169" s="742"/>
      <c r="F169" s="743">
        <f>Table_1[[#This Row],[Perímetro (m)]]*Table_1[[#This Row],[Altura (m)]]</f>
        <v>0</v>
      </c>
      <c r="G169" s="289"/>
      <c r="H169" s="289"/>
      <c r="I169" s="289"/>
      <c r="J169" s="289"/>
      <c r="K169" s="289"/>
      <c r="L169" s="285"/>
    </row>
    <row r="170" spans="1:12" ht="14.25" customHeight="1" x14ac:dyDescent="0.25">
      <c r="A170" s="284"/>
      <c r="B170" s="452"/>
      <c r="C170" s="444"/>
      <c r="D170" s="742"/>
      <c r="E170" s="742"/>
      <c r="F170" s="743">
        <f>Table_1[[#This Row],[Perímetro (m)]]*Table_1[[#This Row],[Altura (m)]]</f>
        <v>0</v>
      </c>
      <c r="G170" s="289"/>
      <c r="H170" s="289"/>
      <c r="I170" s="289"/>
      <c r="J170" s="289"/>
      <c r="K170" s="289"/>
      <c r="L170" s="285"/>
    </row>
    <row r="171" spans="1:12" ht="14.25" customHeight="1" x14ac:dyDescent="0.25">
      <c r="A171" s="284"/>
      <c r="B171" s="452"/>
      <c r="C171" s="444"/>
      <c r="D171" s="742"/>
      <c r="E171" s="742"/>
      <c r="F171" s="743">
        <f>Table_1[[#This Row],[Perímetro (m)]]*Table_1[[#This Row],[Altura (m)]]</f>
        <v>0</v>
      </c>
      <c r="G171" s="289"/>
      <c r="H171" s="289"/>
      <c r="I171" s="289"/>
      <c r="J171" s="289"/>
      <c r="K171" s="289"/>
      <c r="L171" s="285"/>
    </row>
    <row r="172" spans="1:12" ht="14.25" customHeight="1" x14ac:dyDescent="0.25">
      <c r="A172" s="284"/>
      <c r="B172" s="452"/>
      <c r="C172" s="444"/>
      <c r="D172" s="742"/>
      <c r="E172" s="742"/>
      <c r="F172" s="743">
        <f>Table_1[[#This Row],[Perímetro (m)]]*Table_1[[#This Row],[Altura (m)]]</f>
        <v>0</v>
      </c>
      <c r="G172" s="289"/>
      <c r="H172" s="289"/>
      <c r="I172" s="289"/>
      <c r="J172" s="289"/>
      <c r="K172" s="289"/>
      <c r="L172" s="285"/>
    </row>
    <row r="173" spans="1:12" ht="14.25" customHeight="1" x14ac:dyDescent="0.25">
      <c r="A173" s="284"/>
      <c r="B173" s="452"/>
      <c r="C173" s="444"/>
      <c r="D173" s="742"/>
      <c r="E173" s="742"/>
      <c r="F173" s="743">
        <f>Table_1[[#This Row],[Perímetro (m)]]*Table_1[[#This Row],[Altura (m)]]</f>
        <v>0</v>
      </c>
      <c r="G173" s="289"/>
      <c r="H173" s="289"/>
      <c r="I173" s="289"/>
      <c r="J173" s="289"/>
      <c r="K173" s="289"/>
      <c r="L173" s="285"/>
    </row>
    <row r="174" spans="1:12" ht="14.25" customHeight="1" x14ac:dyDescent="0.25">
      <c r="A174" s="284"/>
      <c r="B174" s="452"/>
      <c r="C174" s="444"/>
      <c r="D174" s="742"/>
      <c r="E174" s="742"/>
      <c r="F174" s="743">
        <f>Table_1[[#This Row],[Perímetro (m)]]*Table_1[[#This Row],[Altura (m)]]</f>
        <v>0</v>
      </c>
      <c r="G174" s="289"/>
      <c r="H174" s="289"/>
      <c r="I174" s="289"/>
      <c r="J174" s="289"/>
      <c r="K174" s="289"/>
      <c r="L174" s="285"/>
    </row>
    <row r="175" spans="1:12" ht="14.25" customHeight="1" x14ac:dyDescent="0.25">
      <c r="A175" s="284"/>
      <c r="B175" s="452"/>
      <c r="C175" s="444"/>
      <c r="D175" s="742"/>
      <c r="E175" s="742"/>
      <c r="F175" s="743">
        <f>Table_1[[#This Row],[Perímetro (m)]]*Table_1[[#This Row],[Altura (m)]]</f>
        <v>0</v>
      </c>
      <c r="G175" s="289"/>
      <c r="H175" s="289"/>
      <c r="I175" s="289"/>
      <c r="J175" s="289"/>
      <c r="K175" s="289"/>
      <c r="L175" s="285"/>
    </row>
    <row r="176" spans="1:12" ht="14.25" customHeight="1" x14ac:dyDescent="0.25">
      <c r="A176" s="284"/>
      <c r="B176" s="452"/>
      <c r="C176" s="444"/>
      <c r="D176" s="742"/>
      <c r="E176" s="742"/>
      <c r="F176" s="743">
        <f>Table_1[[#This Row],[Perímetro (m)]]*Table_1[[#This Row],[Altura (m)]]</f>
        <v>0</v>
      </c>
      <c r="G176" s="289"/>
      <c r="H176" s="289"/>
      <c r="I176" s="289"/>
      <c r="J176" s="289"/>
      <c r="K176" s="289"/>
      <c r="L176" s="285"/>
    </row>
    <row r="177" spans="1:12" ht="14.25" customHeight="1" x14ac:dyDescent="0.25">
      <c r="A177" s="284"/>
      <c r="B177" s="452"/>
      <c r="C177" s="444"/>
      <c r="D177" s="742"/>
      <c r="E177" s="742"/>
      <c r="F177" s="743">
        <f>Table_1[[#This Row],[Perímetro (m)]]*Table_1[[#This Row],[Altura (m)]]</f>
        <v>0</v>
      </c>
      <c r="G177" s="289"/>
      <c r="H177" s="289"/>
      <c r="I177" s="289"/>
      <c r="J177" s="289"/>
      <c r="K177" s="289"/>
      <c r="L177" s="285"/>
    </row>
    <row r="178" spans="1:12" ht="14.25" customHeight="1" x14ac:dyDescent="0.25">
      <c r="A178" s="284"/>
      <c r="B178" s="452"/>
      <c r="C178" s="444"/>
      <c r="D178" s="742"/>
      <c r="E178" s="742"/>
      <c r="F178" s="743">
        <f>Table_1[[#This Row],[Perímetro (m)]]*Table_1[[#This Row],[Altura (m)]]</f>
        <v>0</v>
      </c>
      <c r="G178" s="289"/>
      <c r="H178" s="289"/>
      <c r="I178" s="289"/>
      <c r="J178" s="289"/>
      <c r="K178" s="289"/>
      <c r="L178" s="285"/>
    </row>
    <row r="179" spans="1:12" ht="14.25" customHeight="1" x14ac:dyDescent="0.25">
      <c r="A179" s="284"/>
      <c r="B179" s="452"/>
      <c r="C179" s="444"/>
      <c r="D179" s="742"/>
      <c r="E179" s="742"/>
      <c r="F179" s="743">
        <f>Table_1[[#This Row],[Perímetro (m)]]*Table_1[[#This Row],[Altura (m)]]</f>
        <v>0</v>
      </c>
      <c r="G179" s="289"/>
      <c r="H179" s="289"/>
      <c r="I179" s="289"/>
      <c r="J179" s="289"/>
      <c r="K179" s="289"/>
      <c r="L179" s="285"/>
    </row>
    <row r="180" spans="1:12" ht="14.25" customHeight="1" x14ac:dyDescent="0.25">
      <c r="A180" s="284"/>
      <c r="B180" s="452"/>
      <c r="C180" s="444"/>
      <c r="D180" s="742"/>
      <c r="E180" s="742"/>
      <c r="F180" s="743">
        <f>Table_1[[#This Row],[Perímetro (m)]]*Table_1[[#This Row],[Altura (m)]]</f>
        <v>0</v>
      </c>
      <c r="G180" s="289"/>
      <c r="H180" s="289"/>
      <c r="I180" s="289"/>
      <c r="J180" s="289"/>
      <c r="K180" s="289"/>
      <c r="L180" s="285"/>
    </row>
    <row r="181" spans="1:12" ht="14.25" customHeight="1" x14ac:dyDescent="0.25">
      <c r="A181" s="284"/>
      <c r="B181" s="452"/>
      <c r="C181" s="444"/>
      <c r="D181" s="742"/>
      <c r="E181" s="742"/>
      <c r="F181" s="743">
        <f>Table_1[[#This Row],[Perímetro (m)]]*Table_1[[#This Row],[Altura (m)]]</f>
        <v>0</v>
      </c>
      <c r="G181" s="289"/>
      <c r="H181" s="289"/>
      <c r="I181" s="289"/>
      <c r="J181" s="289"/>
      <c r="K181" s="289"/>
      <c r="L181" s="285"/>
    </row>
    <row r="182" spans="1:12" ht="14.25" customHeight="1" x14ac:dyDescent="0.25">
      <c r="A182" s="284"/>
      <c r="B182" s="452"/>
      <c r="C182" s="444"/>
      <c r="D182" s="742"/>
      <c r="E182" s="742"/>
      <c r="F182" s="743">
        <f>Table_1[[#This Row],[Perímetro (m)]]*Table_1[[#This Row],[Altura (m)]]</f>
        <v>0</v>
      </c>
      <c r="G182" s="289"/>
      <c r="H182" s="289"/>
      <c r="I182" s="289"/>
      <c r="J182" s="289"/>
      <c r="K182" s="289"/>
      <c r="L182" s="285"/>
    </row>
    <row r="183" spans="1:12" ht="14.25" customHeight="1" x14ac:dyDescent="0.25">
      <c r="A183" s="284"/>
      <c r="B183" s="452"/>
      <c r="C183" s="444"/>
      <c r="D183" s="742"/>
      <c r="E183" s="742"/>
      <c r="F183" s="743">
        <f>Table_1[[#This Row],[Perímetro (m)]]*Table_1[[#This Row],[Altura (m)]]</f>
        <v>0</v>
      </c>
      <c r="G183" s="289"/>
      <c r="H183" s="289"/>
      <c r="I183" s="289"/>
      <c r="J183" s="289"/>
      <c r="K183" s="289"/>
      <c r="L183" s="285"/>
    </row>
    <row r="184" spans="1:12" ht="14.25" customHeight="1" x14ac:dyDescent="0.25">
      <c r="A184" s="284"/>
      <c r="B184" s="452"/>
      <c r="C184" s="444"/>
      <c r="D184" s="742"/>
      <c r="E184" s="742"/>
      <c r="F184" s="743">
        <f>Table_1[[#This Row],[Perímetro (m)]]*Table_1[[#This Row],[Altura (m)]]</f>
        <v>0</v>
      </c>
      <c r="G184" s="289"/>
      <c r="H184" s="289"/>
      <c r="I184" s="289"/>
      <c r="J184" s="289"/>
      <c r="K184" s="289"/>
      <c r="L184" s="285"/>
    </row>
    <row r="185" spans="1:12" ht="14.25" customHeight="1" x14ac:dyDescent="0.25">
      <c r="A185" s="284"/>
      <c r="B185" s="452"/>
      <c r="C185" s="444"/>
      <c r="D185" s="742"/>
      <c r="E185" s="742"/>
      <c r="F185" s="743">
        <f>Table_1[[#This Row],[Perímetro (m)]]*Table_1[[#This Row],[Altura (m)]]</f>
        <v>0</v>
      </c>
      <c r="G185" s="289"/>
      <c r="H185" s="289"/>
      <c r="I185" s="289"/>
      <c r="J185" s="289"/>
      <c r="K185" s="289"/>
      <c r="L185" s="285"/>
    </row>
    <row r="186" spans="1:12" ht="14.25" customHeight="1" x14ac:dyDescent="0.25">
      <c r="A186" s="284"/>
      <c r="B186" s="452"/>
      <c r="C186" s="444"/>
      <c r="D186" s="742"/>
      <c r="E186" s="742"/>
      <c r="F186" s="743">
        <f>Table_1[[#This Row],[Perímetro (m)]]*Table_1[[#This Row],[Altura (m)]]</f>
        <v>0</v>
      </c>
      <c r="G186" s="289"/>
      <c r="H186" s="289"/>
      <c r="I186" s="289"/>
      <c r="J186" s="289"/>
      <c r="K186" s="289"/>
      <c r="L186" s="285"/>
    </row>
    <row r="187" spans="1:12" ht="14.25" customHeight="1" x14ac:dyDescent="0.25">
      <c r="A187" s="284"/>
      <c r="B187" s="452"/>
      <c r="C187" s="444"/>
      <c r="D187" s="742"/>
      <c r="E187" s="742"/>
      <c r="F187" s="743">
        <f>Table_1[[#This Row],[Perímetro (m)]]*Table_1[[#This Row],[Altura (m)]]</f>
        <v>0</v>
      </c>
      <c r="G187" s="289"/>
      <c r="H187" s="289"/>
      <c r="I187" s="289"/>
      <c r="J187" s="289"/>
      <c r="K187" s="289"/>
      <c r="L187" s="285"/>
    </row>
    <row r="188" spans="1:12" ht="14.25" customHeight="1" x14ac:dyDescent="0.25">
      <c r="A188" s="284"/>
      <c r="B188" s="452"/>
      <c r="C188" s="444"/>
      <c r="D188" s="742"/>
      <c r="E188" s="742"/>
      <c r="F188" s="743">
        <f>Table_1[[#This Row],[Perímetro (m)]]*Table_1[[#This Row],[Altura (m)]]</f>
        <v>0</v>
      </c>
      <c r="G188" s="289"/>
      <c r="H188" s="289"/>
      <c r="I188" s="289"/>
      <c r="J188" s="289"/>
      <c r="K188" s="289"/>
      <c r="L188" s="285"/>
    </row>
    <row r="189" spans="1:12" ht="14.25" customHeight="1" x14ac:dyDescent="0.25">
      <c r="A189" s="284"/>
      <c r="B189" s="452"/>
      <c r="C189" s="444"/>
      <c r="D189" s="742"/>
      <c r="E189" s="742"/>
      <c r="F189" s="743">
        <f>Table_1[[#This Row],[Perímetro (m)]]*Table_1[[#This Row],[Altura (m)]]</f>
        <v>0</v>
      </c>
      <c r="G189" s="289"/>
      <c r="H189" s="289"/>
      <c r="I189" s="289"/>
      <c r="J189" s="289"/>
      <c r="K189" s="289"/>
      <c r="L189" s="285"/>
    </row>
    <row r="190" spans="1:12" ht="14.25" customHeight="1" x14ac:dyDescent="0.25">
      <c r="A190" s="284"/>
      <c r="B190" s="452"/>
      <c r="C190" s="444"/>
      <c r="D190" s="742"/>
      <c r="E190" s="742"/>
      <c r="F190" s="743">
        <f>Table_1[[#This Row],[Perímetro (m)]]*Table_1[[#This Row],[Altura (m)]]</f>
        <v>0</v>
      </c>
      <c r="G190" s="289"/>
      <c r="H190" s="289"/>
      <c r="I190" s="289"/>
      <c r="J190" s="289"/>
      <c r="K190" s="289"/>
      <c r="L190" s="285"/>
    </row>
    <row r="191" spans="1:12" ht="14.25" customHeight="1" x14ac:dyDescent="0.25">
      <c r="A191" s="284"/>
      <c r="B191" s="452"/>
      <c r="C191" s="444"/>
      <c r="D191" s="742"/>
      <c r="E191" s="742"/>
      <c r="F191" s="743">
        <f>Table_1[[#This Row],[Perímetro (m)]]*Table_1[[#This Row],[Altura (m)]]</f>
        <v>0</v>
      </c>
      <c r="G191" s="289"/>
      <c r="H191" s="289"/>
      <c r="I191" s="289"/>
      <c r="J191" s="289"/>
      <c r="K191" s="289"/>
      <c r="L191" s="285"/>
    </row>
    <row r="192" spans="1:12" ht="14.25" customHeight="1" x14ac:dyDescent="0.25">
      <c r="A192" s="284"/>
      <c r="B192" s="452"/>
      <c r="C192" s="444"/>
      <c r="D192" s="742"/>
      <c r="E192" s="742"/>
      <c r="F192" s="743">
        <f>Table_1[[#This Row],[Perímetro (m)]]*Table_1[[#This Row],[Altura (m)]]</f>
        <v>0</v>
      </c>
      <c r="G192" s="289"/>
      <c r="H192" s="289"/>
      <c r="I192" s="289"/>
      <c r="J192" s="289"/>
      <c r="K192" s="289"/>
      <c r="L192" s="285"/>
    </row>
    <row r="193" spans="1:12" ht="14.25" customHeight="1" x14ac:dyDescent="0.25">
      <c r="A193" s="284"/>
      <c r="B193" s="452"/>
      <c r="C193" s="444"/>
      <c r="D193" s="742"/>
      <c r="E193" s="742"/>
      <c r="F193" s="743">
        <f>Table_1[[#This Row],[Perímetro (m)]]*Table_1[[#This Row],[Altura (m)]]</f>
        <v>0</v>
      </c>
      <c r="G193" s="289"/>
      <c r="H193" s="289"/>
      <c r="I193" s="289"/>
      <c r="J193" s="289"/>
      <c r="K193" s="289"/>
      <c r="L193" s="285"/>
    </row>
    <row r="194" spans="1:12" ht="14.25" customHeight="1" x14ac:dyDescent="0.25">
      <c r="A194" s="284"/>
      <c r="B194" s="452"/>
      <c r="C194" s="444"/>
      <c r="D194" s="742"/>
      <c r="E194" s="742"/>
      <c r="F194" s="743">
        <f>Table_1[[#This Row],[Perímetro (m)]]*Table_1[[#This Row],[Altura (m)]]</f>
        <v>0</v>
      </c>
      <c r="G194" s="289"/>
      <c r="H194" s="289"/>
      <c r="I194" s="289"/>
      <c r="J194" s="289"/>
      <c r="K194" s="289"/>
      <c r="L194" s="285"/>
    </row>
    <row r="195" spans="1:12" ht="14.25" customHeight="1" x14ac:dyDescent="0.25">
      <c r="A195" s="284"/>
      <c r="B195" s="452"/>
      <c r="C195" s="444"/>
      <c r="D195" s="742"/>
      <c r="E195" s="742"/>
      <c r="F195" s="743">
        <f>Table_1[[#This Row],[Perímetro (m)]]*Table_1[[#This Row],[Altura (m)]]</f>
        <v>0</v>
      </c>
      <c r="G195" s="289"/>
      <c r="H195" s="289"/>
      <c r="I195" s="289"/>
      <c r="J195" s="289"/>
      <c r="K195" s="289"/>
      <c r="L195" s="285"/>
    </row>
    <row r="196" spans="1:12" ht="14.25" customHeight="1" x14ac:dyDescent="0.25">
      <c r="A196" s="284"/>
      <c r="B196" s="452"/>
      <c r="C196" s="444"/>
      <c r="D196" s="742"/>
      <c r="E196" s="742"/>
      <c r="F196" s="743">
        <f>Table_1[[#This Row],[Perímetro (m)]]*Table_1[[#This Row],[Altura (m)]]</f>
        <v>0</v>
      </c>
      <c r="G196" s="289"/>
      <c r="H196" s="289"/>
      <c r="I196" s="289"/>
      <c r="J196" s="289"/>
      <c r="K196" s="289"/>
      <c r="L196" s="285"/>
    </row>
    <row r="197" spans="1:12" ht="14.25" customHeight="1" x14ac:dyDescent="0.25">
      <c r="A197" s="284"/>
      <c r="B197" s="452"/>
      <c r="C197" s="444"/>
      <c r="D197" s="742"/>
      <c r="E197" s="742"/>
      <c r="F197" s="743">
        <f>Table_1[[#This Row],[Perímetro (m)]]*Table_1[[#This Row],[Altura (m)]]</f>
        <v>0</v>
      </c>
      <c r="G197" s="289"/>
      <c r="H197" s="289"/>
      <c r="I197" s="289"/>
      <c r="J197" s="289"/>
      <c r="K197" s="289"/>
      <c r="L197" s="285"/>
    </row>
    <row r="198" spans="1:12" ht="14.25" customHeight="1" x14ac:dyDescent="0.25">
      <c r="A198" s="284"/>
      <c r="B198" s="452"/>
      <c r="C198" s="444"/>
      <c r="D198" s="742"/>
      <c r="E198" s="742"/>
      <c r="F198" s="743">
        <f>Table_1[[#This Row],[Perímetro (m)]]*Table_1[[#This Row],[Altura (m)]]</f>
        <v>0</v>
      </c>
      <c r="G198" s="289"/>
      <c r="H198" s="289"/>
      <c r="I198" s="289"/>
      <c r="J198" s="289"/>
      <c r="K198" s="289"/>
      <c r="L198" s="285"/>
    </row>
    <row r="199" spans="1:12" ht="14.25" customHeight="1" x14ac:dyDescent="0.25">
      <c r="A199" s="284"/>
      <c r="B199" s="452"/>
      <c r="C199" s="444"/>
      <c r="D199" s="742"/>
      <c r="E199" s="742"/>
      <c r="F199" s="743">
        <f>Table_1[[#This Row],[Perímetro (m)]]*Table_1[[#This Row],[Altura (m)]]</f>
        <v>0</v>
      </c>
      <c r="G199" s="289"/>
      <c r="H199" s="289"/>
      <c r="I199" s="289"/>
      <c r="J199" s="289"/>
      <c r="K199" s="289"/>
      <c r="L199" s="285"/>
    </row>
    <row r="200" spans="1:12" ht="14.25" customHeight="1" x14ac:dyDescent="0.25">
      <c r="A200" s="284"/>
      <c r="B200" s="452"/>
      <c r="C200" s="444"/>
      <c r="D200" s="742"/>
      <c r="E200" s="742"/>
      <c r="F200" s="743">
        <f>Table_1[[#This Row],[Perímetro (m)]]*Table_1[[#This Row],[Altura (m)]]</f>
        <v>0</v>
      </c>
      <c r="G200" s="289"/>
      <c r="H200" s="289"/>
      <c r="I200" s="289"/>
      <c r="J200" s="289"/>
      <c r="K200" s="289"/>
      <c r="L200" s="285"/>
    </row>
    <row r="201" spans="1:12" ht="14.25" customHeight="1" x14ac:dyDescent="0.25">
      <c r="A201" s="284"/>
      <c r="B201" s="452"/>
      <c r="C201" s="444"/>
      <c r="D201" s="742"/>
      <c r="E201" s="742"/>
      <c r="F201" s="743">
        <f>Table_1[[#This Row],[Perímetro (m)]]*Table_1[[#This Row],[Altura (m)]]</f>
        <v>0</v>
      </c>
      <c r="G201" s="289"/>
      <c r="H201" s="289"/>
      <c r="I201" s="289"/>
      <c r="J201" s="289"/>
      <c r="K201" s="289"/>
      <c r="L201" s="285"/>
    </row>
    <row r="202" spans="1:12" ht="14.25" customHeight="1" x14ac:dyDescent="0.25">
      <c r="A202" s="284"/>
      <c r="B202" s="452"/>
      <c r="C202" s="444"/>
      <c r="D202" s="742"/>
      <c r="E202" s="742"/>
      <c r="F202" s="743">
        <f>Table_1[[#This Row],[Perímetro (m)]]*Table_1[[#This Row],[Altura (m)]]</f>
        <v>0</v>
      </c>
      <c r="G202" s="289"/>
      <c r="H202" s="289"/>
      <c r="I202" s="289"/>
      <c r="J202" s="289"/>
      <c r="K202" s="289"/>
      <c r="L202" s="285"/>
    </row>
    <row r="203" spans="1:12" ht="14.25" customHeight="1" x14ac:dyDescent="0.25">
      <c r="A203" s="284"/>
      <c r="B203" s="452"/>
      <c r="C203" s="444"/>
      <c r="D203" s="742"/>
      <c r="E203" s="742"/>
      <c r="F203" s="743">
        <f>Table_1[[#This Row],[Perímetro (m)]]*Table_1[[#This Row],[Altura (m)]]</f>
        <v>0</v>
      </c>
      <c r="G203" s="289"/>
      <c r="H203" s="289"/>
      <c r="I203" s="289"/>
      <c r="J203" s="289"/>
      <c r="K203" s="289"/>
      <c r="L203" s="285"/>
    </row>
    <row r="204" spans="1:12" ht="14.25" customHeight="1" x14ac:dyDescent="0.25">
      <c r="A204" s="284"/>
      <c r="B204" s="452"/>
      <c r="C204" s="444"/>
      <c r="D204" s="742"/>
      <c r="E204" s="742"/>
      <c r="F204" s="743">
        <f>Table_1[[#This Row],[Perímetro (m)]]*Table_1[[#This Row],[Altura (m)]]</f>
        <v>0</v>
      </c>
      <c r="G204" s="289"/>
      <c r="H204" s="289"/>
      <c r="I204" s="289"/>
      <c r="J204" s="289"/>
      <c r="K204" s="289"/>
      <c r="L204" s="285"/>
    </row>
    <row r="205" spans="1:12" ht="14.25" customHeight="1" x14ac:dyDescent="0.25">
      <c r="A205" s="284"/>
      <c r="B205" s="452"/>
      <c r="C205" s="444"/>
      <c r="D205" s="742"/>
      <c r="E205" s="742"/>
      <c r="F205" s="743">
        <f>Table_1[[#This Row],[Perímetro (m)]]*Table_1[[#This Row],[Altura (m)]]</f>
        <v>0</v>
      </c>
      <c r="G205" s="289"/>
      <c r="H205" s="289"/>
      <c r="I205" s="289"/>
      <c r="J205" s="289"/>
      <c r="K205" s="289"/>
      <c r="L205" s="285"/>
    </row>
    <row r="206" spans="1:12" ht="14.25" customHeight="1" x14ac:dyDescent="0.25">
      <c r="A206" s="284"/>
      <c r="B206" s="452"/>
      <c r="C206" s="444"/>
      <c r="D206" s="742"/>
      <c r="E206" s="742"/>
      <c r="F206" s="743">
        <f>Table_1[[#This Row],[Perímetro (m)]]*Table_1[[#This Row],[Altura (m)]]</f>
        <v>0</v>
      </c>
      <c r="G206" s="289"/>
      <c r="H206" s="289"/>
      <c r="I206" s="289"/>
      <c r="J206" s="289"/>
      <c r="K206" s="289"/>
      <c r="L206" s="285"/>
    </row>
    <row r="207" spans="1:12" ht="14.25" customHeight="1" x14ac:dyDescent="0.25">
      <c r="A207" s="284"/>
      <c r="B207" s="452"/>
      <c r="C207" s="444"/>
      <c r="D207" s="742"/>
      <c r="E207" s="742"/>
      <c r="F207" s="743">
        <f>Table_1[[#This Row],[Perímetro (m)]]*Table_1[[#This Row],[Altura (m)]]</f>
        <v>0</v>
      </c>
      <c r="G207" s="289"/>
      <c r="H207" s="289"/>
      <c r="I207" s="289"/>
      <c r="J207" s="289"/>
      <c r="K207" s="289"/>
      <c r="L207" s="285"/>
    </row>
    <row r="208" spans="1:12" ht="14.25" customHeight="1" x14ac:dyDescent="0.25">
      <c r="A208" s="284"/>
      <c r="B208" s="452"/>
      <c r="C208" s="444"/>
      <c r="D208" s="742"/>
      <c r="E208" s="742"/>
      <c r="F208" s="743">
        <f>Table_1[[#This Row],[Perímetro (m)]]*Table_1[[#This Row],[Altura (m)]]</f>
        <v>0</v>
      </c>
      <c r="G208" s="289"/>
      <c r="H208" s="289"/>
      <c r="I208" s="289"/>
      <c r="J208" s="289"/>
      <c r="K208" s="289"/>
      <c r="L208" s="285"/>
    </row>
    <row r="209" spans="1:12" ht="14.25" customHeight="1" x14ac:dyDescent="0.25">
      <c r="A209" s="284"/>
      <c r="B209" s="452"/>
      <c r="C209" s="444"/>
      <c r="D209" s="742"/>
      <c r="E209" s="742"/>
      <c r="F209" s="743">
        <f>Table_1[[#This Row],[Perímetro (m)]]*Table_1[[#This Row],[Altura (m)]]</f>
        <v>0</v>
      </c>
      <c r="G209" s="289"/>
      <c r="H209" s="289"/>
      <c r="I209" s="289"/>
      <c r="J209" s="289"/>
      <c r="K209" s="289"/>
      <c r="L209" s="285"/>
    </row>
    <row r="210" spans="1:12" ht="14.25" customHeight="1" x14ac:dyDescent="0.25">
      <c r="A210" s="284"/>
      <c r="B210" s="452"/>
      <c r="C210" s="444"/>
      <c r="D210" s="742"/>
      <c r="E210" s="742"/>
      <c r="F210" s="743">
        <f>Table_1[[#This Row],[Perímetro (m)]]*Table_1[[#This Row],[Altura (m)]]</f>
        <v>0</v>
      </c>
      <c r="G210" s="289"/>
      <c r="H210" s="289"/>
      <c r="I210" s="289"/>
      <c r="J210" s="289"/>
      <c r="K210" s="289"/>
      <c r="L210" s="285"/>
    </row>
    <row r="211" spans="1:12" ht="14.25" customHeight="1" x14ac:dyDescent="0.25">
      <c r="A211" s="284"/>
      <c r="B211" s="452"/>
      <c r="C211" s="444"/>
      <c r="D211" s="742"/>
      <c r="E211" s="742"/>
      <c r="F211" s="743">
        <f>Table_1[[#This Row],[Perímetro (m)]]*Table_1[[#This Row],[Altura (m)]]</f>
        <v>0</v>
      </c>
      <c r="G211" s="289"/>
      <c r="H211" s="289"/>
      <c r="I211" s="289"/>
      <c r="J211" s="289"/>
      <c r="K211" s="289"/>
      <c r="L211" s="285"/>
    </row>
    <row r="212" spans="1:12" ht="14.25" customHeight="1" x14ac:dyDescent="0.25">
      <c r="A212" s="284"/>
      <c r="B212" s="452"/>
      <c r="C212" s="444"/>
      <c r="D212" s="742"/>
      <c r="E212" s="742"/>
      <c r="F212" s="743">
        <f>Table_1[[#This Row],[Perímetro (m)]]*Table_1[[#This Row],[Altura (m)]]</f>
        <v>0</v>
      </c>
      <c r="G212" s="289"/>
      <c r="H212" s="289"/>
      <c r="I212" s="289"/>
      <c r="J212" s="289"/>
      <c r="K212" s="289"/>
      <c r="L212" s="285"/>
    </row>
    <row r="213" spans="1:12" ht="14.25" customHeight="1" x14ac:dyDescent="0.25">
      <c r="A213" s="284"/>
      <c r="B213" s="452"/>
      <c r="C213" s="444"/>
      <c r="D213" s="742"/>
      <c r="E213" s="742"/>
      <c r="F213" s="743">
        <f>Table_1[[#This Row],[Perímetro (m)]]*Table_1[[#This Row],[Altura (m)]]</f>
        <v>0</v>
      </c>
      <c r="G213" s="289"/>
      <c r="H213" s="289"/>
      <c r="I213" s="289"/>
      <c r="J213" s="289"/>
      <c r="K213" s="289"/>
      <c r="L213" s="285"/>
    </row>
    <row r="214" spans="1:12" ht="14.25" customHeight="1" x14ac:dyDescent="0.25">
      <c r="A214" s="284"/>
      <c r="B214" s="452"/>
      <c r="C214" s="444"/>
      <c r="D214" s="742"/>
      <c r="E214" s="742"/>
      <c r="F214" s="743">
        <f>Table_1[[#This Row],[Perímetro (m)]]*Table_1[[#This Row],[Altura (m)]]</f>
        <v>0</v>
      </c>
      <c r="G214" s="289"/>
      <c r="H214" s="289"/>
      <c r="I214" s="289"/>
      <c r="J214" s="289"/>
      <c r="K214" s="289"/>
      <c r="L214" s="285"/>
    </row>
    <row r="215" spans="1:12" ht="14.25" customHeight="1" x14ac:dyDescent="0.25">
      <c r="A215" s="284"/>
      <c r="B215" s="452"/>
      <c r="C215" s="444"/>
      <c r="D215" s="742"/>
      <c r="E215" s="742"/>
      <c r="F215" s="743">
        <f>Table_1[[#This Row],[Perímetro (m)]]*Table_1[[#This Row],[Altura (m)]]</f>
        <v>0</v>
      </c>
      <c r="G215" s="289"/>
      <c r="H215" s="289"/>
      <c r="I215" s="289"/>
      <c r="J215" s="289"/>
      <c r="K215" s="289"/>
      <c r="L215" s="285"/>
    </row>
    <row r="216" spans="1:12" ht="14.25" customHeight="1" x14ac:dyDescent="0.25">
      <c r="A216" s="284"/>
      <c r="B216" s="452"/>
      <c r="C216" s="444"/>
      <c r="D216" s="742"/>
      <c r="E216" s="742"/>
      <c r="F216" s="743">
        <f>Table_1[[#This Row],[Perímetro (m)]]*Table_1[[#This Row],[Altura (m)]]</f>
        <v>0</v>
      </c>
      <c r="G216" s="289"/>
      <c r="H216" s="289"/>
      <c r="I216" s="289"/>
      <c r="J216" s="289"/>
      <c r="K216" s="289"/>
      <c r="L216" s="285"/>
    </row>
    <row r="217" spans="1:12" ht="14.25" customHeight="1" x14ac:dyDescent="0.25">
      <c r="A217" s="284"/>
      <c r="B217" s="452"/>
      <c r="C217" s="444"/>
      <c r="D217" s="742"/>
      <c r="E217" s="742"/>
      <c r="F217" s="743">
        <f>Table_1[[#This Row],[Perímetro (m)]]*Table_1[[#This Row],[Altura (m)]]</f>
        <v>0</v>
      </c>
      <c r="G217" s="289"/>
      <c r="H217" s="289"/>
      <c r="I217" s="289"/>
      <c r="J217" s="289"/>
      <c r="K217" s="289"/>
      <c r="L217" s="285"/>
    </row>
    <row r="218" spans="1:12" ht="14.25" customHeight="1" x14ac:dyDescent="0.25">
      <c r="A218" s="284"/>
      <c r="B218" s="452"/>
      <c r="C218" s="444"/>
      <c r="D218" s="742"/>
      <c r="E218" s="742"/>
      <c r="F218" s="743">
        <f>Table_1[[#This Row],[Perímetro (m)]]*Table_1[[#This Row],[Altura (m)]]</f>
        <v>0</v>
      </c>
      <c r="G218" s="289"/>
      <c r="H218" s="289"/>
      <c r="I218" s="289"/>
      <c r="J218" s="289"/>
      <c r="K218" s="289"/>
      <c r="L218" s="285"/>
    </row>
    <row r="219" spans="1:12" ht="14.25" customHeight="1" x14ac:dyDescent="0.25">
      <c r="A219" s="284"/>
      <c r="B219" s="452"/>
      <c r="C219" s="444"/>
      <c r="D219" s="742"/>
      <c r="E219" s="742"/>
      <c r="F219" s="743">
        <f>Table_1[[#This Row],[Perímetro (m)]]*Table_1[[#This Row],[Altura (m)]]</f>
        <v>0</v>
      </c>
      <c r="G219" s="289"/>
      <c r="H219" s="289"/>
      <c r="I219" s="289"/>
      <c r="J219" s="289"/>
      <c r="K219" s="289"/>
      <c r="L219" s="285"/>
    </row>
    <row r="220" spans="1:12" ht="14.25" customHeight="1" x14ac:dyDescent="0.25">
      <c r="A220" s="284"/>
      <c r="B220" s="452"/>
      <c r="C220" s="444"/>
      <c r="D220" s="742"/>
      <c r="E220" s="742"/>
      <c r="F220" s="743">
        <f>Table_1[[#This Row],[Perímetro (m)]]*Table_1[[#This Row],[Altura (m)]]</f>
        <v>0</v>
      </c>
      <c r="G220" s="289"/>
      <c r="H220" s="289"/>
      <c r="I220" s="289"/>
      <c r="J220" s="289"/>
      <c r="K220" s="289"/>
      <c r="L220" s="285"/>
    </row>
    <row r="221" spans="1:12" ht="14.25" customHeight="1" x14ac:dyDescent="0.25">
      <c r="A221" s="284"/>
      <c r="B221" s="452"/>
      <c r="C221" s="444"/>
      <c r="D221" s="742"/>
      <c r="E221" s="742"/>
      <c r="F221" s="743">
        <f>Table_1[[#This Row],[Perímetro (m)]]*Table_1[[#This Row],[Altura (m)]]</f>
        <v>0</v>
      </c>
      <c r="G221" s="289"/>
      <c r="H221" s="289"/>
      <c r="I221" s="289"/>
      <c r="J221" s="289"/>
      <c r="K221" s="289"/>
      <c r="L221" s="285"/>
    </row>
    <row r="222" spans="1:12" ht="14.25" customHeight="1" x14ac:dyDescent="0.25">
      <c r="A222" s="284"/>
      <c r="B222" s="452"/>
      <c r="C222" s="444"/>
      <c r="D222" s="742"/>
      <c r="E222" s="742"/>
      <c r="F222" s="743">
        <f>Table_1[[#This Row],[Perímetro (m)]]*Table_1[[#This Row],[Altura (m)]]</f>
        <v>0</v>
      </c>
      <c r="G222" s="289"/>
      <c r="H222" s="289"/>
      <c r="I222" s="289"/>
      <c r="J222" s="289"/>
      <c r="K222" s="289"/>
      <c r="L222" s="285"/>
    </row>
    <row r="223" spans="1:12" ht="14.25" customHeight="1" x14ac:dyDescent="0.25">
      <c r="A223" s="284"/>
      <c r="B223" s="452"/>
      <c r="C223" s="444"/>
      <c r="D223" s="742"/>
      <c r="E223" s="742"/>
      <c r="F223" s="743">
        <f>Table_1[[#This Row],[Perímetro (m)]]*Table_1[[#This Row],[Altura (m)]]</f>
        <v>0</v>
      </c>
      <c r="G223" s="289"/>
      <c r="H223" s="289"/>
      <c r="I223" s="289"/>
      <c r="J223" s="289"/>
      <c r="K223" s="289"/>
      <c r="L223" s="285"/>
    </row>
    <row r="224" spans="1:12" ht="14.25" customHeight="1" x14ac:dyDescent="0.25">
      <c r="A224" s="284"/>
      <c r="B224" s="452"/>
      <c r="C224" s="444"/>
      <c r="D224" s="742"/>
      <c r="E224" s="742"/>
      <c r="F224" s="743">
        <f>Table_1[[#This Row],[Perímetro (m)]]*Table_1[[#This Row],[Altura (m)]]</f>
        <v>0</v>
      </c>
      <c r="G224" s="289"/>
      <c r="H224" s="289"/>
      <c r="I224" s="289"/>
      <c r="J224" s="289"/>
      <c r="K224" s="289"/>
      <c r="L224" s="285"/>
    </row>
    <row r="225" spans="1:12" ht="14.25" customHeight="1" x14ac:dyDescent="0.25">
      <c r="A225" s="284"/>
      <c r="B225" s="289"/>
      <c r="C225" s="289"/>
      <c r="D225" s="746"/>
      <c r="E225" s="746"/>
      <c r="F225" s="746"/>
      <c r="G225" s="289"/>
      <c r="H225" s="289"/>
      <c r="I225" s="289"/>
      <c r="J225" s="289"/>
      <c r="K225" s="289"/>
      <c r="L225" s="285"/>
    </row>
    <row r="226" spans="1:12" ht="14.25" customHeight="1" thickBot="1" x14ac:dyDescent="0.3">
      <c r="A226" s="297"/>
      <c r="B226" s="289"/>
      <c r="C226" s="289"/>
      <c r="D226" s="746"/>
      <c r="E226" s="746"/>
      <c r="F226" s="746"/>
      <c r="G226" s="298"/>
      <c r="H226" s="298"/>
      <c r="I226" s="298"/>
      <c r="J226" s="298"/>
      <c r="K226" s="298"/>
      <c r="L226" s="299"/>
    </row>
    <row r="227" spans="1:12" ht="14.25" customHeight="1" x14ac:dyDescent="0.25">
      <c r="A227" s="289"/>
      <c r="B227" s="289"/>
      <c r="C227" s="289"/>
      <c r="D227" s="289"/>
      <c r="E227" s="289"/>
      <c r="F227" s="289"/>
      <c r="G227" s="289"/>
      <c r="H227" s="289"/>
      <c r="I227" s="289"/>
      <c r="J227" s="289"/>
      <c r="K227" s="289"/>
      <c r="L227" s="289"/>
    </row>
    <row r="228" spans="1:12" ht="14.25" customHeight="1" thickBot="1" x14ac:dyDescent="0.3">
      <c r="A228" s="289"/>
      <c r="B228" s="298"/>
      <c r="C228" s="298"/>
      <c r="D228" s="298"/>
      <c r="E228" s="298"/>
      <c r="F228" s="298"/>
      <c r="G228" s="289"/>
      <c r="H228" s="289"/>
      <c r="I228" s="289"/>
      <c r="J228" s="289"/>
      <c r="K228" s="289"/>
      <c r="L228" s="289"/>
    </row>
    <row r="229" spans="1:12" ht="14.25" customHeight="1" x14ac:dyDescent="0.25">
      <c r="A229" s="289"/>
      <c r="G229" s="289"/>
      <c r="H229" s="289"/>
      <c r="I229" s="289"/>
      <c r="J229" s="289"/>
      <c r="K229" s="289"/>
      <c r="L229" s="289"/>
    </row>
    <row r="230" spans="1:12" ht="14.25" customHeight="1" x14ac:dyDescent="0.25">
      <c r="A230" s="289"/>
      <c r="G230" s="289"/>
      <c r="H230" s="289"/>
      <c r="I230" s="289"/>
      <c r="J230" s="289"/>
      <c r="K230" s="289"/>
      <c r="L230" s="289"/>
    </row>
    <row r="231" spans="1:12" ht="14.25" customHeight="1" x14ac:dyDescent="0.25">
      <c r="A231" s="289"/>
      <c r="G231" s="289"/>
      <c r="H231" s="289"/>
      <c r="I231" s="289"/>
      <c r="J231" s="289"/>
      <c r="K231" s="289"/>
      <c r="L231" s="289"/>
    </row>
    <row r="232" spans="1:12" ht="14.25" customHeight="1" x14ac:dyDescent="0.25">
      <c r="A232" s="289"/>
      <c r="G232" s="289"/>
      <c r="H232" s="289"/>
      <c r="I232" s="289"/>
      <c r="J232" s="289"/>
      <c r="K232" s="289"/>
      <c r="L232" s="289"/>
    </row>
    <row r="233" spans="1:12" ht="14.25" customHeight="1" x14ac:dyDescent="0.25">
      <c r="A233" s="289"/>
      <c r="G233" s="289"/>
      <c r="H233" s="289"/>
      <c r="I233" s="289"/>
      <c r="J233" s="289"/>
      <c r="K233" s="289"/>
      <c r="L233" s="289"/>
    </row>
    <row r="234" spans="1:12" ht="14.25" customHeight="1" x14ac:dyDescent="0.25">
      <c r="A234" s="289"/>
      <c r="G234" s="289"/>
      <c r="H234" s="289"/>
      <c r="I234" s="289"/>
      <c r="J234" s="289"/>
      <c r="K234" s="289"/>
      <c r="L234" s="289"/>
    </row>
    <row r="235" spans="1:12" ht="14.25" customHeight="1" x14ac:dyDescent="0.25">
      <c r="A235" s="289"/>
      <c r="G235" s="289"/>
      <c r="H235" s="289"/>
      <c r="I235" s="289"/>
      <c r="J235" s="289"/>
      <c r="K235" s="289"/>
      <c r="L235" s="289"/>
    </row>
    <row r="236" spans="1:12" ht="14.25" customHeight="1" x14ac:dyDescent="0.25">
      <c r="A236" s="289"/>
      <c r="G236" s="289"/>
      <c r="H236" s="289"/>
      <c r="I236" s="289"/>
      <c r="J236" s="289"/>
      <c r="K236" s="289"/>
      <c r="L236" s="289"/>
    </row>
    <row r="237" spans="1:12" ht="14.25" customHeight="1" x14ac:dyDescent="0.25">
      <c r="A237" s="289"/>
      <c r="G237" s="289"/>
      <c r="H237" s="289"/>
      <c r="I237" s="289"/>
      <c r="J237" s="289"/>
      <c r="K237" s="289"/>
      <c r="L237" s="289"/>
    </row>
    <row r="238" spans="1:12" ht="14.25" customHeight="1" x14ac:dyDescent="0.25">
      <c r="A238" s="289"/>
      <c r="G238" s="289"/>
      <c r="H238" s="289"/>
      <c r="I238" s="289"/>
      <c r="J238" s="289"/>
      <c r="K238" s="289"/>
      <c r="L238" s="289"/>
    </row>
    <row r="239" spans="1:12" ht="14.25" customHeight="1" x14ac:dyDescent="0.25">
      <c r="A239" s="289"/>
      <c r="G239" s="289"/>
      <c r="H239" s="289"/>
      <c r="I239" s="289"/>
      <c r="J239" s="289"/>
      <c r="K239" s="289"/>
      <c r="L239" s="289"/>
    </row>
    <row r="240" spans="1:12" ht="14.25" customHeight="1" x14ac:dyDescent="0.25">
      <c r="A240" s="289"/>
      <c r="G240" s="289"/>
      <c r="H240" s="289"/>
      <c r="I240" s="289"/>
      <c r="J240" s="289"/>
      <c r="K240" s="289"/>
      <c r="L240" s="289"/>
    </row>
    <row r="241" spans="1:12" ht="14.25" customHeight="1" x14ac:dyDescent="0.25">
      <c r="A241" s="289"/>
      <c r="G241" s="289"/>
      <c r="H241" s="289"/>
      <c r="I241" s="289"/>
      <c r="J241" s="289"/>
      <c r="K241" s="289"/>
      <c r="L241" s="289"/>
    </row>
    <row r="242" spans="1:12" ht="14.25" customHeight="1" x14ac:dyDescent="0.25">
      <c r="A242" s="289"/>
      <c r="G242" s="289"/>
      <c r="H242" s="289"/>
      <c r="I242" s="289"/>
      <c r="J242" s="289"/>
      <c r="K242" s="289"/>
      <c r="L242" s="289"/>
    </row>
    <row r="243" spans="1:12" ht="14.25" customHeight="1" x14ac:dyDescent="0.25">
      <c r="A243" s="289"/>
      <c r="G243" s="289"/>
      <c r="H243" s="289"/>
      <c r="I243" s="289"/>
      <c r="J243" s="289"/>
      <c r="K243" s="289"/>
      <c r="L243" s="289"/>
    </row>
    <row r="244" spans="1:12" ht="14.25" customHeight="1" x14ac:dyDescent="0.25">
      <c r="A244" s="289"/>
      <c r="G244" s="289"/>
      <c r="H244" s="289"/>
      <c r="I244" s="289"/>
      <c r="J244" s="289"/>
      <c r="K244" s="289"/>
      <c r="L244" s="289"/>
    </row>
    <row r="245" spans="1:12" ht="14.25" customHeight="1" x14ac:dyDescent="0.25">
      <c r="A245" s="289"/>
      <c r="G245" s="289"/>
      <c r="H245" s="289"/>
      <c r="I245" s="289"/>
      <c r="J245" s="289"/>
      <c r="K245" s="289"/>
      <c r="L245" s="289"/>
    </row>
    <row r="246" spans="1:12" ht="14.25" customHeight="1" x14ac:dyDescent="0.25">
      <c r="A246" s="289"/>
      <c r="G246" s="289"/>
      <c r="H246" s="289"/>
      <c r="I246" s="289"/>
      <c r="J246" s="289"/>
      <c r="K246" s="289"/>
      <c r="L246" s="289"/>
    </row>
    <row r="247" spans="1:12" ht="14.25" customHeight="1" x14ac:dyDescent="0.25">
      <c r="A247" s="289"/>
      <c r="G247" s="289"/>
      <c r="H247" s="289"/>
      <c r="I247" s="289"/>
      <c r="J247" s="289"/>
      <c r="K247" s="289"/>
      <c r="L247" s="289"/>
    </row>
    <row r="248" spans="1:12" ht="14.25" customHeight="1" x14ac:dyDescent="0.25">
      <c r="A248" s="289"/>
      <c r="G248" s="289"/>
      <c r="H248" s="289"/>
      <c r="I248" s="289"/>
      <c r="J248" s="289"/>
      <c r="K248" s="289"/>
      <c r="L248" s="289"/>
    </row>
    <row r="249" spans="1:12" ht="14.25" customHeight="1" x14ac:dyDescent="0.25">
      <c r="A249" s="289"/>
      <c r="G249" s="289"/>
      <c r="H249" s="289"/>
      <c r="I249" s="289"/>
      <c r="J249" s="289"/>
      <c r="K249" s="289"/>
      <c r="L249" s="289"/>
    </row>
    <row r="250" spans="1:12" ht="14.25" customHeight="1" x14ac:dyDescent="0.25">
      <c r="A250" s="289"/>
      <c r="G250" s="289"/>
      <c r="H250" s="289"/>
      <c r="I250" s="289"/>
      <c r="J250" s="289"/>
      <c r="K250" s="289"/>
      <c r="L250" s="289"/>
    </row>
    <row r="251" spans="1:12" ht="14.25" customHeight="1" x14ac:dyDescent="0.25">
      <c r="A251" s="289"/>
      <c r="G251" s="289"/>
      <c r="H251" s="289"/>
      <c r="I251" s="289"/>
      <c r="J251" s="289"/>
      <c r="K251" s="289"/>
      <c r="L251" s="289"/>
    </row>
    <row r="252" spans="1:12" ht="14.25" customHeight="1" x14ac:dyDescent="0.25">
      <c r="A252" s="289"/>
      <c r="G252" s="289"/>
      <c r="H252" s="289"/>
      <c r="I252" s="289"/>
      <c r="J252" s="289"/>
      <c r="K252" s="289"/>
      <c r="L252" s="289"/>
    </row>
    <row r="253" spans="1:12" ht="14.25" customHeight="1" x14ac:dyDescent="0.25">
      <c r="A253" s="289"/>
      <c r="G253" s="289"/>
      <c r="H253" s="289"/>
      <c r="I253" s="289"/>
      <c r="J253" s="289"/>
      <c r="K253" s="289"/>
      <c r="L253" s="289"/>
    </row>
    <row r="254" spans="1:12" ht="14.25" customHeight="1" x14ac:dyDescent="0.25">
      <c r="A254" s="289"/>
      <c r="G254" s="289"/>
      <c r="H254" s="289"/>
      <c r="I254" s="289"/>
      <c r="J254" s="289"/>
      <c r="K254" s="289"/>
      <c r="L254" s="289"/>
    </row>
    <row r="255" spans="1:12" ht="14.25" customHeight="1" x14ac:dyDescent="0.25">
      <c r="A255" s="289"/>
      <c r="G255" s="289"/>
      <c r="H255" s="289"/>
      <c r="I255" s="289"/>
      <c r="J255" s="289"/>
      <c r="K255" s="289"/>
      <c r="L255" s="289"/>
    </row>
    <row r="256" spans="1:12" ht="14.25" customHeight="1" x14ac:dyDescent="0.25">
      <c r="A256" s="289"/>
      <c r="G256" s="289"/>
      <c r="H256" s="289"/>
      <c r="I256" s="289"/>
      <c r="J256" s="289"/>
      <c r="K256" s="289"/>
      <c r="L256" s="289"/>
    </row>
    <row r="257" spans="1:12" ht="14.25" customHeight="1" x14ac:dyDescent="0.25">
      <c r="A257" s="289"/>
      <c r="G257" s="289"/>
      <c r="H257" s="289"/>
      <c r="I257" s="289"/>
      <c r="J257" s="289"/>
      <c r="K257" s="289"/>
      <c r="L257" s="289"/>
    </row>
    <row r="258" spans="1:12" ht="14.25" customHeight="1" x14ac:dyDescent="0.25">
      <c r="A258" s="289"/>
      <c r="G258" s="289"/>
      <c r="H258" s="289"/>
      <c r="I258" s="289"/>
      <c r="J258" s="289"/>
      <c r="K258" s="289"/>
      <c r="L258" s="289"/>
    </row>
    <row r="259" spans="1:12" ht="14.25" customHeight="1" x14ac:dyDescent="0.25">
      <c r="A259" s="289"/>
      <c r="G259" s="289"/>
      <c r="H259" s="289"/>
      <c r="I259" s="289"/>
      <c r="J259" s="289"/>
      <c r="K259" s="289"/>
      <c r="L259" s="289"/>
    </row>
    <row r="260" spans="1:12" ht="14.25" customHeight="1" x14ac:dyDescent="0.25">
      <c r="A260" s="289"/>
      <c r="G260" s="289"/>
      <c r="H260" s="289"/>
      <c r="I260" s="289"/>
      <c r="J260" s="289"/>
      <c r="K260" s="289"/>
      <c r="L260" s="289"/>
    </row>
    <row r="261" spans="1:12" ht="14.25" customHeight="1" x14ac:dyDescent="0.25">
      <c r="A261" s="289"/>
      <c r="G261" s="289"/>
      <c r="H261" s="289"/>
      <c r="I261" s="289"/>
      <c r="J261" s="289"/>
      <c r="K261" s="289"/>
      <c r="L261" s="289"/>
    </row>
    <row r="262" spans="1:12" ht="14.25" customHeight="1" x14ac:dyDescent="0.25">
      <c r="A262" s="289"/>
      <c r="G262" s="289"/>
      <c r="H262" s="289"/>
      <c r="I262" s="289"/>
      <c r="J262" s="289"/>
      <c r="K262" s="289"/>
      <c r="L262" s="289"/>
    </row>
    <row r="263" spans="1:12" ht="14.25" customHeight="1" x14ac:dyDescent="0.25">
      <c r="A263" s="289"/>
      <c r="G263" s="289"/>
      <c r="H263" s="289"/>
      <c r="I263" s="289"/>
      <c r="J263" s="289"/>
      <c r="K263" s="289"/>
      <c r="L263" s="289"/>
    </row>
    <row r="264" spans="1:12" ht="14.25" customHeight="1" x14ac:dyDescent="0.25">
      <c r="A264" s="289"/>
      <c r="G264" s="289"/>
      <c r="H264" s="289"/>
      <c r="I264" s="289"/>
      <c r="J264" s="289"/>
      <c r="K264" s="289"/>
      <c r="L264" s="289"/>
    </row>
    <row r="265" spans="1:12" ht="14.25" customHeight="1" x14ac:dyDescent="0.25">
      <c r="A265" s="289"/>
      <c r="G265" s="289"/>
      <c r="H265" s="289"/>
      <c r="I265" s="289"/>
      <c r="J265" s="289"/>
      <c r="K265" s="289"/>
      <c r="L265" s="289"/>
    </row>
    <row r="266" spans="1:12" ht="14.25" customHeight="1" x14ac:dyDescent="0.25">
      <c r="A266" s="289"/>
      <c r="G266" s="289"/>
      <c r="H266" s="289"/>
      <c r="I266" s="289"/>
      <c r="J266" s="289"/>
      <c r="K266" s="289"/>
      <c r="L266" s="289"/>
    </row>
    <row r="267" spans="1:12" ht="14.25" customHeight="1" x14ac:dyDescent="0.25">
      <c r="A267" s="289"/>
      <c r="G267" s="289"/>
      <c r="H267" s="289"/>
      <c r="I267" s="289"/>
      <c r="J267" s="289"/>
      <c r="K267" s="289"/>
      <c r="L267" s="289"/>
    </row>
    <row r="268" spans="1:12" ht="14.25" customHeight="1" x14ac:dyDescent="0.25">
      <c r="A268" s="289"/>
      <c r="G268" s="289"/>
      <c r="H268" s="289"/>
      <c r="I268" s="289"/>
      <c r="J268" s="289"/>
      <c r="K268" s="289"/>
      <c r="L268" s="289"/>
    </row>
    <row r="269" spans="1:12" ht="14.25" customHeight="1" x14ac:dyDescent="0.25">
      <c r="A269" s="289"/>
      <c r="G269" s="289"/>
      <c r="H269" s="289"/>
      <c r="I269" s="289"/>
      <c r="J269" s="289"/>
      <c r="K269" s="289"/>
      <c r="L269" s="289"/>
    </row>
    <row r="270" spans="1:12" ht="14.25" customHeight="1" x14ac:dyDescent="0.25">
      <c r="A270" s="289"/>
      <c r="G270" s="289"/>
      <c r="H270" s="289"/>
      <c r="I270" s="289"/>
      <c r="J270" s="289"/>
      <c r="K270" s="289"/>
      <c r="L270" s="289"/>
    </row>
    <row r="271" spans="1:12" ht="14.25" customHeight="1" x14ac:dyDescent="0.25">
      <c r="A271" s="289"/>
      <c r="G271" s="289"/>
      <c r="H271" s="289"/>
      <c r="I271" s="289"/>
      <c r="J271" s="289"/>
      <c r="K271" s="289"/>
      <c r="L271" s="289"/>
    </row>
    <row r="272" spans="1:12" ht="14.25" customHeight="1" x14ac:dyDescent="0.25">
      <c r="A272" s="289"/>
      <c r="G272" s="289"/>
      <c r="H272" s="289"/>
      <c r="I272" s="289"/>
      <c r="J272" s="289"/>
      <c r="K272" s="289"/>
      <c r="L272" s="289"/>
    </row>
    <row r="273" spans="1:12" ht="14.25" customHeight="1" x14ac:dyDescent="0.25">
      <c r="A273" s="289"/>
      <c r="G273" s="289"/>
      <c r="H273" s="289"/>
      <c r="I273" s="289"/>
      <c r="J273" s="289"/>
      <c r="K273" s="289"/>
      <c r="L273" s="289"/>
    </row>
    <row r="274" spans="1:12" ht="14.25" customHeight="1" x14ac:dyDescent="0.25">
      <c r="A274" s="289"/>
      <c r="G274" s="289"/>
      <c r="H274" s="289"/>
      <c r="I274" s="289"/>
      <c r="J274" s="289"/>
      <c r="K274" s="289"/>
      <c r="L274" s="289"/>
    </row>
    <row r="275" spans="1:12" ht="14.25" customHeight="1" x14ac:dyDescent="0.25">
      <c r="A275" s="289"/>
      <c r="G275" s="289"/>
      <c r="H275" s="289"/>
      <c r="I275" s="289"/>
      <c r="J275" s="289"/>
      <c r="K275" s="289"/>
      <c r="L275" s="289"/>
    </row>
    <row r="276" spans="1:12" ht="14.25" customHeight="1" x14ac:dyDescent="0.25">
      <c r="A276" s="289"/>
      <c r="G276" s="289"/>
      <c r="H276" s="289"/>
      <c r="I276" s="289"/>
      <c r="J276" s="289"/>
      <c r="K276" s="289"/>
      <c r="L276" s="289"/>
    </row>
    <row r="277" spans="1:12" ht="14.25" customHeight="1" x14ac:dyDescent="0.25">
      <c r="A277" s="289"/>
      <c r="G277" s="289"/>
      <c r="H277" s="289"/>
      <c r="I277" s="289"/>
      <c r="J277" s="289"/>
      <c r="K277" s="289"/>
      <c r="L277" s="289"/>
    </row>
    <row r="278" spans="1:12" ht="14.25" customHeight="1" x14ac:dyDescent="0.25">
      <c r="A278" s="289"/>
      <c r="G278" s="289"/>
      <c r="H278" s="289"/>
      <c r="I278" s="289"/>
      <c r="J278" s="289"/>
      <c r="K278" s="289"/>
      <c r="L278" s="289"/>
    </row>
    <row r="279" spans="1:12" ht="14.25" customHeight="1" x14ac:dyDescent="0.25">
      <c r="A279" s="289"/>
      <c r="G279" s="289"/>
      <c r="H279" s="289"/>
      <c r="I279" s="289"/>
      <c r="J279" s="289"/>
      <c r="K279" s="289"/>
      <c r="L279" s="289"/>
    </row>
    <row r="280" spans="1:12" ht="14.25" customHeight="1" x14ac:dyDescent="0.25">
      <c r="A280" s="289"/>
      <c r="G280" s="289"/>
      <c r="H280" s="289"/>
      <c r="I280" s="289"/>
      <c r="J280" s="289"/>
      <c r="K280" s="289"/>
      <c r="L280" s="289"/>
    </row>
    <row r="281" spans="1:12" ht="14.25" customHeight="1" x14ac:dyDescent="0.25">
      <c r="A281" s="289"/>
      <c r="G281" s="289"/>
      <c r="H281" s="289"/>
      <c r="I281" s="289"/>
      <c r="J281" s="289"/>
      <c r="K281" s="289"/>
      <c r="L281" s="289"/>
    </row>
    <row r="282" spans="1:12" ht="14.25" customHeight="1" x14ac:dyDescent="0.25">
      <c r="A282" s="289"/>
      <c r="G282" s="289"/>
      <c r="H282" s="289"/>
      <c r="I282" s="289"/>
      <c r="J282" s="289"/>
      <c r="K282" s="289"/>
      <c r="L282" s="289"/>
    </row>
    <row r="283" spans="1:12" ht="14.25" customHeight="1" x14ac:dyDescent="0.25">
      <c r="A283" s="289"/>
      <c r="G283" s="289"/>
      <c r="H283" s="289"/>
      <c r="I283" s="289"/>
      <c r="J283" s="289"/>
      <c r="K283" s="289"/>
      <c r="L283" s="289"/>
    </row>
    <row r="284" spans="1:12" ht="14.25" customHeight="1" x14ac:dyDescent="0.25">
      <c r="A284" s="289"/>
      <c r="G284" s="289"/>
      <c r="H284" s="289"/>
      <c r="I284" s="289"/>
      <c r="J284" s="289"/>
      <c r="K284" s="289"/>
      <c r="L284" s="289"/>
    </row>
    <row r="285" spans="1:12" ht="14.25" customHeight="1" x14ac:dyDescent="0.25">
      <c r="A285" s="289"/>
      <c r="G285" s="289"/>
      <c r="H285" s="289"/>
      <c r="I285" s="289"/>
      <c r="J285" s="289"/>
      <c r="K285" s="289"/>
      <c r="L285" s="289"/>
    </row>
    <row r="286" spans="1:12" ht="14.25" customHeight="1" x14ac:dyDescent="0.25">
      <c r="A286" s="289"/>
      <c r="G286" s="289"/>
      <c r="H286" s="289"/>
      <c r="I286" s="289"/>
      <c r="J286" s="289"/>
      <c r="K286" s="289"/>
      <c r="L286" s="289"/>
    </row>
    <row r="287" spans="1:12" ht="14.25" customHeight="1" x14ac:dyDescent="0.25">
      <c r="A287" s="289"/>
      <c r="G287" s="289"/>
      <c r="H287" s="289"/>
      <c r="I287" s="289"/>
      <c r="J287" s="289"/>
      <c r="K287" s="289"/>
      <c r="L287" s="289"/>
    </row>
    <row r="288" spans="1:12" ht="14.25" customHeight="1" x14ac:dyDescent="0.25">
      <c r="A288" s="289"/>
      <c r="G288" s="289"/>
      <c r="H288" s="289"/>
      <c r="I288" s="289"/>
      <c r="J288" s="289"/>
      <c r="K288" s="289"/>
      <c r="L288" s="289"/>
    </row>
    <row r="289" spans="1:12" ht="14.25" customHeight="1" x14ac:dyDescent="0.25">
      <c r="A289" s="289"/>
      <c r="G289" s="289"/>
      <c r="H289" s="289"/>
      <c r="I289" s="289"/>
      <c r="J289" s="289"/>
      <c r="K289" s="289"/>
      <c r="L289" s="289"/>
    </row>
    <row r="290" spans="1:12" ht="14.25" customHeight="1" x14ac:dyDescent="0.25">
      <c r="A290" s="289"/>
      <c r="G290" s="289"/>
      <c r="H290" s="289"/>
      <c r="I290" s="289"/>
      <c r="J290" s="289"/>
      <c r="K290" s="289"/>
      <c r="L290" s="289"/>
    </row>
    <row r="291" spans="1:12" ht="14.25" customHeight="1" x14ac:dyDescent="0.25">
      <c r="A291" s="289"/>
      <c r="G291" s="289"/>
      <c r="H291" s="289"/>
      <c r="I291" s="289"/>
      <c r="J291" s="289"/>
      <c r="K291" s="289"/>
      <c r="L291" s="289"/>
    </row>
    <row r="292" spans="1:12" ht="14.25" customHeight="1" x14ac:dyDescent="0.25">
      <c r="A292" s="289"/>
      <c r="G292" s="289"/>
      <c r="H292" s="289"/>
      <c r="I292" s="289"/>
      <c r="J292" s="289"/>
      <c r="K292" s="289"/>
      <c r="L292" s="289"/>
    </row>
    <row r="293" spans="1:12" ht="14.25" customHeight="1" x14ac:dyDescent="0.25">
      <c r="A293" s="289"/>
      <c r="G293" s="289"/>
      <c r="H293" s="289"/>
      <c r="I293" s="289"/>
      <c r="J293" s="289"/>
      <c r="K293" s="289"/>
      <c r="L293" s="289"/>
    </row>
    <row r="294" spans="1:12" ht="14.25" customHeight="1" x14ac:dyDescent="0.25">
      <c r="A294" s="289"/>
      <c r="G294" s="289"/>
      <c r="H294" s="289"/>
      <c r="I294" s="289"/>
      <c r="J294" s="289"/>
      <c r="K294" s="289"/>
      <c r="L294" s="289"/>
    </row>
    <row r="295" spans="1:12" ht="14.25" customHeight="1" x14ac:dyDescent="0.25">
      <c r="A295" s="289"/>
      <c r="G295" s="289"/>
      <c r="H295" s="289"/>
      <c r="I295" s="289"/>
      <c r="J295" s="289"/>
      <c r="K295" s="289"/>
      <c r="L295" s="289"/>
    </row>
    <row r="296" spans="1:12" ht="14.25" customHeight="1" x14ac:dyDescent="0.25">
      <c r="A296" s="289"/>
      <c r="G296" s="289"/>
      <c r="H296" s="289"/>
      <c r="I296" s="289"/>
      <c r="J296" s="289"/>
      <c r="K296" s="289"/>
      <c r="L296" s="289"/>
    </row>
    <row r="297" spans="1:12" ht="14.25" customHeight="1" x14ac:dyDescent="0.25">
      <c r="A297" s="289"/>
      <c r="G297" s="289"/>
      <c r="H297" s="289"/>
      <c r="I297" s="289"/>
      <c r="J297" s="289"/>
      <c r="K297" s="289"/>
      <c r="L297" s="289"/>
    </row>
    <row r="298" spans="1:12" ht="14.25" customHeight="1" x14ac:dyDescent="0.25">
      <c r="A298" s="289"/>
      <c r="G298" s="289"/>
      <c r="H298" s="289"/>
      <c r="I298" s="289"/>
      <c r="J298" s="289"/>
      <c r="K298" s="289"/>
      <c r="L298" s="289"/>
    </row>
    <row r="299" spans="1:12" ht="14.25" customHeight="1" x14ac:dyDescent="0.25">
      <c r="A299" s="289"/>
      <c r="G299" s="289"/>
      <c r="H299" s="289"/>
      <c r="I299" s="289"/>
      <c r="J299" s="289"/>
      <c r="K299" s="289"/>
      <c r="L299" s="289"/>
    </row>
    <row r="300" spans="1:12" ht="14.25" customHeight="1" x14ac:dyDescent="0.25">
      <c r="A300" s="289"/>
      <c r="G300" s="289"/>
      <c r="H300" s="289"/>
      <c r="I300" s="289"/>
      <c r="J300" s="289"/>
      <c r="K300" s="289"/>
      <c r="L300" s="289"/>
    </row>
    <row r="301" spans="1:12" ht="14.25" customHeight="1" x14ac:dyDescent="0.25">
      <c r="A301" s="289"/>
      <c r="G301" s="289"/>
      <c r="H301" s="289"/>
      <c r="I301" s="289"/>
      <c r="J301" s="289"/>
      <c r="K301" s="289"/>
      <c r="L301" s="289"/>
    </row>
    <row r="302" spans="1:12" ht="14.25" customHeight="1" x14ac:dyDescent="0.25">
      <c r="A302" s="289"/>
      <c r="G302" s="289"/>
      <c r="H302" s="289"/>
      <c r="I302" s="289"/>
      <c r="J302" s="289"/>
      <c r="K302" s="289"/>
      <c r="L302" s="289"/>
    </row>
    <row r="303" spans="1:12" ht="14.25" customHeight="1" x14ac:dyDescent="0.25">
      <c r="A303" s="289"/>
      <c r="G303" s="289"/>
      <c r="H303" s="289"/>
      <c r="I303" s="289"/>
      <c r="J303" s="289"/>
      <c r="K303" s="289"/>
      <c r="L303" s="289"/>
    </row>
    <row r="304" spans="1:12" ht="14.25" customHeight="1" x14ac:dyDescent="0.25">
      <c r="A304" s="289"/>
      <c r="G304" s="289"/>
      <c r="H304" s="289"/>
      <c r="I304" s="289"/>
      <c r="J304" s="289"/>
      <c r="K304" s="289"/>
      <c r="L304" s="289"/>
    </row>
    <row r="305" spans="1:12" ht="14.25" customHeight="1" x14ac:dyDescent="0.25">
      <c r="A305" s="289"/>
      <c r="G305" s="289"/>
      <c r="H305" s="289"/>
      <c r="I305" s="289"/>
      <c r="J305" s="289"/>
      <c r="K305" s="289"/>
      <c r="L305" s="289"/>
    </row>
    <row r="306" spans="1:12" ht="14.25" customHeight="1" x14ac:dyDescent="0.25">
      <c r="A306" s="289"/>
      <c r="G306" s="289"/>
      <c r="H306" s="289"/>
      <c r="I306" s="289"/>
      <c r="J306" s="289"/>
      <c r="K306" s="289"/>
      <c r="L306" s="289"/>
    </row>
    <row r="307" spans="1:12" ht="14.25" customHeight="1" x14ac:dyDescent="0.25">
      <c r="A307" s="289"/>
      <c r="G307" s="289"/>
      <c r="H307" s="289"/>
      <c r="I307" s="289"/>
      <c r="J307" s="289"/>
      <c r="K307" s="289"/>
      <c r="L307" s="289"/>
    </row>
    <row r="308" spans="1:12" ht="14.25" customHeight="1" x14ac:dyDescent="0.25">
      <c r="A308" s="289"/>
      <c r="G308" s="289"/>
      <c r="H308" s="289"/>
      <c r="I308" s="289"/>
      <c r="J308" s="289"/>
      <c r="K308" s="289"/>
      <c r="L308" s="289"/>
    </row>
    <row r="309" spans="1:12" ht="14.25" customHeight="1" x14ac:dyDescent="0.25">
      <c r="A309" s="289"/>
      <c r="G309" s="289"/>
      <c r="H309" s="289"/>
      <c r="I309" s="289"/>
      <c r="J309" s="289"/>
      <c r="K309" s="289"/>
      <c r="L309" s="289"/>
    </row>
    <row r="310" spans="1:12" ht="14.25" customHeight="1" x14ac:dyDescent="0.25">
      <c r="A310" s="289"/>
      <c r="G310" s="289"/>
      <c r="H310" s="289"/>
      <c r="I310" s="289"/>
      <c r="J310" s="289"/>
      <c r="K310" s="289"/>
      <c r="L310" s="289"/>
    </row>
    <row r="311" spans="1:12" ht="14.25" customHeight="1" x14ac:dyDescent="0.25">
      <c r="A311" s="289"/>
      <c r="G311" s="289"/>
      <c r="H311" s="289"/>
      <c r="I311" s="289"/>
      <c r="J311" s="289"/>
      <c r="K311" s="289"/>
      <c r="L311" s="289"/>
    </row>
    <row r="312" spans="1:12" ht="14.25" customHeight="1" x14ac:dyDescent="0.25">
      <c r="A312" s="289"/>
      <c r="G312" s="289"/>
      <c r="H312" s="289"/>
      <c r="I312" s="289"/>
      <c r="J312" s="289"/>
      <c r="K312" s="289"/>
      <c r="L312" s="289"/>
    </row>
    <row r="313" spans="1:12" ht="14.25" customHeight="1" x14ac:dyDescent="0.25">
      <c r="A313" s="289"/>
      <c r="G313" s="289"/>
      <c r="H313" s="289"/>
      <c r="I313" s="289"/>
      <c r="J313" s="289"/>
      <c r="K313" s="289"/>
      <c r="L313" s="289"/>
    </row>
    <row r="314" spans="1:12" ht="14.25" customHeight="1" x14ac:dyDescent="0.25">
      <c r="A314" s="289"/>
      <c r="G314" s="289"/>
      <c r="H314" s="289"/>
      <c r="I314" s="289"/>
      <c r="J314" s="289"/>
      <c r="K314" s="289"/>
      <c r="L314" s="289"/>
    </row>
    <row r="315" spans="1:12" ht="14.25" customHeight="1" x14ac:dyDescent="0.25">
      <c r="A315" s="289"/>
      <c r="G315" s="289"/>
      <c r="H315" s="289"/>
      <c r="I315" s="289"/>
      <c r="J315" s="289"/>
      <c r="K315" s="289"/>
      <c r="L315" s="289"/>
    </row>
    <row r="316" spans="1:12" ht="14.25" customHeight="1" x14ac:dyDescent="0.25">
      <c r="A316" s="289"/>
      <c r="G316" s="289"/>
      <c r="H316" s="289"/>
      <c r="I316" s="289"/>
      <c r="J316" s="289"/>
      <c r="K316" s="289"/>
      <c r="L316" s="289"/>
    </row>
    <row r="317" spans="1:12" ht="14.25" customHeight="1" x14ac:dyDescent="0.25">
      <c r="A317" s="289"/>
      <c r="G317" s="289"/>
      <c r="H317" s="289"/>
      <c r="I317" s="289"/>
      <c r="J317" s="289"/>
      <c r="K317" s="289"/>
      <c r="L317" s="289"/>
    </row>
    <row r="318" spans="1:12" ht="14.25" customHeight="1" x14ac:dyDescent="0.25">
      <c r="A318" s="289"/>
      <c r="G318" s="289"/>
      <c r="H318" s="289"/>
      <c r="I318" s="289"/>
      <c r="J318" s="289"/>
      <c r="K318" s="289"/>
      <c r="L318" s="289"/>
    </row>
    <row r="319" spans="1:12" ht="14.25" customHeight="1" x14ac:dyDescent="0.25">
      <c r="A319" s="289"/>
      <c r="G319" s="289"/>
      <c r="H319" s="289"/>
      <c r="I319" s="289"/>
      <c r="J319" s="289"/>
      <c r="K319" s="289"/>
      <c r="L319" s="289"/>
    </row>
    <row r="320" spans="1:12" ht="14.25" customHeight="1" x14ac:dyDescent="0.25">
      <c r="A320" s="289"/>
      <c r="G320" s="289"/>
      <c r="H320" s="289"/>
      <c r="I320" s="289"/>
      <c r="J320" s="289"/>
      <c r="K320" s="289"/>
      <c r="L320" s="289"/>
    </row>
    <row r="321" spans="1:12" ht="14.25" customHeight="1" x14ac:dyDescent="0.25">
      <c r="A321" s="289"/>
      <c r="G321" s="289"/>
      <c r="H321" s="289"/>
      <c r="I321" s="289"/>
      <c r="J321" s="289"/>
      <c r="K321" s="289"/>
      <c r="L321" s="289"/>
    </row>
    <row r="322" spans="1:12" ht="14.25" customHeight="1" x14ac:dyDescent="0.25">
      <c r="A322" s="289"/>
      <c r="G322" s="289"/>
      <c r="H322" s="289"/>
      <c r="I322" s="289"/>
      <c r="J322" s="289"/>
      <c r="K322" s="289"/>
      <c r="L322" s="289"/>
    </row>
    <row r="323" spans="1:12" ht="14.25" customHeight="1" x14ac:dyDescent="0.25">
      <c r="A323" s="289"/>
      <c r="G323" s="289"/>
      <c r="H323" s="289"/>
      <c r="I323" s="289"/>
      <c r="J323" s="289"/>
      <c r="K323" s="289"/>
      <c r="L323" s="289"/>
    </row>
    <row r="324" spans="1:12" ht="14.25" customHeight="1" x14ac:dyDescent="0.25">
      <c r="A324" s="289"/>
      <c r="G324" s="289"/>
      <c r="H324" s="289"/>
      <c r="I324" s="289"/>
      <c r="J324" s="289"/>
      <c r="K324" s="289"/>
      <c r="L324" s="289"/>
    </row>
    <row r="325" spans="1:12" ht="14.25" customHeight="1" x14ac:dyDescent="0.25">
      <c r="A325" s="289"/>
      <c r="G325" s="289"/>
      <c r="H325" s="289"/>
      <c r="I325" s="289"/>
      <c r="J325" s="289"/>
      <c r="K325" s="289"/>
      <c r="L325" s="289"/>
    </row>
    <row r="326" spans="1:12" ht="14.25" customHeight="1" x14ac:dyDescent="0.25">
      <c r="A326" s="289"/>
      <c r="G326" s="289"/>
      <c r="H326" s="289"/>
      <c r="I326" s="289"/>
      <c r="J326" s="289"/>
      <c r="K326" s="289"/>
      <c r="L326" s="289"/>
    </row>
    <row r="327" spans="1:12" ht="14.25" customHeight="1" x14ac:dyDescent="0.25">
      <c r="A327" s="289"/>
      <c r="G327" s="289"/>
      <c r="H327" s="289"/>
      <c r="I327" s="289"/>
      <c r="J327" s="289"/>
      <c r="K327" s="289"/>
      <c r="L327" s="289"/>
    </row>
    <row r="328" spans="1:12" ht="14.25" customHeight="1" x14ac:dyDescent="0.25">
      <c r="A328" s="289"/>
      <c r="G328" s="289"/>
      <c r="H328" s="289"/>
      <c r="I328" s="289"/>
      <c r="J328" s="289"/>
      <c r="K328" s="289"/>
      <c r="L328" s="289"/>
    </row>
    <row r="329" spans="1:12" ht="14.25" customHeight="1" x14ac:dyDescent="0.25">
      <c r="A329" s="289"/>
      <c r="G329" s="289"/>
      <c r="H329" s="289"/>
      <c r="I329" s="289"/>
      <c r="J329" s="289"/>
      <c r="K329" s="289"/>
      <c r="L329" s="289"/>
    </row>
    <row r="330" spans="1:12" ht="14.25" customHeight="1" x14ac:dyDescent="0.25">
      <c r="A330" s="289"/>
      <c r="G330" s="289"/>
      <c r="H330" s="289"/>
      <c r="I330" s="289"/>
      <c r="J330" s="289"/>
      <c r="K330" s="289"/>
      <c r="L330" s="289"/>
    </row>
    <row r="331" spans="1:12" ht="14.25" customHeight="1" x14ac:dyDescent="0.25">
      <c r="A331" s="289"/>
      <c r="G331" s="289"/>
      <c r="H331" s="289"/>
      <c r="I331" s="289"/>
      <c r="J331" s="289"/>
      <c r="K331" s="289"/>
      <c r="L331" s="289"/>
    </row>
    <row r="332" spans="1:12" ht="14.25" customHeight="1" x14ac:dyDescent="0.25">
      <c r="A332" s="289"/>
      <c r="G332" s="289"/>
      <c r="H332" s="289"/>
      <c r="I332" s="289"/>
      <c r="J332" s="289"/>
      <c r="K332" s="289"/>
      <c r="L332" s="289"/>
    </row>
    <row r="333" spans="1:12" ht="14.25" customHeight="1" x14ac:dyDescent="0.25">
      <c r="A333" s="289"/>
      <c r="G333" s="289"/>
      <c r="H333" s="289"/>
      <c r="I333" s="289"/>
      <c r="J333" s="289"/>
      <c r="K333" s="289"/>
      <c r="L333" s="289"/>
    </row>
    <row r="334" spans="1:12" ht="14.25" customHeight="1" x14ac:dyDescent="0.25">
      <c r="A334" s="289"/>
      <c r="G334" s="289"/>
      <c r="H334" s="289"/>
      <c r="I334" s="289"/>
      <c r="J334" s="289"/>
      <c r="K334" s="289"/>
      <c r="L334" s="289"/>
    </row>
    <row r="335" spans="1:12" ht="14.25" customHeight="1" x14ac:dyDescent="0.25">
      <c r="A335" s="289"/>
      <c r="G335" s="289"/>
      <c r="H335" s="289"/>
      <c r="I335" s="289"/>
      <c r="J335" s="289"/>
      <c r="K335" s="289"/>
      <c r="L335" s="289"/>
    </row>
    <row r="336" spans="1:12" ht="14.25" customHeight="1" x14ac:dyDescent="0.25">
      <c r="A336" s="289"/>
      <c r="G336" s="289"/>
      <c r="H336" s="289"/>
      <c r="I336" s="289"/>
      <c r="J336" s="289"/>
      <c r="K336" s="289"/>
      <c r="L336" s="289"/>
    </row>
    <row r="337" spans="1:12" ht="14.25" customHeight="1" x14ac:dyDescent="0.25">
      <c r="A337" s="289"/>
      <c r="G337" s="289"/>
      <c r="H337" s="289"/>
      <c r="I337" s="289"/>
      <c r="J337" s="289"/>
      <c r="K337" s="289"/>
      <c r="L337" s="289"/>
    </row>
    <row r="338" spans="1:12" ht="14.25" customHeight="1" x14ac:dyDescent="0.25">
      <c r="A338" s="289"/>
      <c r="G338" s="289"/>
      <c r="H338" s="289"/>
      <c r="I338" s="289"/>
      <c r="J338" s="289"/>
      <c r="K338" s="289"/>
      <c r="L338" s="289"/>
    </row>
    <row r="339" spans="1:12" ht="14.25" customHeight="1" x14ac:dyDescent="0.25">
      <c r="A339" s="289"/>
      <c r="G339" s="289"/>
      <c r="H339" s="289"/>
      <c r="I339" s="289"/>
      <c r="J339" s="289"/>
      <c r="K339" s="289"/>
      <c r="L339" s="289"/>
    </row>
    <row r="340" spans="1:12" ht="14.25" customHeight="1" x14ac:dyDescent="0.25">
      <c r="A340" s="289"/>
      <c r="G340" s="289"/>
      <c r="H340" s="289"/>
      <c r="I340" s="289"/>
      <c r="J340" s="289"/>
      <c r="K340" s="289"/>
      <c r="L340" s="289"/>
    </row>
    <row r="341" spans="1:12" ht="14.25" customHeight="1" x14ac:dyDescent="0.25">
      <c r="A341" s="289"/>
      <c r="G341" s="289"/>
      <c r="H341" s="289"/>
      <c r="I341" s="289"/>
      <c r="J341" s="289"/>
      <c r="K341" s="289"/>
      <c r="L341" s="289"/>
    </row>
    <row r="342" spans="1:12" ht="14.25" customHeight="1" x14ac:dyDescent="0.25">
      <c r="A342" s="289"/>
      <c r="G342" s="289"/>
      <c r="H342" s="289"/>
      <c r="I342" s="289"/>
      <c r="J342" s="289"/>
      <c r="K342" s="289"/>
      <c r="L342" s="289"/>
    </row>
    <row r="343" spans="1:12" ht="14.25" customHeight="1" x14ac:dyDescent="0.25">
      <c r="A343" s="289"/>
      <c r="G343" s="289"/>
      <c r="H343" s="289"/>
      <c r="I343" s="289"/>
      <c r="J343" s="289"/>
      <c r="K343" s="289"/>
      <c r="L343" s="289"/>
    </row>
    <row r="344" spans="1:12" ht="14.25" customHeight="1" x14ac:dyDescent="0.25">
      <c r="A344" s="289"/>
      <c r="G344" s="289"/>
      <c r="H344" s="289"/>
      <c r="I344" s="289"/>
      <c r="J344" s="289"/>
      <c r="K344" s="289"/>
      <c r="L344" s="289"/>
    </row>
    <row r="345" spans="1:12" ht="14.25" customHeight="1" x14ac:dyDescent="0.25">
      <c r="A345" s="289"/>
      <c r="G345" s="289"/>
      <c r="H345" s="289"/>
      <c r="I345" s="289"/>
      <c r="J345" s="289"/>
      <c r="K345" s="289"/>
      <c r="L345" s="289"/>
    </row>
    <row r="346" spans="1:12" ht="14.25" customHeight="1" x14ac:dyDescent="0.25">
      <c r="A346" s="289"/>
      <c r="G346" s="289"/>
      <c r="H346" s="289"/>
      <c r="I346" s="289"/>
      <c r="J346" s="289"/>
      <c r="K346" s="289"/>
      <c r="L346" s="289"/>
    </row>
    <row r="347" spans="1:12" ht="14.25" customHeight="1" x14ac:dyDescent="0.25">
      <c r="A347" s="289"/>
      <c r="G347" s="289"/>
      <c r="H347" s="289"/>
      <c r="I347" s="289"/>
      <c r="J347" s="289"/>
      <c r="K347" s="289"/>
      <c r="L347" s="289"/>
    </row>
    <row r="348" spans="1:12" ht="14.25" customHeight="1" x14ac:dyDescent="0.25">
      <c r="A348" s="289"/>
      <c r="G348" s="289"/>
      <c r="H348" s="289"/>
      <c r="I348" s="289"/>
      <c r="J348" s="289"/>
      <c r="K348" s="289"/>
      <c r="L348" s="289"/>
    </row>
    <row r="349" spans="1:12" ht="14.25" customHeight="1" x14ac:dyDescent="0.25">
      <c r="A349" s="289"/>
      <c r="G349" s="289"/>
      <c r="H349" s="289"/>
      <c r="I349" s="289"/>
      <c r="J349" s="289"/>
      <c r="K349" s="289"/>
      <c r="L349" s="289"/>
    </row>
    <row r="350" spans="1:12" ht="14.25" customHeight="1" x14ac:dyDescent="0.25">
      <c r="A350" s="289"/>
      <c r="G350" s="289"/>
      <c r="H350" s="289"/>
      <c r="I350" s="289"/>
      <c r="J350" s="289"/>
      <c r="K350" s="289"/>
      <c r="L350" s="289"/>
    </row>
    <row r="351" spans="1:12" ht="14.25" customHeight="1" x14ac:dyDescent="0.25">
      <c r="A351" s="289"/>
      <c r="G351" s="289"/>
      <c r="H351" s="289"/>
      <c r="I351" s="289"/>
      <c r="J351" s="289"/>
      <c r="K351" s="289"/>
      <c r="L351" s="289"/>
    </row>
    <row r="352" spans="1:12" ht="14.25" customHeight="1" x14ac:dyDescent="0.25">
      <c r="A352" s="289"/>
      <c r="G352" s="289"/>
      <c r="H352" s="289"/>
      <c r="I352" s="289"/>
      <c r="J352" s="289"/>
      <c r="K352" s="289"/>
      <c r="L352" s="289"/>
    </row>
    <row r="353" spans="1:12" ht="14.25" customHeight="1" x14ac:dyDescent="0.25">
      <c r="A353" s="289"/>
      <c r="G353" s="289"/>
      <c r="H353" s="289"/>
      <c r="I353" s="289"/>
      <c r="J353" s="289"/>
      <c r="K353" s="289"/>
      <c r="L353" s="289"/>
    </row>
    <row r="354" spans="1:12" ht="14.25" customHeight="1" x14ac:dyDescent="0.25">
      <c r="A354" s="289"/>
      <c r="G354" s="289"/>
      <c r="H354" s="289"/>
      <c r="I354" s="289"/>
      <c r="J354" s="289"/>
      <c r="K354" s="289"/>
      <c r="L354" s="289"/>
    </row>
    <row r="355" spans="1:12" ht="14.25" customHeight="1" x14ac:dyDescent="0.25">
      <c r="A355" s="289"/>
      <c r="G355" s="289"/>
      <c r="H355" s="289"/>
      <c r="I355" s="289"/>
      <c r="J355" s="289"/>
      <c r="K355" s="289"/>
      <c r="L355" s="289"/>
    </row>
    <row r="356" spans="1:12" ht="14.25" customHeight="1" x14ac:dyDescent="0.25">
      <c r="A356" s="289"/>
      <c r="G356" s="289"/>
      <c r="H356" s="289"/>
      <c r="I356" s="289"/>
      <c r="J356" s="289"/>
      <c r="K356" s="289"/>
      <c r="L356" s="289"/>
    </row>
    <row r="357" spans="1:12" ht="14.25" customHeight="1" x14ac:dyDescent="0.25">
      <c r="A357" s="289"/>
      <c r="G357" s="289"/>
      <c r="H357" s="289"/>
      <c r="I357" s="289"/>
      <c r="J357" s="289"/>
      <c r="K357" s="289"/>
      <c r="L357" s="289"/>
    </row>
    <row r="358" spans="1:12" ht="14.25" customHeight="1" x14ac:dyDescent="0.25">
      <c r="A358" s="289"/>
      <c r="G358" s="289"/>
      <c r="H358" s="289"/>
      <c r="I358" s="289"/>
      <c r="J358" s="289"/>
      <c r="K358" s="289"/>
      <c r="L358" s="289"/>
    </row>
    <row r="359" spans="1:12" ht="14.25" customHeight="1" x14ac:dyDescent="0.25">
      <c r="A359" s="289"/>
      <c r="G359" s="289"/>
      <c r="H359" s="289"/>
      <c r="I359" s="289"/>
      <c r="J359" s="289"/>
      <c r="K359" s="289"/>
      <c r="L359" s="289"/>
    </row>
    <row r="360" spans="1:12" ht="14.25" customHeight="1" x14ac:dyDescent="0.25">
      <c r="A360" s="289"/>
      <c r="G360" s="289"/>
      <c r="H360" s="289"/>
      <c r="I360" s="289"/>
      <c r="J360" s="289"/>
      <c r="K360" s="289"/>
      <c r="L360" s="289"/>
    </row>
    <row r="361" spans="1:12" ht="14.25" customHeight="1" x14ac:dyDescent="0.25">
      <c r="A361" s="289"/>
      <c r="G361" s="289"/>
      <c r="H361" s="289"/>
      <c r="I361" s="289"/>
      <c r="J361" s="289"/>
      <c r="K361" s="289"/>
      <c r="L361" s="289"/>
    </row>
    <row r="362" spans="1:12" ht="14.25" customHeight="1" x14ac:dyDescent="0.25">
      <c r="A362" s="289"/>
      <c r="G362" s="289"/>
      <c r="H362" s="289"/>
      <c r="I362" s="289"/>
      <c r="J362" s="289"/>
      <c r="K362" s="289"/>
      <c r="L362" s="289"/>
    </row>
    <row r="363" spans="1:12" ht="14.25" customHeight="1" x14ac:dyDescent="0.25">
      <c r="A363" s="289"/>
      <c r="G363" s="289"/>
      <c r="H363" s="289"/>
      <c r="I363" s="289"/>
      <c r="J363" s="289"/>
      <c r="K363" s="289"/>
      <c r="L363" s="289"/>
    </row>
    <row r="364" spans="1:12" ht="14.25" customHeight="1" x14ac:dyDescent="0.25">
      <c r="A364" s="289"/>
      <c r="G364" s="289"/>
      <c r="H364" s="289"/>
      <c r="I364" s="289"/>
      <c r="J364" s="289"/>
      <c r="K364" s="289"/>
      <c r="L364" s="289"/>
    </row>
    <row r="365" spans="1:12" ht="14.25" customHeight="1" x14ac:dyDescent="0.25">
      <c r="A365" s="289"/>
      <c r="G365" s="289"/>
      <c r="H365" s="289"/>
      <c r="I365" s="289"/>
      <c r="J365" s="289"/>
      <c r="K365" s="289"/>
      <c r="L365" s="289"/>
    </row>
    <row r="366" spans="1:12" ht="14.25" customHeight="1" x14ac:dyDescent="0.25">
      <c r="A366" s="289"/>
      <c r="G366" s="289"/>
      <c r="H366" s="289"/>
      <c r="I366" s="289"/>
      <c r="J366" s="289"/>
      <c r="K366" s="289"/>
      <c r="L366" s="289"/>
    </row>
    <row r="367" spans="1:12" ht="14.25" customHeight="1" x14ac:dyDescent="0.25">
      <c r="A367" s="289"/>
      <c r="G367" s="289"/>
      <c r="H367" s="289"/>
      <c r="I367" s="289"/>
      <c r="J367" s="289"/>
      <c r="K367" s="289"/>
      <c r="L367" s="289"/>
    </row>
    <row r="368" spans="1:12" ht="14.25" customHeight="1" x14ac:dyDescent="0.25">
      <c r="A368" s="289"/>
      <c r="G368" s="289"/>
      <c r="H368" s="289"/>
      <c r="I368" s="289"/>
      <c r="J368" s="289"/>
      <c r="K368" s="289"/>
      <c r="L368" s="289"/>
    </row>
    <row r="369" spans="1:12" ht="14.25" customHeight="1" x14ac:dyDescent="0.25">
      <c r="A369" s="289"/>
      <c r="G369" s="289"/>
      <c r="H369" s="289"/>
      <c r="I369" s="289"/>
      <c r="J369" s="289"/>
      <c r="K369" s="289"/>
      <c r="L369" s="289"/>
    </row>
    <row r="370" spans="1:12" ht="14.25" customHeight="1" x14ac:dyDescent="0.25">
      <c r="A370" s="289"/>
      <c r="G370" s="289"/>
      <c r="H370" s="289"/>
      <c r="I370" s="289"/>
      <c r="J370" s="289"/>
      <c r="K370" s="289"/>
      <c r="L370" s="289"/>
    </row>
    <row r="371" spans="1:12" ht="14.25" customHeight="1" x14ac:dyDescent="0.25">
      <c r="A371" s="289"/>
      <c r="G371" s="289"/>
      <c r="H371" s="289"/>
      <c r="I371" s="289"/>
      <c r="J371" s="289"/>
      <c r="K371" s="289"/>
      <c r="L371" s="289"/>
    </row>
    <row r="372" spans="1:12" ht="14.25" customHeight="1" x14ac:dyDescent="0.25">
      <c r="A372" s="289"/>
      <c r="G372" s="289"/>
      <c r="H372" s="289"/>
      <c r="I372" s="289"/>
      <c r="J372" s="289"/>
      <c r="K372" s="289"/>
      <c r="L372" s="289"/>
    </row>
    <row r="373" spans="1:12" ht="14.25" customHeight="1" x14ac:dyDescent="0.25">
      <c r="A373" s="289"/>
      <c r="G373" s="289"/>
      <c r="H373" s="289"/>
      <c r="I373" s="289"/>
      <c r="J373" s="289"/>
      <c r="K373" s="289"/>
      <c r="L373" s="289"/>
    </row>
    <row r="374" spans="1:12" ht="14.25" customHeight="1" x14ac:dyDescent="0.25">
      <c r="A374" s="289"/>
      <c r="G374" s="289"/>
      <c r="H374" s="289"/>
      <c r="I374" s="289"/>
      <c r="J374" s="289"/>
      <c r="K374" s="289"/>
      <c r="L374" s="289"/>
    </row>
    <row r="375" spans="1:12" ht="14.25" customHeight="1" x14ac:dyDescent="0.25">
      <c r="A375" s="289"/>
      <c r="G375" s="289"/>
      <c r="H375" s="289"/>
      <c r="I375" s="289"/>
      <c r="J375" s="289"/>
      <c r="K375" s="289"/>
      <c r="L375" s="289"/>
    </row>
    <row r="376" spans="1:12" ht="14.25" customHeight="1" x14ac:dyDescent="0.25">
      <c r="A376" s="289"/>
      <c r="G376" s="289"/>
      <c r="H376" s="289"/>
      <c r="I376" s="289"/>
      <c r="J376" s="289"/>
      <c r="K376" s="289"/>
      <c r="L376" s="289"/>
    </row>
    <row r="377" spans="1:12" ht="14.25" customHeight="1" x14ac:dyDescent="0.25">
      <c r="A377" s="289"/>
      <c r="G377" s="289"/>
      <c r="H377" s="289"/>
      <c r="I377" s="289"/>
      <c r="J377" s="289"/>
      <c r="K377" s="289"/>
      <c r="L377" s="289"/>
    </row>
    <row r="378" spans="1:12" ht="14.25" customHeight="1" x14ac:dyDescent="0.25">
      <c r="A378" s="289"/>
      <c r="G378" s="289"/>
      <c r="H378" s="289"/>
      <c r="I378" s="289"/>
      <c r="J378" s="289"/>
      <c r="K378" s="289"/>
      <c r="L378" s="289"/>
    </row>
    <row r="379" spans="1:12" ht="14.25" customHeight="1" x14ac:dyDescent="0.25">
      <c r="A379" s="289"/>
      <c r="G379" s="289"/>
      <c r="H379" s="289"/>
      <c r="I379" s="289"/>
      <c r="J379" s="289"/>
      <c r="K379" s="289"/>
      <c r="L379" s="289"/>
    </row>
    <row r="380" spans="1:12" ht="14.25" customHeight="1" x14ac:dyDescent="0.25">
      <c r="A380" s="289"/>
      <c r="G380" s="289"/>
      <c r="H380" s="289"/>
      <c r="I380" s="289"/>
      <c r="J380" s="289"/>
      <c r="K380" s="289"/>
      <c r="L380" s="289"/>
    </row>
    <row r="381" spans="1:12" ht="14.25" customHeight="1" x14ac:dyDescent="0.25">
      <c r="A381" s="289"/>
      <c r="G381" s="289"/>
      <c r="H381" s="289"/>
      <c r="I381" s="289"/>
      <c r="J381" s="289"/>
      <c r="K381" s="289"/>
      <c r="L381" s="289"/>
    </row>
    <row r="382" spans="1:12" ht="14.25" customHeight="1" x14ac:dyDescent="0.25">
      <c r="A382" s="289"/>
      <c r="G382" s="289"/>
      <c r="H382" s="289"/>
      <c r="I382" s="289"/>
      <c r="J382" s="289"/>
      <c r="K382" s="289"/>
      <c r="L382" s="289"/>
    </row>
    <row r="383" spans="1:12" ht="14.25" customHeight="1" x14ac:dyDescent="0.25">
      <c r="A383" s="289"/>
      <c r="G383" s="289"/>
      <c r="H383" s="289"/>
      <c r="I383" s="289"/>
      <c r="J383" s="289"/>
      <c r="K383" s="289"/>
      <c r="L383" s="289"/>
    </row>
    <row r="384" spans="1:12" ht="14.25" customHeight="1" x14ac:dyDescent="0.25">
      <c r="A384" s="289"/>
      <c r="G384" s="289"/>
      <c r="H384" s="289"/>
      <c r="I384" s="289"/>
      <c r="J384" s="289"/>
      <c r="K384" s="289"/>
      <c r="L384" s="289"/>
    </row>
    <row r="385" spans="1:12" ht="14.25" customHeight="1" x14ac:dyDescent="0.25">
      <c r="A385" s="289"/>
      <c r="G385" s="289"/>
      <c r="H385" s="289"/>
      <c r="I385" s="289"/>
      <c r="J385" s="289"/>
      <c r="K385" s="289"/>
      <c r="L385" s="289"/>
    </row>
    <row r="386" spans="1:12" ht="14.25" customHeight="1" x14ac:dyDescent="0.25">
      <c r="A386" s="289"/>
      <c r="G386" s="289"/>
      <c r="H386" s="289"/>
      <c r="I386" s="289"/>
      <c r="J386" s="289"/>
      <c r="K386" s="289"/>
      <c r="L386" s="289"/>
    </row>
    <row r="387" spans="1:12" ht="14.25" customHeight="1" x14ac:dyDescent="0.25">
      <c r="A387" s="289"/>
      <c r="G387" s="289"/>
      <c r="H387" s="289"/>
      <c r="I387" s="289"/>
      <c r="J387" s="289"/>
      <c r="K387" s="289"/>
      <c r="L387" s="289"/>
    </row>
    <row r="388" spans="1:12" ht="14.25" customHeight="1" x14ac:dyDescent="0.25">
      <c r="A388" s="289"/>
      <c r="G388" s="289"/>
      <c r="H388" s="289"/>
      <c r="I388" s="289"/>
      <c r="J388" s="289"/>
      <c r="K388" s="289"/>
      <c r="L388" s="289"/>
    </row>
    <row r="389" spans="1:12" ht="14.25" customHeight="1" x14ac:dyDescent="0.25">
      <c r="A389" s="289"/>
      <c r="G389" s="289"/>
      <c r="H389" s="289"/>
      <c r="I389" s="289"/>
      <c r="J389" s="289"/>
      <c r="K389" s="289"/>
      <c r="L389" s="289"/>
    </row>
    <row r="390" spans="1:12" ht="14.25" customHeight="1" x14ac:dyDescent="0.25">
      <c r="A390" s="289"/>
      <c r="G390" s="289"/>
      <c r="H390" s="289"/>
      <c r="I390" s="289"/>
      <c r="J390" s="289"/>
      <c r="K390" s="289"/>
      <c r="L390" s="289"/>
    </row>
    <row r="391" spans="1:12" ht="14.25" customHeight="1" x14ac:dyDescent="0.25">
      <c r="A391" s="289"/>
      <c r="G391" s="289"/>
      <c r="H391" s="289"/>
      <c r="I391" s="289"/>
      <c r="J391" s="289"/>
      <c r="K391" s="289"/>
      <c r="L391" s="289"/>
    </row>
    <row r="392" spans="1:12" ht="14.25" customHeight="1" x14ac:dyDescent="0.25">
      <c r="A392" s="289"/>
      <c r="G392" s="289"/>
      <c r="H392" s="289"/>
      <c r="I392" s="289"/>
      <c r="J392" s="289"/>
      <c r="K392" s="289"/>
      <c r="L392" s="289"/>
    </row>
    <row r="393" spans="1:12" ht="14.25" customHeight="1" x14ac:dyDescent="0.25">
      <c r="A393" s="289"/>
      <c r="G393" s="289"/>
      <c r="H393" s="289"/>
      <c r="I393" s="289"/>
      <c r="J393" s="289"/>
      <c r="K393" s="289"/>
      <c r="L393" s="289"/>
    </row>
    <row r="394" spans="1:12" ht="14.25" customHeight="1" x14ac:dyDescent="0.25">
      <c r="A394" s="289"/>
      <c r="G394" s="289"/>
      <c r="H394" s="289"/>
      <c r="I394" s="289"/>
      <c r="J394" s="289"/>
      <c r="K394" s="289"/>
      <c r="L394" s="289"/>
    </row>
    <row r="395" spans="1:12" ht="14.25" customHeight="1" x14ac:dyDescent="0.25">
      <c r="A395" s="289"/>
      <c r="G395" s="289"/>
      <c r="H395" s="289"/>
      <c r="I395" s="289"/>
      <c r="J395" s="289"/>
      <c r="K395" s="289"/>
      <c r="L395" s="289"/>
    </row>
    <row r="396" spans="1:12" ht="14.25" customHeight="1" x14ac:dyDescent="0.25">
      <c r="A396" s="289"/>
      <c r="G396" s="289"/>
      <c r="H396" s="289"/>
      <c r="I396" s="289"/>
      <c r="J396" s="289"/>
      <c r="K396" s="289"/>
      <c r="L396" s="289"/>
    </row>
    <row r="397" spans="1:12" ht="14.25" customHeight="1" x14ac:dyDescent="0.25">
      <c r="A397" s="289"/>
      <c r="G397" s="289"/>
      <c r="H397" s="289"/>
      <c r="I397" s="289"/>
      <c r="J397" s="289"/>
      <c r="K397" s="289"/>
      <c r="L397" s="289"/>
    </row>
    <row r="398" spans="1:12" ht="14.25" customHeight="1" x14ac:dyDescent="0.25">
      <c r="A398" s="289"/>
      <c r="G398" s="289"/>
      <c r="H398" s="289"/>
      <c r="I398" s="289"/>
      <c r="J398" s="289"/>
      <c r="K398" s="289"/>
      <c r="L398" s="289"/>
    </row>
    <row r="399" spans="1:12" ht="14.25" customHeight="1" x14ac:dyDescent="0.25">
      <c r="A399" s="289"/>
      <c r="G399" s="289"/>
      <c r="H399" s="289"/>
      <c r="I399" s="289"/>
      <c r="J399" s="289"/>
      <c r="K399" s="289"/>
      <c r="L399" s="289"/>
    </row>
    <row r="400" spans="1:12" ht="14.25" customHeight="1" x14ac:dyDescent="0.25">
      <c r="A400" s="289"/>
      <c r="G400" s="289"/>
      <c r="H400" s="289"/>
      <c r="I400" s="289"/>
      <c r="J400" s="289"/>
      <c r="K400" s="289"/>
      <c r="L400" s="289"/>
    </row>
    <row r="401" spans="1:12" ht="14.25" customHeight="1" x14ac:dyDescent="0.25">
      <c r="A401" s="289"/>
      <c r="G401" s="289"/>
      <c r="H401" s="289"/>
      <c r="I401" s="289"/>
      <c r="J401" s="289"/>
      <c r="K401" s="289"/>
      <c r="L401" s="289"/>
    </row>
    <row r="402" spans="1:12" ht="14.25" customHeight="1" x14ac:dyDescent="0.25">
      <c r="A402" s="289"/>
      <c r="G402" s="289"/>
      <c r="H402" s="289"/>
      <c r="I402" s="289"/>
      <c r="J402" s="289"/>
      <c r="K402" s="289"/>
      <c r="L402" s="289"/>
    </row>
    <row r="403" spans="1:12" ht="14.25" customHeight="1" x14ac:dyDescent="0.25">
      <c r="A403" s="289"/>
      <c r="G403" s="289"/>
      <c r="H403" s="289"/>
      <c r="I403" s="289"/>
      <c r="J403" s="289"/>
      <c r="K403" s="289"/>
      <c r="L403" s="289"/>
    </row>
    <row r="404" spans="1:12" ht="14.25" customHeight="1" x14ac:dyDescent="0.25">
      <c r="A404" s="289"/>
      <c r="G404" s="289"/>
      <c r="H404" s="289"/>
      <c r="I404" s="289"/>
      <c r="J404" s="289"/>
      <c r="K404" s="289"/>
      <c r="L404" s="289"/>
    </row>
    <row r="405" spans="1:12" ht="14.25" customHeight="1" x14ac:dyDescent="0.25">
      <c r="A405" s="289"/>
      <c r="G405" s="289"/>
      <c r="H405" s="289"/>
      <c r="I405" s="289"/>
      <c r="J405" s="289"/>
      <c r="K405" s="289"/>
      <c r="L405" s="289"/>
    </row>
    <row r="406" spans="1:12" ht="14.25" customHeight="1" x14ac:dyDescent="0.25">
      <c r="A406" s="289"/>
      <c r="G406" s="289"/>
      <c r="H406" s="289"/>
      <c r="I406" s="289"/>
      <c r="J406" s="289"/>
      <c r="K406" s="289"/>
      <c r="L406" s="289"/>
    </row>
    <row r="407" spans="1:12" ht="14.25" customHeight="1" x14ac:dyDescent="0.25">
      <c r="A407" s="289"/>
      <c r="G407" s="289"/>
      <c r="H407" s="289"/>
      <c r="I407" s="289"/>
      <c r="J407" s="289"/>
      <c r="K407" s="289"/>
      <c r="L407" s="289"/>
    </row>
    <row r="408" spans="1:12" ht="14.25" customHeight="1" x14ac:dyDescent="0.25">
      <c r="A408" s="289"/>
      <c r="G408" s="289"/>
      <c r="H408" s="289"/>
      <c r="I408" s="289"/>
      <c r="J408" s="289"/>
      <c r="K408" s="289"/>
      <c r="L408" s="289"/>
    </row>
    <row r="409" spans="1:12" ht="14.25" customHeight="1" x14ac:dyDescent="0.25">
      <c r="A409" s="289"/>
      <c r="G409" s="289"/>
      <c r="H409" s="289"/>
      <c r="I409" s="289"/>
      <c r="J409" s="289"/>
      <c r="K409" s="289"/>
      <c r="L409" s="289"/>
    </row>
    <row r="410" spans="1:12" ht="14.25" customHeight="1" x14ac:dyDescent="0.25">
      <c r="A410" s="289"/>
      <c r="G410" s="289"/>
      <c r="H410" s="289"/>
      <c r="I410" s="289"/>
      <c r="J410" s="289"/>
      <c r="K410" s="289"/>
      <c r="L410" s="289"/>
    </row>
    <row r="411" spans="1:12" ht="14.25" customHeight="1" x14ac:dyDescent="0.25">
      <c r="A411" s="289"/>
      <c r="G411" s="289"/>
      <c r="H411" s="289"/>
      <c r="I411" s="289"/>
      <c r="J411" s="289"/>
      <c r="K411" s="289"/>
      <c r="L411" s="289"/>
    </row>
    <row r="412" spans="1:12" ht="14.25" customHeight="1" x14ac:dyDescent="0.25">
      <c r="A412" s="289"/>
      <c r="G412" s="289"/>
      <c r="H412" s="289"/>
      <c r="I412" s="289"/>
      <c r="J412" s="289"/>
      <c r="K412" s="289"/>
      <c r="L412" s="289"/>
    </row>
    <row r="413" spans="1:12" ht="14.25" customHeight="1" x14ac:dyDescent="0.25">
      <c r="A413" s="289"/>
      <c r="G413" s="289"/>
      <c r="H413" s="289"/>
      <c r="I413" s="289"/>
      <c r="J413" s="289"/>
      <c r="K413" s="289"/>
      <c r="L413" s="289"/>
    </row>
    <row r="414" spans="1:12" ht="14.25" customHeight="1" x14ac:dyDescent="0.25">
      <c r="A414" s="289"/>
      <c r="G414" s="289"/>
      <c r="H414" s="289"/>
      <c r="I414" s="289"/>
      <c r="J414" s="289"/>
      <c r="K414" s="289"/>
      <c r="L414" s="289"/>
    </row>
    <row r="415" spans="1:12" ht="14.25" customHeight="1" x14ac:dyDescent="0.25">
      <c r="A415" s="289"/>
      <c r="G415" s="289"/>
      <c r="H415" s="289"/>
      <c r="I415" s="289"/>
      <c r="J415" s="289"/>
      <c r="K415" s="289"/>
      <c r="L415" s="289"/>
    </row>
    <row r="416" spans="1:12" ht="14.25" customHeight="1" x14ac:dyDescent="0.25">
      <c r="A416" s="289"/>
      <c r="G416" s="289"/>
      <c r="H416" s="289"/>
      <c r="I416" s="289"/>
      <c r="J416" s="289"/>
      <c r="K416" s="289"/>
      <c r="L416" s="289"/>
    </row>
    <row r="417" spans="1:12" ht="14.25" customHeight="1" x14ac:dyDescent="0.25">
      <c r="A417" s="289"/>
      <c r="G417" s="289"/>
      <c r="H417" s="289"/>
      <c r="I417" s="289"/>
      <c r="J417" s="289"/>
      <c r="K417" s="289"/>
      <c r="L417" s="289"/>
    </row>
    <row r="418" spans="1:12" ht="14.25" customHeight="1" x14ac:dyDescent="0.25">
      <c r="A418" s="289"/>
      <c r="G418" s="289"/>
      <c r="H418" s="289"/>
      <c r="I418" s="289"/>
      <c r="J418" s="289"/>
      <c r="K418" s="289"/>
      <c r="L418" s="289"/>
    </row>
    <row r="419" spans="1:12" ht="14.25" customHeight="1" x14ac:dyDescent="0.25">
      <c r="A419" s="289"/>
      <c r="G419" s="289"/>
      <c r="H419" s="289"/>
      <c r="I419" s="289"/>
      <c r="J419" s="289"/>
      <c r="K419" s="289"/>
      <c r="L419" s="289"/>
    </row>
    <row r="420" spans="1:12" ht="14.25" customHeight="1" x14ac:dyDescent="0.25">
      <c r="A420" s="289"/>
      <c r="G420" s="289"/>
      <c r="H420" s="289"/>
      <c r="I420" s="289"/>
      <c r="J420" s="289"/>
      <c r="K420" s="289"/>
      <c r="L420" s="289"/>
    </row>
    <row r="421" spans="1:12" ht="14.25" customHeight="1" x14ac:dyDescent="0.25">
      <c r="A421" s="289"/>
      <c r="G421" s="289"/>
      <c r="H421" s="289"/>
      <c r="I421" s="289"/>
      <c r="J421" s="289"/>
      <c r="K421" s="289"/>
      <c r="L421" s="289"/>
    </row>
    <row r="422" spans="1:12" ht="14.25" customHeight="1" x14ac:dyDescent="0.25">
      <c r="A422" s="289"/>
      <c r="G422" s="289"/>
      <c r="H422" s="289"/>
      <c r="I422" s="289"/>
      <c r="J422" s="289"/>
      <c r="K422" s="289"/>
      <c r="L422" s="289"/>
    </row>
    <row r="423" spans="1:12" ht="14.25" customHeight="1" x14ac:dyDescent="0.25">
      <c r="A423" s="289"/>
      <c r="G423" s="289"/>
      <c r="H423" s="289"/>
      <c r="I423" s="289"/>
      <c r="J423" s="289"/>
      <c r="K423" s="289"/>
      <c r="L423" s="289"/>
    </row>
    <row r="424" spans="1:12" ht="14.25" customHeight="1" x14ac:dyDescent="0.25">
      <c r="A424" s="289"/>
      <c r="G424" s="289"/>
      <c r="H424" s="289"/>
      <c r="I424" s="289"/>
      <c r="J424" s="289"/>
      <c r="K424" s="289"/>
      <c r="L424" s="289"/>
    </row>
    <row r="425" spans="1:12" ht="14.25" customHeight="1" x14ac:dyDescent="0.25">
      <c r="A425" s="289"/>
      <c r="G425" s="289"/>
      <c r="H425" s="289"/>
      <c r="I425" s="289"/>
      <c r="J425" s="289"/>
      <c r="K425" s="289"/>
      <c r="L425" s="289"/>
    </row>
    <row r="426" spans="1:12" ht="14.25" customHeight="1" x14ac:dyDescent="0.25">
      <c r="A426" s="289"/>
      <c r="G426" s="289"/>
      <c r="H426" s="289"/>
      <c r="I426" s="289"/>
      <c r="J426" s="289"/>
      <c r="K426" s="289"/>
      <c r="L426" s="289"/>
    </row>
    <row r="427" spans="1:12" ht="14.25" customHeight="1" x14ac:dyDescent="0.25">
      <c r="A427" s="289"/>
      <c r="G427" s="289"/>
      <c r="H427" s="289"/>
      <c r="I427" s="289"/>
      <c r="J427" s="289"/>
      <c r="K427" s="289"/>
      <c r="L427" s="289"/>
    </row>
    <row r="428" spans="1:12" ht="14.25" customHeight="1" x14ac:dyDescent="0.25">
      <c r="A428" s="289"/>
      <c r="G428" s="289"/>
      <c r="H428" s="289"/>
      <c r="I428" s="289"/>
      <c r="J428" s="289"/>
      <c r="K428" s="289"/>
      <c r="L428" s="289"/>
    </row>
    <row r="429" spans="1:12" ht="14.25" customHeight="1" x14ac:dyDescent="0.25">
      <c r="A429" s="289"/>
      <c r="G429" s="289"/>
      <c r="H429" s="289"/>
      <c r="I429" s="289"/>
      <c r="J429" s="289"/>
      <c r="K429" s="289"/>
      <c r="L429" s="289"/>
    </row>
    <row r="430" spans="1:12" ht="14.25" customHeight="1" x14ac:dyDescent="0.25">
      <c r="A430" s="289"/>
      <c r="G430" s="289"/>
      <c r="H430" s="289"/>
      <c r="I430" s="289"/>
      <c r="J430" s="289"/>
      <c r="K430" s="289"/>
      <c r="L430" s="289"/>
    </row>
    <row r="431" spans="1:12" ht="14.25" customHeight="1" x14ac:dyDescent="0.25">
      <c r="A431" s="289"/>
      <c r="G431" s="289"/>
      <c r="H431" s="289"/>
      <c r="I431" s="289"/>
      <c r="J431" s="289"/>
      <c r="K431" s="289"/>
      <c r="L431" s="289"/>
    </row>
    <row r="432" spans="1:12" ht="14.25" customHeight="1" x14ac:dyDescent="0.25">
      <c r="A432" s="289"/>
      <c r="G432" s="289"/>
      <c r="H432" s="289"/>
      <c r="I432" s="289"/>
      <c r="J432" s="289"/>
      <c r="K432" s="289"/>
      <c r="L432" s="289"/>
    </row>
    <row r="433" spans="1:12" ht="14.25" customHeight="1" x14ac:dyDescent="0.25">
      <c r="A433" s="289"/>
      <c r="G433" s="289"/>
      <c r="H433" s="289"/>
      <c r="I433" s="289"/>
      <c r="J433" s="289"/>
      <c r="K433" s="289"/>
      <c r="L433" s="289"/>
    </row>
    <row r="434" spans="1:12" ht="14.25" customHeight="1" x14ac:dyDescent="0.25">
      <c r="A434" s="289"/>
      <c r="G434" s="289"/>
      <c r="H434" s="289"/>
      <c r="I434" s="289"/>
      <c r="J434" s="289"/>
      <c r="K434" s="289"/>
      <c r="L434" s="289"/>
    </row>
    <row r="435" spans="1:12" ht="14.25" customHeight="1" x14ac:dyDescent="0.25">
      <c r="A435" s="289"/>
      <c r="G435" s="289"/>
      <c r="H435" s="289"/>
      <c r="I435" s="289"/>
      <c r="J435" s="289"/>
      <c r="K435" s="289"/>
      <c r="L435" s="289"/>
    </row>
    <row r="436" spans="1:12" ht="14.25" customHeight="1" x14ac:dyDescent="0.25">
      <c r="A436" s="289"/>
      <c r="G436" s="289"/>
      <c r="H436" s="289"/>
      <c r="I436" s="289"/>
      <c r="J436" s="289"/>
      <c r="K436" s="289"/>
      <c r="L436" s="289"/>
    </row>
    <row r="437" spans="1:12" ht="14.25" customHeight="1" x14ac:dyDescent="0.25">
      <c r="A437" s="289"/>
      <c r="G437" s="289"/>
      <c r="H437" s="289"/>
      <c r="I437" s="289"/>
      <c r="J437" s="289"/>
      <c r="K437" s="289"/>
      <c r="L437" s="289"/>
    </row>
    <row r="438" spans="1:12" ht="14.25" customHeight="1" x14ac:dyDescent="0.25">
      <c r="A438" s="289"/>
      <c r="G438" s="289"/>
      <c r="H438" s="289"/>
      <c r="I438" s="289"/>
      <c r="J438" s="289"/>
      <c r="K438" s="289"/>
      <c r="L438" s="289"/>
    </row>
    <row r="439" spans="1:12" ht="14.25" customHeight="1" x14ac:dyDescent="0.25">
      <c r="A439" s="289"/>
      <c r="G439" s="289"/>
      <c r="H439" s="289"/>
      <c r="I439" s="289"/>
      <c r="J439" s="289"/>
      <c r="K439" s="289"/>
      <c r="L439" s="289"/>
    </row>
    <row r="440" spans="1:12" ht="14.25" customHeight="1" x14ac:dyDescent="0.25">
      <c r="A440" s="289"/>
      <c r="G440" s="289"/>
      <c r="H440" s="289"/>
      <c r="I440" s="289"/>
      <c r="J440" s="289"/>
      <c r="K440" s="289"/>
      <c r="L440" s="289"/>
    </row>
    <row r="441" spans="1:12" ht="14.25" customHeight="1" x14ac:dyDescent="0.25">
      <c r="A441" s="289"/>
      <c r="G441" s="289"/>
      <c r="H441" s="289"/>
      <c r="I441" s="289"/>
      <c r="J441" s="289"/>
      <c r="K441" s="289"/>
      <c r="L441" s="289"/>
    </row>
    <row r="442" spans="1:12" ht="14.25" customHeight="1" x14ac:dyDescent="0.25">
      <c r="A442" s="289"/>
      <c r="G442" s="289"/>
      <c r="H442" s="289"/>
      <c r="I442" s="289"/>
      <c r="J442" s="289"/>
      <c r="K442" s="289"/>
      <c r="L442" s="289"/>
    </row>
    <row r="443" spans="1:12" ht="14.25" customHeight="1" x14ac:dyDescent="0.25">
      <c r="A443" s="289"/>
      <c r="G443" s="289"/>
      <c r="H443" s="289"/>
      <c r="I443" s="289"/>
      <c r="J443" s="289"/>
      <c r="K443" s="289"/>
      <c r="L443" s="289"/>
    </row>
    <row r="444" spans="1:12" ht="14.25" customHeight="1" x14ac:dyDescent="0.25">
      <c r="A444" s="289"/>
      <c r="G444" s="289"/>
      <c r="H444" s="289"/>
      <c r="I444" s="289"/>
      <c r="J444" s="289"/>
      <c r="K444" s="289"/>
      <c r="L444" s="289"/>
    </row>
    <row r="445" spans="1:12" ht="14.25" customHeight="1" x14ac:dyDescent="0.25">
      <c r="A445" s="289"/>
      <c r="G445" s="289"/>
      <c r="H445" s="289"/>
      <c r="I445" s="289"/>
      <c r="J445" s="289"/>
      <c r="K445" s="289"/>
      <c r="L445" s="289"/>
    </row>
    <row r="446" spans="1:12" ht="14.25" customHeight="1" x14ac:dyDescent="0.25">
      <c r="A446" s="289"/>
      <c r="G446" s="289"/>
      <c r="H446" s="289"/>
      <c r="I446" s="289"/>
      <c r="J446" s="289"/>
      <c r="K446" s="289"/>
      <c r="L446" s="289"/>
    </row>
    <row r="447" spans="1:12" ht="14.25" customHeight="1" x14ac:dyDescent="0.25">
      <c r="A447" s="289"/>
      <c r="G447" s="289"/>
      <c r="H447" s="289"/>
      <c r="I447" s="289"/>
      <c r="J447" s="289"/>
      <c r="K447" s="289"/>
      <c r="L447" s="289"/>
    </row>
    <row r="448" spans="1:12" ht="14.25" customHeight="1" x14ac:dyDescent="0.25">
      <c r="A448" s="289"/>
      <c r="G448" s="289"/>
      <c r="H448" s="289"/>
      <c r="I448" s="289"/>
      <c r="J448" s="289"/>
      <c r="K448" s="289"/>
      <c r="L448" s="289"/>
    </row>
    <row r="449" spans="1:12" ht="14.25" customHeight="1" x14ac:dyDescent="0.25">
      <c r="A449" s="289"/>
      <c r="G449" s="289"/>
      <c r="H449" s="289"/>
      <c r="I449" s="289"/>
      <c r="J449" s="289"/>
      <c r="K449" s="289"/>
      <c r="L449" s="289"/>
    </row>
    <row r="450" spans="1:12" ht="14.25" customHeight="1" x14ac:dyDescent="0.25">
      <c r="A450" s="289"/>
      <c r="G450" s="289"/>
      <c r="H450" s="289"/>
      <c r="I450" s="289"/>
      <c r="J450" s="289"/>
      <c r="K450" s="289"/>
      <c r="L450" s="289"/>
    </row>
    <row r="451" spans="1:12" ht="14.25" customHeight="1" x14ac:dyDescent="0.25">
      <c r="A451" s="289"/>
      <c r="G451" s="289"/>
      <c r="H451" s="289"/>
      <c r="I451" s="289"/>
      <c r="J451" s="289"/>
      <c r="K451" s="289"/>
      <c r="L451" s="289"/>
    </row>
    <row r="452" spans="1:12" ht="14.25" customHeight="1" x14ac:dyDescent="0.25">
      <c r="A452" s="289"/>
      <c r="G452" s="289"/>
      <c r="H452" s="289"/>
      <c r="I452" s="289"/>
      <c r="J452" s="289"/>
      <c r="K452" s="289"/>
      <c r="L452" s="289"/>
    </row>
    <row r="453" spans="1:12" ht="14.25" customHeight="1" x14ac:dyDescent="0.25">
      <c r="A453" s="289"/>
      <c r="G453" s="289"/>
      <c r="H453" s="289"/>
      <c r="I453" s="289"/>
      <c r="J453" s="289"/>
      <c r="K453" s="289"/>
      <c r="L453" s="289"/>
    </row>
    <row r="454" spans="1:12" ht="14.25" customHeight="1" x14ac:dyDescent="0.25">
      <c r="A454" s="289"/>
      <c r="G454" s="289"/>
      <c r="H454" s="289"/>
      <c r="I454" s="289"/>
      <c r="J454" s="289"/>
      <c r="K454" s="289"/>
      <c r="L454" s="289"/>
    </row>
    <row r="455" spans="1:12" ht="14.25" customHeight="1" x14ac:dyDescent="0.25">
      <c r="A455" s="289"/>
      <c r="G455" s="289"/>
      <c r="H455" s="289"/>
      <c r="I455" s="289"/>
      <c r="J455" s="289"/>
      <c r="K455" s="289"/>
      <c r="L455" s="289"/>
    </row>
    <row r="456" spans="1:12" ht="14.25" customHeight="1" x14ac:dyDescent="0.25">
      <c r="A456" s="289"/>
      <c r="G456" s="289"/>
      <c r="H456" s="289"/>
      <c r="I456" s="289"/>
      <c r="J456" s="289"/>
      <c r="K456" s="289"/>
      <c r="L456" s="289"/>
    </row>
    <row r="457" spans="1:12" ht="14.25" customHeight="1" x14ac:dyDescent="0.25">
      <c r="A457" s="289"/>
      <c r="G457" s="289"/>
      <c r="H457" s="289"/>
      <c r="I457" s="289"/>
      <c r="J457" s="289"/>
      <c r="K457" s="289"/>
      <c r="L457" s="289"/>
    </row>
    <row r="458" spans="1:12" ht="14.25" customHeight="1" x14ac:dyDescent="0.25">
      <c r="A458" s="289"/>
      <c r="G458" s="289"/>
      <c r="H458" s="289"/>
      <c r="I458" s="289"/>
      <c r="J458" s="289"/>
      <c r="K458" s="289"/>
      <c r="L458" s="289"/>
    </row>
    <row r="459" spans="1:12" ht="14.25" customHeight="1" x14ac:dyDescent="0.25">
      <c r="A459" s="289"/>
      <c r="G459" s="289"/>
      <c r="H459" s="289"/>
      <c r="I459" s="289"/>
      <c r="J459" s="289"/>
      <c r="K459" s="289"/>
      <c r="L459" s="289"/>
    </row>
    <row r="460" spans="1:12" ht="14.25" customHeight="1" x14ac:dyDescent="0.25">
      <c r="A460" s="289"/>
      <c r="G460" s="289"/>
      <c r="H460" s="289"/>
      <c r="I460" s="289"/>
      <c r="J460" s="289"/>
      <c r="K460" s="289"/>
      <c r="L460" s="289"/>
    </row>
    <row r="461" spans="1:12" ht="14.25" customHeight="1" x14ac:dyDescent="0.25">
      <c r="A461" s="289"/>
      <c r="G461" s="289"/>
      <c r="H461" s="289"/>
      <c r="I461" s="289"/>
      <c r="J461" s="289"/>
      <c r="K461" s="289"/>
      <c r="L461" s="289"/>
    </row>
    <row r="462" spans="1:12" ht="14.25" customHeight="1" x14ac:dyDescent="0.25">
      <c r="A462" s="289"/>
      <c r="G462" s="289"/>
      <c r="H462" s="289"/>
      <c r="I462" s="289"/>
      <c r="J462" s="289"/>
      <c r="K462" s="289"/>
      <c r="L462" s="289"/>
    </row>
    <row r="463" spans="1:12" ht="14.25" customHeight="1" x14ac:dyDescent="0.25">
      <c r="A463" s="289"/>
      <c r="G463" s="289"/>
      <c r="H463" s="289"/>
      <c r="I463" s="289"/>
      <c r="J463" s="289"/>
      <c r="K463" s="289"/>
      <c r="L463" s="289"/>
    </row>
    <row r="464" spans="1:12" ht="14.25" customHeight="1" x14ac:dyDescent="0.25">
      <c r="A464" s="289"/>
      <c r="G464" s="289"/>
      <c r="H464" s="289"/>
      <c r="I464" s="289"/>
      <c r="J464" s="289"/>
      <c r="K464" s="289"/>
      <c r="L464" s="289"/>
    </row>
    <row r="465" spans="1:12" ht="14.25" customHeight="1" x14ac:dyDescent="0.25">
      <c r="A465" s="289"/>
      <c r="G465" s="289"/>
      <c r="H465" s="289"/>
      <c r="I465" s="289"/>
      <c r="J465" s="289"/>
      <c r="K465" s="289"/>
      <c r="L465" s="289"/>
    </row>
    <row r="466" spans="1:12" ht="14.25" customHeight="1" x14ac:dyDescent="0.25">
      <c r="A466" s="289"/>
      <c r="G466" s="289"/>
      <c r="H466" s="289"/>
      <c r="I466" s="289"/>
      <c r="J466" s="289"/>
      <c r="K466" s="289"/>
      <c r="L466" s="289"/>
    </row>
    <row r="467" spans="1:12" ht="14.25" customHeight="1" x14ac:dyDescent="0.25">
      <c r="A467" s="289"/>
      <c r="G467" s="289"/>
      <c r="H467" s="289"/>
      <c r="I467" s="289"/>
      <c r="J467" s="289"/>
      <c r="K467" s="289"/>
      <c r="L467" s="289"/>
    </row>
    <row r="468" spans="1:12" ht="14.25" customHeight="1" x14ac:dyDescent="0.25">
      <c r="A468" s="289"/>
      <c r="G468" s="289"/>
      <c r="H468" s="289"/>
      <c r="I468" s="289"/>
      <c r="J468" s="289"/>
      <c r="K468" s="289"/>
      <c r="L468" s="289"/>
    </row>
    <row r="469" spans="1:12" ht="14.25" customHeight="1" x14ac:dyDescent="0.25">
      <c r="A469" s="289"/>
      <c r="G469" s="289"/>
      <c r="H469" s="289"/>
      <c r="I469" s="289"/>
      <c r="J469" s="289"/>
      <c r="K469" s="289"/>
      <c r="L469" s="289"/>
    </row>
    <row r="470" spans="1:12" ht="14.25" customHeight="1" x14ac:dyDescent="0.25">
      <c r="A470" s="289"/>
      <c r="G470" s="289"/>
      <c r="H470" s="289"/>
      <c r="I470" s="289"/>
      <c r="J470" s="289"/>
      <c r="K470" s="289"/>
      <c r="L470" s="289"/>
    </row>
    <row r="471" spans="1:12" ht="14.25" customHeight="1" x14ac:dyDescent="0.25">
      <c r="A471" s="289"/>
      <c r="G471" s="289"/>
      <c r="H471" s="289"/>
      <c r="I471" s="289"/>
      <c r="J471" s="289"/>
      <c r="K471" s="289"/>
      <c r="L471" s="289"/>
    </row>
    <row r="472" spans="1:12" ht="14.25" customHeight="1" x14ac:dyDescent="0.25">
      <c r="A472" s="289"/>
      <c r="G472" s="289"/>
      <c r="H472" s="289"/>
      <c r="I472" s="289"/>
      <c r="J472" s="289"/>
      <c r="K472" s="289"/>
      <c r="L472" s="289"/>
    </row>
    <row r="473" spans="1:12" ht="14.25" customHeight="1" x14ac:dyDescent="0.25">
      <c r="A473" s="289"/>
      <c r="G473" s="289"/>
      <c r="H473" s="289"/>
      <c r="I473" s="289"/>
      <c r="J473" s="289"/>
      <c r="K473" s="289"/>
      <c r="L473" s="289"/>
    </row>
    <row r="474" spans="1:12" ht="14.25" customHeight="1" x14ac:dyDescent="0.25">
      <c r="A474" s="289"/>
      <c r="G474" s="289"/>
      <c r="H474" s="289"/>
      <c r="I474" s="289"/>
      <c r="J474" s="289"/>
      <c r="K474" s="289"/>
      <c r="L474" s="289"/>
    </row>
    <row r="475" spans="1:12" ht="14.25" customHeight="1" x14ac:dyDescent="0.25">
      <c r="A475" s="289"/>
      <c r="G475" s="289"/>
      <c r="H475" s="289"/>
      <c r="I475" s="289"/>
      <c r="J475" s="289"/>
      <c r="K475" s="289"/>
      <c r="L475" s="289"/>
    </row>
    <row r="476" spans="1:12" ht="14.25" customHeight="1" x14ac:dyDescent="0.25">
      <c r="A476" s="289"/>
      <c r="G476" s="289"/>
      <c r="H476" s="289"/>
      <c r="I476" s="289"/>
      <c r="J476" s="289"/>
      <c r="K476" s="289"/>
      <c r="L476" s="289"/>
    </row>
    <row r="477" spans="1:12" ht="14.25" customHeight="1" x14ac:dyDescent="0.25">
      <c r="A477" s="289"/>
      <c r="G477" s="289"/>
      <c r="H477" s="289"/>
      <c r="I477" s="289"/>
      <c r="J477" s="289"/>
      <c r="K477" s="289"/>
      <c r="L477" s="289"/>
    </row>
    <row r="478" spans="1:12" ht="14.25" customHeight="1" x14ac:dyDescent="0.25">
      <c r="A478" s="289"/>
      <c r="G478" s="289"/>
      <c r="H478" s="289"/>
      <c r="I478" s="289"/>
      <c r="J478" s="289"/>
      <c r="K478" s="289"/>
      <c r="L478" s="289"/>
    </row>
    <row r="479" spans="1:12" ht="14.25" customHeight="1" x14ac:dyDescent="0.25">
      <c r="A479" s="289"/>
      <c r="G479" s="289"/>
      <c r="H479" s="289"/>
      <c r="I479" s="289"/>
      <c r="J479" s="289"/>
      <c r="K479" s="289"/>
      <c r="L479" s="289"/>
    </row>
    <row r="480" spans="1:12" ht="14.25" customHeight="1" x14ac:dyDescent="0.25">
      <c r="A480" s="289"/>
      <c r="G480" s="289"/>
      <c r="H480" s="289"/>
      <c r="I480" s="289"/>
      <c r="J480" s="289"/>
      <c r="K480" s="289"/>
      <c r="L480" s="289"/>
    </row>
    <row r="481" spans="1:12" ht="14.25" customHeight="1" x14ac:dyDescent="0.25">
      <c r="A481" s="289"/>
      <c r="G481" s="289"/>
      <c r="H481" s="289"/>
      <c r="I481" s="289"/>
      <c r="J481" s="289"/>
      <c r="K481" s="289"/>
      <c r="L481" s="289"/>
    </row>
    <row r="482" spans="1:12" ht="14.25" customHeight="1" x14ac:dyDescent="0.25">
      <c r="A482" s="289"/>
      <c r="G482" s="289"/>
      <c r="H482" s="289"/>
      <c r="I482" s="289"/>
      <c r="J482" s="289"/>
      <c r="K482" s="289"/>
      <c r="L482" s="289"/>
    </row>
    <row r="483" spans="1:12" ht="14.25" customHeight="1" x14ac:dyDescent="0.25">
      <c r="A483" s="289"/>
      <c r="G483" s="289"/>
      <c r="H483" s="289"/>
      <c r="I483" s="289"/>
      <c r="J483" s="289"/>
      <c r="K483" s="289"/>
      <c r="L483" s="289"/>
    </row>
    <row r="484" spans="1:12" ht="14.25" customHeight="1" x14ac:dyDescent="0.25">
      <c r="A484" s="289"/>
      <c r="G484" s="289"/>
      <c r="H484" s="289"/>
      <c r="I484" s="289"/>
      <c r="J484" s="289"/>
      <c r="K484" s="289"/>
      <c r="L484" s="289"/>
    </row>
    <row r="485" spans="1:12" ht="14.25" customHeight="1" x14ac:dyDescent="0.25">
      <c r="A485" s="289"/>
      <c r="G485" s="289"/>
      <c r="H485" s="289"/>
      <c r="I485" s="289"/>
      <c r="J485" s="289"/>
      <c r="K485" s="289"/>
      <c r="L485" s="289"/>
    </row>
    <row r="486" spans="1:12" ht="14.25" customHeight="1" x14ac:dyDescent="0.25">
      <c r="A486" s="289"/>
      <c r="G486" s="289"/>
      <c r="H486" s="289"/>
      <c r="I486" s="289"/>
      <c r="J486" s="289"/>
      <c r="K486" s="289"/>
      <c r="L486" s="289"/>
    </row>
    <row r="487" spans="1:12" ht="14.25" customHeight="1" x14ac:dyDescent="0.25">
      <c r="A487" s="289"/>
      <c r="G487" s="289"/>
      <c r="H487" s="289"/>
      <c r="I487" s="289"/>
      <c r="J487" s="289"/>
      <c r="K487" s="289"/>
      <c r="L487" s="289"/>
    </row>
    <row r="488" spans="1:12" ht="14.25" customHeight="1" x14ac:dyDescent="0.25">
      <c r="A488" s="289"/>
      <c r="G488" s="289"/>
      <c r="H488" s="289"/>
      <c r="I488" s="289"/>
      <c r="J488" s="289"/>
      <c r="K488" s="289"/>
      <c r="L488" s="289"/>
    </row>
    <row r="489" spans="1:12" ht="14.25" customHeight="1" x14ac:dyDescent="0.25">
      <c r="A489" s="289"/>
      <c r="G489" s="289"/>
      <c r="H489" s="289"/>
      <c r="I489" s="289"/>
      <c r="J489" s="289"/>
      <c r="K489" s="289"/>
      <c r="L489" s="289"/>
    </row>
    <row r="490" spans="1:12" ht="14.25" customHeight="1" x14ac:dyDescent="0.25">
      <c r="A490" s="289"/>
      <c r="G490" s="289"/>
      <c r="H490" s="289"/>
      <c r="I490" s="289"/>
      <c r="J490" s="289"/>
      <c r="K490" s="289"/>
      <c r="L490" s="289"/>
    </row>
    <row r="491" spans="1:12" ht="14.25" customHeight="1" x14ac:dyDescent="0.25">
      <c r="A491" s="289"/>
      <c r="G491" s="289"/>
      <c r="H491" s="289"/>
      <c r="I491" s="289"/>
      <c r="J491" s="289"/>
      <c r="K491" s="289"/>
      <c r="L491" s="289"/>
    </row>
    <row r="492" spans="1:12" ht="14.25" customHeight="1" x14ac:dyDescent="0.25">
      <c r="A492" s="289"/>
      <c r="G492" s="289"/>
      <c r="H492" s="289"/>
      <c r="I492" s="289"/>
      <c r="J492" s="289"/>
      <c r="K492" s="289"/>
      <c r="L492" s="289"/>
    </row>
    <row r="493" spans="1:12" ht="14.25" customHeight="1" x14ac:dyDescent="0.25">
      <c r="A493" s="289"/>
      <c r="G493" s="289"/>
      <c r="H493" s="289"/>
      <c r="I493" s="289"/>
      <c r="J493" s="289"/>
      <c r="K493" s="289"/>
      <c r="L493" s="289"/>
    </row>
    <row r="494" spans="1:12" ht="14.25" customHeight="1" x14ac:dyDescent="0.25">
      <c r="A494" s="289"/>
      <c r="G494" s="289"/>
      <c r="H494" s="289"/>
      <c r="I494" s="289"/>
      <c r="J494" s="289"/>
      <c r="K494" s="289"/>
      <c r="L494" s="289"/>
    </row>
    <row r="495" spans="1:12" ht="14.25" customHeight="1" x14ac:dyDescent="0.25">
      <c r="A495" s="289"/>
      <c r="G495" s="289"/>
      <c r="H495" s="289"/>
      <c r="I495" s="289"/>
      <c r="J495" s="289"/>
      <c r="K495" s="289"/>
      <c r="L495" s="289"/>
    </row>
    <row r="496" spans="1:12" ht="14.25" customHeight="1" x14ac:dyDescent="0.25">
      <c r="A496" s="289"/>
      <c r="G496" s="289"/>
      <c r="H496" s="289"/>
      <c r="I496" s="289"/>
      <c r="J496" s="289"/>
      <c r="K496" s="289"/>
      <c r="L496" s="289"/>
    </row>
    <row r="497" spans="1:12" ht="14.25" customHeight="1" x14ac:dyDescent="0.25">
      <c r="A497" s="289"/>
      <c r="G497" s="289"/>
      <c r="H497" s="289"/>
      <c r="I497" s="289"/>
      <c r="J497" s="289"/>
      <c r="K497" s="289"/>
      <c r="L497" s="289"/>
    </row>
    <row r="498" spans="1:12" ht="14.25" customHeight="1" x14ac:dyDescent="0.25">
      <c r="A498" s="289"/>
      <c r="G498" s="289"/>
      <c r="H498" s="289"/>
      <c r="I498" s="289"/>
      <c r="J498" s="289"/>
      <c r="K498" s="289"/>
      <c r="L498" s="289"/>
    </row>
    <row r="499" spans="1:12" ht="14.25" customHeight="1" x14ac:dyDescent="0.25">
      <c r="A499" s="289"/>
      <c r="G499" s="289"/>
      <c r="H499" s="289"/>
      <c r="I499" s="289"/>
      <c r="J499" s="289"/>
      <c r="K499" s="289"/>
      <c r="L499" s="289"/>
    </row>
    <row r="500" spans="1:12" ht="14.25" customHeight="1" x14ac:dyDescent="0.25">
      <c r="A500" s="289"/>
      <c r="G500" s="289"/>
      <c r="H500" s="289"/>
      <c r="I500" s="289"/>
      <c r="J500" s="289"/>
      <c r="K500" s="289"/>
      <c r="L500" s="289"/>
    </row>
    <row r="501" spans="1:12" ht="14.25" customHeight="1" x14ac:dyDescent="0.25">
      <c r="A501" s="289"/>
      <c r="G501" s="289"/>
      <c r="H501" s="289"/>
      <c r="I501" s="289"/>
      <c r="J501" s="289"/>
      <c r="K501" s="289"/>
      <c r="L501" s="289"/>
    </row>
    <row r="502" spans="1:12" ht="14.25" customHeight="1" x14ac:dyDescent="0.25">
      <c r="A502" s="289"/>
      <c r="G502" s="289"/>
      <c r="H502" s="289"/>
      <c r="I502" s="289"/>
      <c r="J502" s="289"/>
      <c r="K502" s="289"/>
      <c r="L502" s="289"/>
    </row>
    <row r="503" spans="1:12" ht="14.25" customHeight="1" x14ac:dyDescent="0.25">
      <c r="A503" s="289"/>
      <c r="G503" s="289"/>
      <c r="H503" s="289"/>
      <c r="I503" s="289"/>
      <c r="J503" s="289"/>
      <c r="K503" s="289"/>
      <c r="L503" s="289"/>
    </row>
    <row r="504" spans="1:12" ht="14.25" customHeight="1" x14ac:dyDescent="0.25">
      <c r="A504" s="289"/>
      <c r="G504" s="289"/>
      <c r="H504" s="289"/>
      <c r="I504" s="289"/>
      <c r="J504" s="289"/>
      <c r="K504" s="289"/>
      <c r="L504" s="289"/>
    </row>
    <row r="505" spans="1:12" ht="14.25" customHeight="1" x14ac:dyDescent="0.25">
      <c r="A505" s="289"/>
      <c r="G505" s="289"/>
      <c r="H505" s="289"/>
      <c r="I505" s="289"/>
      <c r="J505" s="289"/>
      <c r="K505" s="289"/>
      <c r="L505" s="289"/>
    </row>
    <row r="506" spans="1:12" ht="14.25" customHeight="1" x14ac:dyDescent="0.25">
      <c r="A506" s="289"/>
      <c r="G506" s="289"/>
      <c r="H506" s="289"/>
      <c r="I506" s="289"/>
      <c r="J506" s="289"/>
      <c r="K506" s="289"/>
      <c r="L506" s="289"/>
    </row>
    <row r="507" spans="1:12" ht="14.25" customHeight="1" x14ac:dyDescent="0.25">
      <c r="A507" s="289"/>
      <c r="G507" s="289"/>
      <c r="H507" s="289"/>
      <c r="I507" s="289"/>
      <c r="J507" s="289"/>
      <c r="K507" s="289"/>
      <c r="L507" s="289"/>
    </row>
    <row r="508" spans="1:12" ht="14.25" customHeight="1" x14ac:dyDescent="0.25">
      <c r="A508" s="289"/>
      <c r="G508" s="289"/>
      <c r="H508" s="289"/>
      <c r="I508" s="289"/>
      <c r="J508" s="289"/>
      <c r="K508" s="289"/>
      <c r="L508" s="289"/>
    </row>
    <row r="509" spans="1:12" ht="14.25" customHeight="1" x14ac:dyDescent="0.25">
      <c r="A509" s="289"/>
      <c r="G509" s="289"/>
      <c r="H509" s="289"/>
      <c r="I509" s="289"/>
      <c r="J509" s="289"/>
      <c r="K509" s="289"/>
      <c r="L509" s="289"/>
    </row>
    <row r="510" spans="1:12" ht="14.25" customHeight="1" x14ac:dyDescent="0.25">
      <c r="A510" s="289"/>
      <c r="G510" s="289"/>
      <c r="H510" s="289"/>
      <c r="I510" s="289"/>
      <c r="J510" s="289"/>
      <c r="K510" s="289"/>
      <c r="L510" s="289"/>
    </row>
    <row r="511" spans="1:12" ht="14.25" customHeight="1" x14ac:dyDescent="0.25">
      <c r="A511" s="289"/>
      <c r="G511" s="289"/>
      <c r="H511" s="289"/>
      <c r="I511" s="289"/>
      <c r="J511" s="289"/>
      <c r="K511" s="289"/>
      <c r="L511" s="289"/>
    </row>
    <row r="512" spans="1:12" ht="14.25" customHeight="1" x14ac:dyDescent="0.25">
      <c r="A512" s="289"/>
      <c r="G512" s="289"/>
      <c r="H512" s="289"/>
      <c r="I512" s="289"/>
      <c r="J512" s="289"/>
      <c r="K512" s="289"/>
      <c r="L512" s="289"/>
    </row>
    <row r="513" spans="1:12" ht="14.25" customHeight="1" x14ac:dyDescent="0.25">
      <c r="A513" s="289"/>
      <c r="G513" s="289"/>
      <c r="H513" s="289"/>
      <c r="I513" s="289"/>
      <c r="J513" s="289"/>
      <c r="K513" s="289"/>
      <c r="L513" s="289"/>
    </row>
    <row r="514" spans="1:12" ht="14.25" customHeight="1" x14ac:dyDescent="0.25">
      <c r="A514" s="289"/>
      <c r="G514" s="289"/>
      <c r="H514" s="289"/>
      <c r="I514" s="289"/>
      <c r="J514" s="289"/>
      <c r="K514" s="289"/>
      <c r="L514" s="289"/>
    </row>
    <row r="515" spans="1:12" ht="14.25" customHeight="1" x14ac:dyDescent="0.25">
      <c r="A515" s="289"/>
      <c r="G515" s="289"/>
      <c r="H515" s="289"/>
      <c r="I515" s="289"/>
      <c r="J515" s="289"/>
      <c r="K515" s="289"/>
      <c r="L515" s="289"/>
    </row>
    <row r="516" spans="1:12" ht="14.25" customHeight="1" x14ac:dyDescent="0.25">
      <c r="A516" s="289"/>
      <c r="G516" s="289"/>
      <c r="H516" s="289"/>
      <c r="I516" s="289"/>
      <c r="J516" s="289"/>
      <c r="K516" s="289"/>
      <c r="L516" s="289"/>
    </row>
    <row r="517" spans="1:12" ht="14.25" customHeight="1" x14ac:dyDescent="0.25">
      <c r="A517" s="289"/>
      <c r="G517" s="289"/>
      <c r="H517" s="289"/>
      <c r="I517" s="289"/>
      <c r="J517" s="289"/>
      <c r="K517" s="289"/>
      <c r="L517" s="289"/>
    </row>
    <row r="518" spans="1:12" ht="14.25" customHeight="1" x14ac:dyDescent="0.25">
      <c r="A518" s="289"/>
      <c r="G518" s="289"/>
      <c r="H518" s="289"/>
      <c r="I518" s="289"/>
      <c r="J518" s="289"/>
      <c r="K518" s="289"/>
      <c r="L518" s="289"/>
    </row>
    <row r="519" spans="1:12" ht="14.25" customHeight="1" x14ac:dyDescent="0.25">
      <c r="A519" s="289"/>
      <c r="G519" s="289"/>
      <c r="H519" s="289"/>
      <c r="I519" s="289"/>
      <c r="J519" s="289"/>
      <c r="K519" s="289"/>
      <c r="L519" s="289"/>
    </row>
    <row r="520" spans="1:12" ht="14.25" customHeight="1" x14ac:dyDescent="0.25">
      <c r="A520" s="289"/>
      <c r="G520" s="289"/>
      <c r="H520" s="289"/>
      <c r="I520" s="289"/>
      <c r="J520" s="289"/>
      <c r="K520" s="289"/>
      <c r="L520" s="289"/>
    </row>
    <row r="521" spans="1:12" ht="14.25" customHeight="1" x14ac:dyDescent="0.25">
      <c r="A521" s="289"/>
      <c r="G521" s="289"/>
      <c r="H521" s="289"/>
      <c r="I521" s="289"/>
      <c r="J521" s="289"/>
      <c r="K521" s="289"/>
      <c r="L521" s="289"/>
    </row>
    <row r="522" spans="1:12" ht="14.25" customHeight="1" x14ac:dyDescent="0.25">
      <c r="A522" s="289"/>
      <c r="G522" s="289"/>
      <c r="H522" s="289"/>
      <c r="I522" s="289"/>
      <c r="J522" s="289"/>
      <c r="K522" s="289"/>
      <c r="L522" s="289"/>
    </row>
    <row r="523" spans="1:12" ht="14.25" customHeight="1" x14ac:dyDescent="0.25">
      <c r="A523" s="289"/>
      <c r="G523" s="289"/>
      <c r="H523" s="289"/>
      <c r="I523" s="289"/>
      <c r="J523" s="289"/>
      <c r="K523" s="289"/>
      <c r="L523" s="289"/>
    </row>
    <row r="524" spans="1:12" ht="14.25" customHeight="1" x14ac:dyDescent="0.25">
      <c r="A524" s="289"/>
      <c r="G524" s="289"/>
      <c r="H524" s="289"/>
      <c r="I524" s="289"/>
      <c r="J524" s="289"/>
      <c r="K524" s="289"/>
      <c r="L524" s="289"/>
    </row>
    <row r="525" spans="1:12" ht="14.25" customHeight="1" x14ac:dyDescent="0.25">
      <c r="A525" s="289"/>
      <c r="G525" s="289"/>
      <c r="H525" s="289"/>
      <c r="I525" s="289"/>
      <c r="J525" s="289"/>
      <c r="K525" s="289"/>
      <c r="L525" s="289"/>
    </row>
    <row r="526" spans="1:12" ht="14.25" customHeight="1" x14ac:dyDescent="0.25">
      <c r="A526" s="289"/>
      <c r="G526" s="289"/>
      <c r="H526" s="289"/>
      <c r="I526" s="289"/>
      <c r="J526" s="289"/>
      <c r="K526" s="289"/>
      <c r="L526" s="289"/>
    </row>
    <row r="527" spans="1:12" ht="14.25" customHeight="1" x14ac:dyDescent="0.25">
      <c r="A527" s="289"/>
      <c r="G527" s="289"/>
      <c r="H527" s="289"/>
      <c r="I527" s="289"/>
      <c r="J527" s="289"/>
      <c r="K527" s="289"/>
      <c r="L527" s="289"/>
    </row>
    <row r="528" spans="1:12" ht="14.25" customHeight="1" x14ac:dyDescent="0.25">
      <c r="A528" s="289"/>
      <c r="G528" s="289"/>
      <c r="H528" s="289"/>
      <c r="I528" s="289"/>
      <c r="J528" s="289"/>
      <c r="K528" s="289"/>
      <c r="L528" s="289"/>
    </row>
    <row r="529" spans="1:12" ht="14.25" customHeight="1" x14ac:dyDescent="0.25">
      <c r="A529" s="289"/>
      <c r="G529" s="289"/>
      <c r="H529" s="289"/>
      <c r="I529" s="289"/>
      <c r="J529" s="289"/>
      <c r="K529" s="289"/>
      <c r="L529" s="289"/>
    </row>
    <row r="530" spans="1:12" ht="14.25" customHeight="1" x14ac:dyDescent="0.25">
      <c r="A530" s="289"/>
      <c r="G530" s="289"/>
      <c r="H530" s="289"/>
      <c r="I530" s="289"/>
      <c r="J530" s="289"/>
      <c r="K530" s="289"/>
      <c r="L530" s="289"/>
    </row>
    <row r="531" spans="1:12" ht="14.25" customHeight="1" x14ac:dyDescent="0.25">
      <c r="A531" s="289"/>
      <c r="G531" s="289"/>
      <c r="H531" s="289"/>
      <c r="I531" s="289"/>
      <c r="J531" s="289"/>
      <c r="K531" s="289"/>
      <c r="L531" s="289"/>
    </row>
    <row r="532" spans="1:12" ht="14.25" customHeight="1" x14ac:dyDescent="0.25">
      <c r="A532" s="289"/>
      <c r="G532" s="289"/>
      <c r="H532" s="289"/>
      <c r="I532" s="289"/>
      <c r="J532" s="289"/>
      <c r="K532" s="289"/>
      <c r="L532" s="289"/>
    </row>
    <row r="533" spans="1:12" ht="14.25" customHeight="1" x14ac:dyDescent="0.25">
      <c r="A533" s="289"/>
      <c r="G533" s="289"/>
      <c r="H533" s="289"/>
      <c r="I533" s="289"/>
      <c r="J533" s="289"/>
      <c r="K533" s="289"/>
      <c r="L533" s="289"/>
    </row>
    <row r="534" spans="1:12" ht="14.25" customHeight="1" x14ac:dyDescent="0.25">
      <c r="A534" s="289"/>
      <c r="G534" s="289"/>
      <c r="H534" s="289"/>
      <c r="I534" s="289"/>
      <c r="J534" s="289"/>
      <c r="K534" s="289"/>
      <c r="L534" s="289"/>
    </row>
    <row r="535" spans="1:12" ht="14.25" customHeight="1" x14ac:dyDescent="0.25">
      <c r="A535" s="289"/>
      <c r="G535" s="289"/>
      <c r="H535" s="289"/>
      <c r="I535" s="289"/>
      <c r="J535" s="289"/>
      <c r="K535" s="289"/>
      <c r="L535" s="289"/>
    </row>
    <row r="536" spans="1:12" ht="14.25" customHeight="1" x14ac:dyDescent="0.25">
      <c r="A536" s="289"/>
      <c r="G536" s="289"/>
      <c r="H536" s="289"/>
      <c r="I536" s="289"/>
      <c r="J536" s="289"/>
      <c r="K536" s="289"/>
      <c r="L536" s="289"/>
    </row>
    <row r="537" spans="1:12" ht="14.25" customHeight="1" x14ac:dyDescent="0.25">
      <c r="A537" s="289"/>
      <c r="G537" s="289"/>
      <c r="H537" s="289"/>
      <c r="I537" s="289"/>
      <c r="J537" s="289"/>
      <c r="K537" s="289"/>
      <c r="L537" s="289"/>
    </row>
    <row r="538" spans="1:12" ht="14.25" customHeight="1" x14ac:dyDescent="0.25">
      <c r="A538" s="289"/>
      <c r="G538" s="289"/>
      <c r="H538" s="289"/>
      <c r="I538" s="289"/>
      <c r="J538" s="289"/>
      <c r="K538" s="289"/>
      <c r="L538" s="289"/>
    </row>
    <row r="539" spans="1:12" ht="14.25" customHeight="1" x14ac:dyDescent="0.25">
      <c r="A539" s="289"/>
      <c r="G539" s="289"/>
      <c r="H539" s="289"/>
      <c r="I539" s="289"/>
      <c r="J539" s="289"/>
      <c r="K539" s="289"/>
      <c r="L539" s="289"/>
    </row>
    <row r="540" spans="1:12" ht="14.25" customHeight="1" x14ac:dyDescent="0.25">
      <c r="A540" s="289"/>
      <c r="G540" s="289"/>
      <c r="H540" s="289"/>
      <c r="I540" s="289"/>
      <c r="J540" s="289"/>
      <c r="K540" s="289"/>
      <c r="L540" s="289"/>
    </row>
    <row r="541" spans="1:12" ht="14.25" customHeight="1" x14ac:dyDescent="0.25">
      <c r="A541" s="289"/>
      <c r="G541" s="289"/>
      <c r="H541" s="289"/>
      <c r="I541" s="289"/>
      <c r="J541" s="289"/>
      <c r="K541" s="289"/>
      <c r="L541" s="289"/>
    </row>
    <row r="542" spans="1:12" ht="14.25" customHeight="1" x14ac:dyDescent="0.25">
      <c r="A542" s="289"/>
      <c r="G542" s="289"/>
      <c r="H542" s="289"/>
      <c r="I542" s="289"/>
      <c r="J542" s="289"/>
      <c r="K542" s="289"/>
      <c r="L542" s="289"/>
    </row>
    <row r="543" spans="1:12" ht="14.25" customHeight="1" x14ac:dyDescent="0.25">
      <c r="A543" s="289"/>
      <c r="G543" s="289"/>
      <c r="H543" s="289"/>
      <c r="I543" s="289"/>
      <c r="J543" s="289"/>
      <c r="K543" s="289"/>
      <c r="L543" s="289"/>
    </row>
    <row r="544" spans="1:12" ht="14.25" customHeight="1" x14ac:dyDescent="0.25">
      <c r="A544" s="289"/>
      <c r="G544" s="289"/>
      <c r="H544" s="289"/>
      <c r="I544" s="289"/>
      <c r="J544" s="289"/>
      <c r="K544" s="289"/>
      <c r="L544" s="289"/>
    </row>
    <row r="545" spans="1:12" ht="14.25" customHeight="1" x14ac:dyDescent="0.25">
      <c r="A545" s="289"/>
      <c r="G545" s="289"/>
      <c r="H545" s="289"/>
      <c r="I545" s="289"/>
      <c r="J545" s="289"/>
      <c r="K545" s="289"/>
      <c r="L545" s="289"/>
    </row>
    <row r="546" spans="1:12" ht="14.25" customHeight="1" x14ac:dyDescent="0.25">
      <c r="A546" s="289"/>
      <c r="G546" s="289"/>
      <c r="H546" s="289"/>
      <c r="I546" s="289"/>
      <c r="J546" s="289"/>
      <c r="K546" s="289"/>
      <c r="L546" s="289"/>
    </row>
    <row r="547" spans="1:12" ht="14.25" customHeight="1" x14ac:dyDescent="0.25">
      <c r="A547" s="289"/>
      <c r="G547" s="289"/>
      <c r="H547" s="289"/>
      <c r="I547" s="289"/>
      <c r="J547" s="289"/>
      <c r="K547" s="289"/>
      <c r="L547" s="289"/>
    </row>
    <row r="548" spans="1:12" ht="14.25" customHeight="1" x14ac:dyDescent="0.25">
      <c r="A548" s="289"/>
      <c r="G548" s="289"/>
      <c r="H548" s="289"/>
      <c r="I548" s="289"/>
      <c r="J548" s="289"/>
      <c r="K548" s="289"/>
      <c r="L548" s="289"/>
    </row>
    <row r="549" spans="1:12" ht="14.25" customHeight="1" x14ac:dyDescent="0.25">
      <c r="A549" s="289"/>
      <c r="G549" s="289"/>
      <c r="H549" s="289"/>
      <c r="I549" s="289"/>
      <c r="J549" s="289"/>
      <c r="K549" s="289"/>
      <c r="L549" s="289"/>
    </row>
    <row r="550" spans="1:12" ht="14.25" customHeight="1" x14ac:dyDescent="0.25">
      <c r="A550" s="289"/>
      <c r="G550" s="289"/>
      <c r="H550" s="289"/>
      <c r="I550" s="289"/>
      <c r="J550" s="289"/>
      <c r="K550" s="289"/>
      <c r="L550" s="289"/>
    </row>
    <row r="551" spans="1:12" ht="14.25" customHeight="1" x14ac:dyDescent="0.25">
      <c r="A551" s="289"/>
      <c r="G551" s="289"/>
      <c r="H551" s="289"/>
      <c r="I551" s="289"/>
      <c r="J551" s="289"/>
      <c r="K551" s="289"/>
      <c r="L551" s="289"/>
    </row>
    <row r="552" spans="1:12" ht="14.25" customHeight="1" x14ac:dyDescent="0.25">
      <c r="A552" s="289"/>
      <c r="G552" s="289"/>
      <c r="H552" s="289"/>
      <c r="I552" s="289"/>
      <c r="J552" s="289"/>
      <c r="K552" s="289"/>
      <c r="L552" s="289"/>
    </row>
    <row r="553" spans="1:12" ht="14.25" customHeight="1" x14ac:dyDescent="0.25">
      <c r="A553" s="289"/>
      <c r="G553" s="289"/>
      <c r="H553" s="289"/>
      <c r="I553" s="289"/>
      <c r="J553" s="289"/>
      <c r="K553" s="289"/>
      <c r="L553" s="289"/>
    </row>
    <row r="554" spans="1:12" ht="14.25" customHeight="1" x14ac:dyDescent="0.25">
      <c r="A554" s="289"/>
      <c r="G554" s="289"/>
      <c r="H554" s="289"/>
      <c r="I554" s="289"/>
      <c r="J554" s="289"/>
      <c r="K554" s="289"/>
      <c r="L554" s="289"/>
    </row>
    <row r="555" spans="1:12" ht="14.25" customHeight="1" x14ac:dyDescent="0.25">
      <c r="A555" s="289"/>
      <c r="G555" s="289"/>
      <c r="H555" s="289"/>
      <c r="I555" s="289"/>
      <c r="J555" s="289"/>
      <c r="K555" s="289"/>
      <c r="L555" s="289"/>
    </row>
    <row r="556" spans="1:12" ht="14.25" customHeight="1" x14ac:dyDescent="0.25">
      <c r="A556" s="289"/>
      <c r="G556" s="289"/>
      <c r="H556" s="289"/>
      <c r="I556" s="289"/>
      <c r="J556" s="289"/>
      <c r="K556" s="289"/>
      <c r="L556" s="289"/>
    </row>
    <row r="557" spans="1:12" ht="14.25" customHeight="1" x14ac:dyDescent="0.25">
      <c r="A557" s="289"/>
      <c r="G557" s="289"/>
      <c r="H557" s="289"/>
      <c r="I557" s="289"/>
      <c r="J557" s="289"/>
      <c r="K557" s="289"/>
      <c r="L557" s="289"/>
    </row>
    <row r="558" spans="1:12" ht="14.25" customHeight="1" x14ac:dyDescent="0.25">
      <c r="A558" s="289"/>
      <c r="G558" s="289"/>
      <c r="H558" s="289"/>
      <c r="I558" s="289"/>
      <c r="J558" s="289"/>
      <c r="K558" s="289"/>
      <c r="L558" s="289"/>
    </row>
    <row r="559" spans="1:12" ht="14.25" customHeight="1" x14ac:dyDescent="0.25">
      <c r="A559" s="289"/>
      <c r="G559" s="289"/>
      <c r="H559" s="289"/>
      <c r="I559" s="289"/>
      <c r="J559" s="289"/>
      <c r="K559" s="289"/>
      <c r="L559" s="289"/>
    </row>
    <row r="560" spans="1:12" ht="14.25" customHeight="1" x14ac:dyDescent="0.25">
      <c r="A560" s="289"/>
      <c r="G560" s="289"/>
      <c r="H560" s="289"/>
      <c r="I560" s="289"/>
      <c r="J560" s="289"/>
      <c r="K560" s="289"/>
      <c r="L560" s="289"/>
    </row>
    <row r="561" spans="1:12" ht="14.25" customHeight="1" x14ac:dyDescent="0.25">
      <c r="A561" s="289"/>
      <c r="G561" s="289"/>
      <c r="H561" s="289"/>
      <c r="I561" s="289"/>
      <c r="J561" s="289"/>
      <c r="K561" s="289"/>
      <c r="L561" s="289"/>
    </row>
    <row r="562" spans="1:12" ht="14.25" customHeight="1" x14ac:dyDescent="0.25">
      <c r="A562" s="289"/>
      <c r="G562" s="289"/>
      <c r="H562" s="289"/>
      <c r="I562" s="289"/>
      <c r="J562" s="289"/>
      <c r="K562" s="289"/>
      <c r="L562" s="289"/>
    </row>
    <row r="563" spans="1:12" ht="14.25" customHeight="1" x14ac:dyDescent="0.25">
      <c r="A563" s="289"/>
      <c r="G563" s="289"/>
      <c r="H563" s="289"/>
      <c r="I563" s="289"/>
      <c r="J563" s="289"/>
      <c r="K563" s="289"/>
      <c r="L563" s="289"/>
    </row>
    <row r="564" spans="1:12" ht="14.25" customHeight="1" x14ac:dyDescent="0.25">
      <c r="A564" s="289"/>
      <c r="G564" s="289"/>
      <c r="H564" s="289"/>
      <c r="I564" s="289"/>
      <c r="J564" s="289"/>
      <c r="K564" s="289"/>
      <c r="L564" s="289"/>
    </row>
    <row r="565" spans="1:12" ht="14.25" customHeight="1" x14ac:dyDescent="0.25">
      <c r="A565" s="289"/>
      <c r="G565" s="289"/>
      <c r="H565" s="289"/>
      <c r="I565" s="289"/>
      <c r="J565" s="289"/>
      <c r="K565" s="289"/>
      <c r="L565" s="289"/>
    </row>
    <row r="566" spans="1:12" ht="14.25" customHeight="1" x14ac:dyDescent="0.25">
      <c r="A566" s="289"/>
      <c r="G566" s="289"/>
      <c r="H566" s="289"/>
      <c r="I566" s="289"/>
      <c r="J566" s="289"/>
      <c r="K566" s="289"/>
      <c r="L566" s="289"/>
    </row>
    <row r="567" spans="1:12" ht="14.25" customHeight="1" x14ac:dyDescent="0.25">
      <c r="A567" s="289"/>
      <c r="G567" s="289"/>
      <c r="H567" s="289"/>
      <c r="I567" s="289"/>
      <c r="J567" s="289"/>
      <c r="K567" s="289"/>
      <c r="L567" s="289"/>
    </row>
    <row r="568" spans="1:12" ht="14.25" customHeight="1" x14ac:dyDescent="0.25">
      <c r="A568" s="289"/>
      <c r="G568" s="289"/>
      <c r="H568" s="289"/>
      <c r="I568" s="289"/>
      <c r="J568" s="289"/>
      <c r="K568" s="289"/>
      <c r="L568" s="289"/>
    </row>
    <row r="569" spans="1:12" ht="14.25" customHeight="1" x14ac:dyDescent="0.25">
      <c r="A569" s="289"/>
      <c r="G569" s="289"/>
      <c r="H569" s="289"/>
      <c r="I569" s="289"/>
      <c r="J569" s="289"/>
      <c r="K569" s="289"/>
      <c r="L569" s="289"/>
    </row>
    <row r="570" spans="1:12" ht="14.25" customHeight="1" x14ac:dyDescent="0.25">
      <c r="A570" s="289"/>
      <c r="G570" s="289"/>
      <c r="H570" s="289"/>
      <c r="I570" s="289"/>
      <c r="J570" s="289"/>
      <c r="K570" s="289"/>
      <c r="L570" s="289"/>
    </row>
    <row r="571" spans="1:12" ht="14.25" customHeight="1" x14ac:dyDescent="0.25">
      <c r="A571" s="289"/>
      <c r="G571" s="289"/>
      <c r="H571" s="289"/>
      <c r="I571" s="289"/>
      <c r="J571" s="289"/>
      <c r="K571" s="289"/>
      <c r="L571" s="289"/>
    </row>
    <row r="572" spans="1:12" ht="14.25" customHeight="1" x14ac:dyDescent="0.25">
      <c r="A572" s="289"/>
      <c r="G572" s="289"/>
      <c r="H572" s="289"/>
      <c r="I572" s="289"/>
      <c r="J572" s="289"/>
      <c r="K572" s="289"/>
      <c r="L572" s="289"/>
    </row>
    <row r="573" spans="1:12" ht="14.25" customHeight="1" x14ac:dyDescent="0.25">
      <c r="A573" s="289"/>
      <c r="G573" s="289"/>
      <c r="H573" s="289"/>
      <c r="I573" s="289"/>
      <c r="J573" s="289"/>
      <c r="K573" s="289"/>
      <c r="L573" s="289"/>
    </row>
    <row r="574" spans="1:12" ht="14.25" customHeight="1" x14ac:dyDescent="0.25">
      <c r="A574" s="289"/>
      <c r="G574" s="289"/>
      <c r="H574" s="289"/>
      <c r="I574" s="289"/>
      <c r="J574" s="289"/>
      <c r="K574" s="289"/>
      <c r="L574" s="289"/>
    </row>
    <row r="575" spans="1:12" ht="14.25" customHeight="1" x14ac:dyDescent="0.25">
      <c r="A575" s="289"/>
      <c r="G575" s="289"/>
      <c r="H575" s="289"/>
      <c r="I575" s="289"/>
      <c r="J575" s="289"/>
      <c r="K575" s="289"/>
      <c r="L575" s="289"/>
    </row>
    <row r="576" spans="1:12" ht="14.25" customHeight="1" x14ac:dyDescent="0.25">
      <c r="A576" s="289"/>
      <c r="G576" s="289"/>
      <c r="H576" s="289"/>
      <c r="I576" s="289"/>
      <c r="J576" s="289"/>
      <c r="K576" s="289"/>
      <c r="L576" s="289"/>
    </row>
    <row r="577" spans="1:12" ht="14.25" customHeight="1" x14ac:dyDescent="0.25">
      <c r="A577" s="289"/>
      <c r="G577" s="289"/>
      <c r="H577" s="289"/>
      <c r="I577" s="289"/>
      <c r="J577" s="289"/>
      <c r="K577" s="289"/>
      <c r="L577" s="289"/>
    </row>
    <row r="578" spans="1:12" ht="14.25" customHeight="1" x14ac:dyDescent="0.25">
      <c r="A578" s="289"/>
      <c r="G578" s="289"/>
      <c r="H578" s="289"/>
      <c r="I578" s="289"/>
      <c r="J578" s="289"/>
      <c r="K578" s="289"/>
      <c r="L578" s="289"/>
    </row>
    <row r="579" spans="1:12" ht="14.25" customHeight="1" x14ac:dyDescent="0.25">
      <c r="A579" s="289"/>
      <c r="G579" s="289"/>
      <c r="H579" s="289"/>
      <c r="I579" s="289"/>
      <c r="J579" s="289"/>
      <c r="K579" s="289"/>
      <c r="L579" s="289"/>
    </row>
    <row r="580" spans="1:12" ht="14.25" customHeight="1" x14ac:dyDescent="0.25">
      <c r="A580" s="289"/>
      <c r="G580" s="289"/>
      <c r="H580" s="289"/>
      <c r="I580" s="289"/>
      <c r="J580" s="289"/>
      <c r="K580" s="289"/>
      <c r="L580" s="289"/>
    </row>
    <row r="581" spans="1:12" ht="14.25" customHeight="1" x14ac:dyDescent="0.25">
      <c r="A581" s="289"/>
      <c r="G581" s="289"/>
      <c r="H581" s="289"/>
      <c r="I581" s="289"/>
      <c r="J581" s="289"/>
      <c r="K581" s="289"/>
      <c r="L581" s="289"/>
    </row>
    <row r="582" spans="1:12" ht="14.25" customHeight="1" x14ac:dyDescent="0.25">
      <c r="A582" s="289"/>
      <c r="G582" s="289"/>
      <c r="H582" s="289"/>
      <c r="I582" s="289"/>
      <c r="J582" s="289"/>
      <c r="K582" s="289"/>
      <c r="L582" s="289"/>
    </row>
    <row r="583" spans="1:12" ht="14.25" customHeight="1" x14ac:dyDescent="0.25">
      <c r="A583" s="289"/>
      <c r="G583" s="289"/>
      <c r="H583" s="289"/>
      <c r="I583" s="289"/>
      <c r="J583" s="289"/>
      <c r="K583" s="289"/>
      <c r="L583" s="289"/>
    </row>
    <row r="584" spans="1:12" ht="14.25" customHeight="1" x14ac:dyDescent="0.25">
      <c r="A584" s="289"/>
      <c r="G584" s="289"/>
      <c r="H584" s="289"/>
      <c r="I584" s="289"/>
      <c r="J584" s="289"/>
      <c r="K584" s="289"/>
      <c r="L584" s="289"/>
    </row>
    <row r="585" spans="1:12" ht="14.25" customHeight="1" x14ac:dyDescent="0.25">
      <c r="A585" s="289"/>
      <c r="G585" s="289"/>
      <c r="H585" s="289"/>
      <c r="I585" s="289"/>
      <c r="J585" s="289"/>
      <c r="K585" s="289"/>
      <c r="L585" s="289"/>
    </row>
    <row r="586" spans="1:12" ht="14.25" customHeight="1" x14ac:dyDescent="0.25">
      <c r="A586" s="289"/>
      <c r="G586" s="289"/>
      <c r="H586" s="289"/>
      <c r="I586" s="289"/>
      <c r="J586" s="289"/>
      <c r="K586" s="289"/>
      <c r="L586" s="289"/>
    </row>
    <row r="587" spans="1:12" ht="14.25" customHeight="1" x14ac:dyDescent="0.25">
      <c r="A587" s="289"/>
      <c r="G587" s="289"/>
      <c r="H587" s="289"/>
      <c r="I587" s="289"/>
      <c r="J587" s="289"/>
      <c r="K587" s="289"/>
      <c r="L587" s="289"/>
    </row>
    <row r="588" spans="1:12" ht="14.25" customHeight="1" x14ac:dyDescent="0.25">
      <c r="A588" s="289"/>
      <c r="G588" s="289"/>
      <c r="H588" s="289"/>
      <c r="I588" s="289"/>
      <c r="J588" s="289"/>
      <c r="K588" s="289"/>
      <c r="L588" s="289"/>
    </row>
    <row r="589" spans="1:12" ht="14.25" customHeight="1" x14ac:dyDescent="0.25">
      <c r="A589" s="289"/>
      <c r="G589" s="289"/>
      <c r="H589" s="289"/>
      <c r="I589" s="289"/>
      <c r="J589" s="289"/>
      <c r="K589" s="289"/>
      <c r="L589" s="289"/>
    </row>
    <row r="590" spans="1:12" ht="14.25" customHeight="1" x14ac:dyDescent="0.25">
      <c r="A590" s="289"/>
      <c r="G590" s="289"/>
      <c r="H590" s="289"/>
      <c r="I590" s="289"/>
      <c r="J590" s="289"/>
      <c r="K590" s="289"/>
      <c r="L590" s="289"/>
    </row>
    <row r="591" spans="1:12" ht="14.25" customHeight="1" x14ac:dyDescent="0.25">
      <c r="A591" s="289"/>
      <c r="G591" s="289"/>
      <c r="H591" s="289"/>
      <c r="I591" s="289"/>
      <c r="J591" s="289"/>
      <c r="K591" s="289"/>
      <c r="L591" s="289"/>
    </row>
    <row r="592" spans="1:12" ht="14.25" customHeight="1" x14ac:dyDescent="0.25">
      <c r="A592" s="289"/>
      <c r="G592" s="289"/>
      <c r="H592" s="289"/>
      <c r="I592" s="289"/>
      <c r="J592" s="289"/>
      <c r="K592" s="289"/>
      <c r="L592" s="289"/>
    </row>
    <row r="593" spans="1:12" ht="14.25" customHeight="1" x14ac:dyDescent="0.25">
      <c r="A593" s="289"/>
      <c r="G593" s="289"/>
      <c r="H593" s="289"/>
      <c r="I593" s="289"/>
      <c r="J593" s="289"/>
      <c r="K593" s="289"/>
      <c r="L593" s="289"/>
    </row>
    <row r="594" spans="1:12" ht="14.25" customHeight="1" x14ac:dyDescent="0.25">
      <c r="A594" s="289"/>
      <c r="G594" s="289"/>
      <c r="H594" s="289"/>
      <c r="I594" s="289"/>
      <c r="J594" s="289"/>
      <c r="K594" s="289"/>
      <c r="L594" s="289"/>
    </row>
    <row r="595" spans="1:12" ht="14.25" customHeight="1" x14ac:dyDescent="0.25">
      <c r="A595" s="289"/>
      <c r="G595" s="289"/>
      <c r="H595" s="289"/>
      <c r="I595" s="289"/>
      <c r="J595" s="289"/>
      <c r="K595" s="289"/>
      <c r="L595" s="289"/>
    </row>
    <row r="596" spans="1:12" ht="14.25" customHeight="1" x14ac:dyDescent="0.25">
      <c r="A596" s="289"/>
      <c r="G596" s="289"/>
      <c r="H596" s="289"/>
      <c r="I596" s="289"/>
      <c r="J596" s="289"/>
      <c r="K596" s="289"/>
      <c r="L596" s="289"/>
    </row>
    <row r="597" spans="1:12" ht="14.25" customHeight="1" x14ac:dyDescent="0.25">
      <c r="A597" s="289"/>
      <c r="G597" s="289"/>
      <c r="H597" s="289"/>
      <c r="I597" s="289"/>
      <c r="J597" s="289"/>
      <c r="K597" s="289"/>
      <c r="L597" s="289"/>
    </row>
    <row r="598" spans="1:12" ht="14.25" customHeight="1" x14ac:dyDescent="0.25">
      <c r="A598" s="289"/>
      <c r="G598" s="289"/>
      <c r="H598" s="289"/>
      <c r="I598" s="289"/>
      <c r="J598" s="289"/>
      <c r="K598" s="289"/>
      <c r="L598" s="289"/>
    </row>
    <row r="599" spans="1:12" ht="14.25" customHeight="1" x14ac:dyDescent="0.25">
      <c r="A599" s="289"/>
      <c r="G599" s="289"/>
      <c r="H599" s="289"/>
      <c r="I599" s="289"/>
      <c r="J599" s="289"/>
      <c r="K599" s="289"/>
      <c r="L599" s="289"/>
    </row>
    <row r="600" spans="1:12" ht="14.25" customHeight="1" x14ac:dyDescent="0.25">
      <c r="A600" s="289"/>
      <c r="G600" s="289"/>
      <c r="H600" s="289"/>
      <c r="I600" s="289"/>
      <c r="J600" s="289"/>
      <c r="K600" s="289"/>
      <c r="L600" s="289"/>
    </row>
    <row r="601" spans="1:12" ht="14.25" customHeight="1" x14ac:dyDescent="0.25">
      <c r="A601" s="289"/>
      <c r="G601" s="289"/>
      <c r="H601" s="289"/>
      <c r="I601" s="289"/>
      <c r="J601" s="289"/>
      <c r="K601" s="289"/>
      <c r="L601" s="289"/>
    </row>
    <row r="602" spans="1:12" ht="14.25" customHeight="1" x14ac:dyDescent="0.25">
      <c r="A602" s="289"/>
      <c r="G602" s="289"/>
      <c r="H602" s="289"/>
      <c r="I602" s="289"/>
      <c r="J602" s="289"/>
      <c r="K602" s="289"/>
      <c r="L602" s="289"/>
    </row>
    <row r="603" spans="1:12" ht="14.25" customHeight="1" x14ac:dyDescent="0.25">
      <c r="A603" s="289"/>
      <c r="G603" s="289"/>
      <c r="H603" s="289"/>
      <c r="I603" s="289"/>
      <c r="J603" s="289"/>
      <c r="K603" s="289"/>
      <c r="L603" s="289"/>
    </row>
    <row r="604" spans="1:12" ht="14.25" customHeight="1" x14ac:dyDescent="0.25">
      <c r="A604" s="289"/>
      <c r="G604" s="289"/>
      <c r="H604" s="289"/>
      <c r="I604" s="289"/>
      <c r="J604" s="289"/>
      <c r="K604" s="289"/>
      <c r="L604" s="289"/>
    </row>
    <row r="605" spans="1:12" ht="14.25" customHeight="1" x14ac:dyDescent="0.25">
      <c r="A605" s="289"/>
      <c r="G605" s="289"/>
      <c r="H605" s="289"/>
      <c r="I605" s="289"/>
      <c r="J605" s="289"/>
      <c r="K605" s="289"/>
      <c r="L605" s="289"/>
    </row>
    <row r="606" spans="1:12" ht="14.25" customHeight="1" x14ac:dyDescent="0.25">
      <c r="A606" s="289"/>
      <c r="G606" s="289"/>
      <c r="H606" s="289"/>
      <c r="I606" s="289"/>
      <c r="J606" s="289"/>
      <c r="K606" s="289"/>
      <c r="L606" s="289"/>
    </row>
    <row r="607" spans="1:12" ht="14.25" customHeight="1" x14ac:dyDescent="0.25">
      <c r="A607" s="289"/>
      <c r="G607" s="289"/>
      <c r="H607" s="289"/>
      <c r="I607" s="289"/>
      <c r="J607" s="289"/>
      <c r="K607" s="289"/>
      <c r="L607" s="289"/>
    </row>
    <row r="608" spans="1:12" ht="14.25" customHeight="1" x14ac:dyDescent="0.25">
      <c r="A608" s="289"/>
      <c r="G608" s="289"/>
      <c r="H608" s="289"/>
      <c r="I608" s="289"/>
      <c r="J608" s="289"/>
      <c r="K608" s="289"/>
      <c r="L608" s="289"/>
    </row>
    <row r="609" spans="1:12" ht="14.25" customHeight="1" x14ac:dyDescent="0.25">
      <c r="A609" s="289"/>
      <c r="G609" s="289"/>
      <c r="H609" s="289"/>
      <c r="I609" s="289"/>
      <c r="J609" s="289"/>
      <c r="K609" s="289"/>
      <c r="L609" s="289"/>
    </row>
    <row r="610" spans="1:12" ht="14.25" customHeight="1" x14ac:dyDescent="0.25">
      <c r="A610" s="289"/>
      <c r="G610" s="289"/>
      <c r="H610" s="289"/>
      <c r="I610" s="289"/>
      <c r="J610" s="289"/>
      <c r="K610" s="289"/>
      <c r="L610" s="289"/>
    </row>
    <row r="611" spans="1:12" ht="14.25" customHeight="1" x14ac:dyDescent="0.25">
      <c r="A611" s="289"/>
      <c r="G611" s="289"/>
      <c r="H611" s="289"/>
      <c r="I611" s="289"/>
      <c r="J611" s="289"/>
      <c r="K611" s="289"/>
      <c r="L611" s="289"/>
    </row>
    <row r="612" spans="1:12" ht="14.25" customHeight="1" x14ac:dyDescent="0.25">
      <c r="A612" s="289"/>
      <c r="G612" s="289"/>
      <c r="H612" s="289"/>
      <c r="I612" s="289"/>
      <c r="J612" s="289"/>
      <c r="K612" s="289"/>
      <c r="L612" s="289"/>
    </row>
    <row r="613" spans="1:12" ht="14.25" customHeight="1" x14ac:dyDescent="0.25">
      <c r="A613" s="289"/>
      <c r="G613" s="289"/>
      <c r="H613" s="289"/>
      <c r="I613" s="289"/>
      <c r="J613" s="289"/>
      <c r="K613" s="289"/>
      <c r="L613" s="289"/>
    </row>
    <row r="614" spans="1:12" ht="14.25" customHeight="1" x14ac:dyDescent="0.25">
      <c r="A614" s="289"/>
      <c r="G614" s="289"/>
      <c r="H614" s="289"/>
      <c r="I614" s="289"/>
      <c r="J614" s="289"/>
      <c r="K614" s="289"/>
      <c r="L614" s="289"/>
    </row>
    <row r="615" spans="1:12" ht="14.25" customHeight="1" x14ac:dyDescent="0.25">
      <c r="A615" s="289"/>
      <c r="G615" s="289"/>
      <c r="H615" s="289"/>
      <c r="I615" s="289"/>
      <c r="J615" s="289"/>
      <c r="K615" s="289"/>
      <c r="L615" s="289"/>
    </row>
    <row r="616" spans="1:12" ht="14.25" customHeight="1" x14ac:dyDescent="0.25">
      <c r="A616" s="289"/>
      <c r="G616" s="289"/>
      <c r="H616" s="289"/>
      <c r="I616" s="289"/>
      <c r="J616" s="289"/>
      <c r="K616" s="289"/>
      <c r="L616" s="289"/>
    </row>
    <row r="617" spans="1:12" ht="14.25" customHeight="1" x14ac:dyDescent="0.25">
      <c r="A617" s="289"/>
      <c r="G617" s="289"/>
      <c r="H617" s="289"/>
      <c r="I617" s="289"/>
      <c r="J617" s="289"/>
      <c r="K617" s="289"/>
      <c r="L617" s="289"/>
    </row>
    <row r="618" spans="1:12" ht="14.25" customHeight="1" x14ac:dyDescent="0.25">
      <c r="A618" s="289"/>
      <c r="G618" s="289"/>
      <c r="H618" s="289"/>
      <c r="I618" s="289"/>
      <c r="J618" s="289"/>
      <c r="K618" s="289"/>
      <c r="L618" s="289"/>
    </row>
    <row r="619" spans="1:12" ht="14.25" customHeight="1" x14ac:dyDescent="0.25">
      <c r="A619" s="289"/>
      <c r="G619" s="289"/>
      <c r="H619" s="289"/>
      <c r="I619" s="289"/>
      <c r="J619" s="289"/>
      <c r="K619" s="289"/>
      <c r="L619" s="289"/>
    </row>
    <row r="620" spans="1:12" ht="14.25" customHeight="1" x14ac:dyDescent="0.25">
      <c r="A620" s="289"/>
      <c r="G620" s="289"/>
      <c r="H620" s="289"/>
      <c r="I620" s="289"/>
      <c r="J620" s="289"/>
      <c r="K620" s="289"/>
      <c r="L620" s="289"/>
    </row>
    <row r="621" spans="1:12" ht="14.25" customHeight="1" x14ac:dyDescent="0.25">
      <c r="A621" s="289"/>
      <c r="G621" s="289"/>
      <c r="H621" s="289"/>
      <c r="I621" s="289"/>
      <c r="J621" s="289"/>
      <c r="K621" s="289"/>
      <c r="L621" s="289"/>
    </row>
    <row r="622" spans="1:12" ht="14.25" customHeight="1" x14ac:dyDescent="0.25">
      <c r="A622" s="289"/>
      <c r="G622" s="289"/>
      <c r="H622" s="289"/>
      <c r="I622" s="289"/>
      <c r="J622" s="289"/>
      <c r="K622" s="289"/>
      <c r="L622" s="289"/>
    </row>
    <row r="623" spans="1:12" ht="14.25" customHeight="1" x14ac:dyDescent="0.25">
      <c r="A623" s="289"/>
      <c r="G623" s="289"/>
      <c r="H623" s="289"/>
      <c r="I623" s="289"/>
      <c r="J623" s="289"/>
      <c r="K623" s="289"/>
      <c r="L623" s="289"/>
    </row>
    <row r="624" spans="1:12" ht="14.25" customHeight="1" x14ac:dyDescent="0.25">
      <c r="A624" s="289"/>
      <c r="G624" s="289"/>
      <c r="H624" s="289"/>
      <c r="I624" s="289"/>
      <c r="J624" s="289"/>
      <c r="K624" s="289"/>
      <c r="L624" s="289"/>
    </row>
    <row r="625" spans="1:12" ht="14.25" customHeight="1" x14ac:dyDescent="0.25">
      <c r="A625" s="289"/>
      <c r="G625" s="289"/>
      <c r="H625" s="289"/>
      <c r="I625" s="289"/>
      <c r="J625" s="289"/>
      <c r="K625" s="289"/>
      <c r="L625" s="289"/>
    </row>
    <row r="626" spans="1:12" ht="14.25" customHeight="1" x14ac:dyDescent="0.25">
      <c r="A626" s="289"/>
      <c r="G626" s="289"/>
      <c r="H626" s="289"/>
      <c r="I626" s="289"/>
      <c r="J626" s="289"/>
      <c r="K626" s="289"/>
      <c r="L626" s="289"/>
    </row>
    <row r="627" spans="1:12" ht="14.25" customHeight="1" x14ac:dyDescent="0.25">
      <c r="A627" s="289"/>
      <c r="G627" s="289"/>
      <c r="H627" s="289"/>
      <c r="I627" s="289"/>
      <c r="J627" s="289"/>
      <c r="K627" s="289"/>
      <c r="L627" s="289"/>
    </row>
    <row r="628" spans="1:12" ht="14.25" customHeight="1" x14ac:dyDescent="0.25">
      <c r="A628" s="289"/>
      <c r="G628" s="289"/>
      <c r="H628" s="289"/>
      <c r="I628" s="289"/>
      <c r="J628" s="289"/>
      <c r="K628" s="289"/>
      <c r="L628" s="289"/>
    </row>
    <row r="629" spans="1:12" ht="14.25" customHeight="1" x14ac:dyDescent="0.25">
      <c r="A629" s="289"/>
      <c r="G629" s="289"/>
      <c r="H629" s="289"/>
      <c r="I629" s="289"/>
      <c r="J629" s="289"/>
      <c r="K629" s="289"/>
      <c r="L629" s="289"/>
    </row>
    <row r="630" spans="1:12" ht="14.25" customHeight="1" x14ac:dyDescent="0.25">
      <c r="A630" s="289"/>
      <c r="G630" s="289"/>
      <c r="H630" s="289"/>
      <c r="I630" s="289"/>
      <c r="J630" s="289"/>
      <c r="K630" s="289"/>
      <c r="L630" s="289"/>
    </row>
    <row r="631" spans="1:12" ht="14.25" customHeight="1" x14ac:dyDescent="0.25">
      <c r="A631" s="289"/>
      <c r="G631" s="289"/>
      <c r="H631" s="289"/>
      <c r="I631" s="289"/>
      <c r="J631" s="289"/>
      <c r="K631" s="289"/>
      <c r="L631" s="289"/>
    </row>
    <row r="632" spans="1:12" ht="14.25" customHeight="1" x14ac:dyDescent="0.25">
      <c r="A632" s="289"/>
      <c r="G632" s="289"/>
      <c r="H632" s="289"/>
      <c r="I632" s="289"/>
      <c r="J632" s="289"/>
      <c r="K632" s="289"/>
      <c r="L632" s="289"/>
    </row>
    <row r="633" spans="1:12" ht="14.25" customHeight="1" x14ac:dyDescent="0.25">
      <c r="A633" s="289"/>
      <c r="G633" s="289"/>
      <c r="H633" s="289"/>
      <c r="I633" s="289"/>
      <c r="J633" s="289"/>
      <c r="K633" s="289"/>
      <c r="L633" s="289"/>
    </row>
    <row r="634" spans="1:12" ht="14.25" customHeight="1" x14ac:dyDescent="0.25">
      <c r="A634" s="289"/>
      <c r="G634" s="289"/>
      <c r="H634" s="289"/>
      <c r="I634" s="289"/>
      <c r="J634" s="289"/>
      <c r="K634" s="289"/>
      <c r="L634" s="289"/>
    </row>
    <row r="635" spans="1:12" ht="14.25" customHeight="1" x14ac:dyDescent="0.25">
      <c r="A635" s="289"/>
      <c r="G635" s="289"/>
      <c r="H635" s="289"/>
      <c r="I635" s="289"/>
      <c r="J635" s="289"/>
      <c r="K635" s="289"/>
      <c r="L635" s="289"/>
    </row>
    <row r="636" spans="1:12" ht="14.25" customHeight="1" x14ac:dyDescent="0.25">
      <c r="A636" s="289"/>
      <c r="G636" s="289"/>
      <c r="H636" s="289"/>
      <c r="I636" s="289"/>
      <c r="J636" s="289"/>
      <c r="K636" s="289"/>
      <c r="L636" s="289"/>
    </row>
    <row r="637" spans="1:12" ht="14.25" customHeight="1" x14ac:dyDescent="0.25">
      <c r="A637" s="289"/>
      <c r="G637" s="289"/>
      <c r="H637" s="289"/>
      <c r="I637" s="289"/>
      <c r="J637" s="289"/>
      <c r="K637" s="289"/>
      <c r="L637" s="289"/>
    </row>
    <row r="638" spans="1:12" ht="14.25" customHeight="1" x14ac:dyDescent="0.25">
      <c r="A638" s="289"/>
      <c r="G638" s="289"/>
      <c r="H638" s="289"/>
      <c r="I638" s="289"/>
      <c r="J638" s="289"/>
      <c r="K638" s="289"/>
      <c r="L638" s="289"/>
    </row>
    <row r="639" spans="1:12" ht="14.25" customHeight="1" x14ac:dyDescent="0.25">
      <c r="A639" s="289"/>
      <c r="G639" s="289"/>
      <c r="H639" s="289"/>
      <c r="I639" s="289"/>
      <c r="J639" s="289"/>
      <c r="K639" s="289"/>
      <c r="L639" s="289"/>
    </row>
    <row r="640" spans="1:12" ht="14.25" customHeight="1" x14ac:dyDescent="0.25">
      <c r="A640" s="289"/>
      <c r="G640" s="289"/>
      <c r="H640" s="289"/>
      <c r="I640" s="289"/>
      <c r="J640" s="289"/>
      <c r="K640" s="289"/>
      <c r="L640" s="289"/>
    </row>
    <row r="641" spans="1:12" ht="14.25" customHeight="1" x14ac:dyDescent="0.25">
      <c r="A641" s="289"/>
      <c r="G641" s="289"/>
      <c r="H641" s="289"/>
      <c r="I641" s="289"/>
      <c r="J641" s="289"/>
      <c r="K641" s="289"/>
      <c r="L641" s="289"/>
    </row>
    <row r="642" spans="1:12" ht="14.25" customHeight="1" x14ac:dyDescent="0.25">
      <c r="A642" s="289"/>
      <c r="G642" s="289"/>
      <c r="H642" s="289"/>
      <c r="I642" s="289"/>
      <c r="J642" s="289"/>
      <c r="K642" s="289"/>
      <c r="L642" s="289"/>
    </row>
    <row r="643" spans="1:12" ht="14.25" customHeight="1" x14ac:dyDescent="0.25">
      <c r="A643" s="289"/>
      <c r="G643" s="289"/>
      <c r="H643" s="289"/>
      <c r="I643" s="289"/>
      <c r="J643" s="289"/>
      <c r="K643" s="289"/>
      <c r="L643" s="289"/>
    </row>
    <row r="644" spans="1:12" ht="14.25" customHeight="1" x14ac:dyDescent="0.25">
      <c r="A644" s="289"/>
      <c r="G644" s="289"/>
      <c r="H644" s="289"/>
      <c r="I644" s="289"/>
      <c r="J644" s="289"/>
      <c r="K644" s="289"/>
      <c r="L644" s="289"/>
    </row>
    <row r="645" spans="1:12" ht="14.25" customHeight="1" x14ac:dyDescent="0.25">
      <c r="A645" s="289"/>
      <c r="G645" s="289"/>
      <c r="H645" s="289"/>
      <c r="I645" s="289"/>
      <c r="J645" s="289"/>
      <c r="K645" s="289"/>
      <c r="L645" s="289"/>
    </row>
    <row r="646" spans="1:12" ht="14.25" customHeight="1" x14ac:dyDescent="0.25">
      <c r="A646" s="289"/>
      <c r="G646" s="289"/>
      <c r="H646" s="289"/>
      <c r="I646" s="289"/>
      <c r="J646" s="289"/>
      <c r="K646" s="289"/>
      <c r="L646" s="289"/>
    </row>
    <row r="647" spans="1:12" ht="14.25" customHeight="1" x14ac:dyDescent="0.25">
      <c r="A647" s="289"/>
      <c r="G647" s="289"/>
      <c r="H647" s="289"/>
      <c r="I647" s="289"/>
      <c r="J647" s="289"/>
      <c r="K647" s="289"/>
      <c r="L647" s="289"/>
    </row>
    <row r="648" spans="1:12" ht="14.25" customHeight="1" x14ac:dyDescent="0.25">
      <c r="A648" s="289"/>
      <c r="G648" s="289"/>
      <c r="H648" s="289"/>
      <c r="I648" s="289"/>
      <c r="J648" s="289"/>
      <c r="K648" s="289"/>
      <c r="L648" s="289"/>
    </row>
    <row r="649" spans="1:12" ht="14.25" customHeight="1" x14ac:dyDescent="0.25">
      <c r="A649" s="289"/>
      <c r="G649" s="289"/>
      <c r="H649" s="289"/>
      <c r="I649" s="289"/>
      <c r="J649" s="289"/>
      <c r="K649" s="289"/>
      <c r="L649" s="289"/>
    </row>
    <row r="650" spans="1:12" ht="14.25" customHeight="1" x14ac:dyDescent="0.25">
      <c r="A650" s="289"/>
      <c r="G650" s="289"/>
      <c r="H650" s="289"/>
      <c r="I650" s="289"/>
      <c r="J650" s="289"/>
      <c r="K650" s="289"/>
      <c r="L650" s="289"/>
    </row>
    <row r="651" spans="1:12" ht="14.25" customHeight="1" x14ac:dyDescent="0.25">
      <c r="A651" s="289"/>
      <c r="G651" s="289"/>
      <c r="H651" s="289"/>
      <c r="I651" s="289"/>
      <c r="J651" s="289"/>
      <c r="K651" s="289"/>
      <c r="L651" s="289"/>
    </row>
    <row r="652" spans="1:12" ht="14.25" customHeight="1" x14ac:dyDescent="0.25">
      <c r="A652" s="289"/>
      <c r="G652" s="289"/>
      <c r="H652" s="289"/>
      <c r="I652" s="289"/>
      <c r="J652" s="289"/>
      <c r="K652" s="289"/>
      <c r="L652" s="289"/>
    </row>
    <row r="653" spans="1:12" ht="14.25" customHeight="1" x14ac:dyDescent="0.25">
      <c r="A653" s="289"/>
      <c r="G653" s="289"/>
      <c r="H653" s="289"/>
      <c r="I653" s="289"/>
      <c r="J653" s="289"/>
      <c r="K653" s="289"/>
      <c r="L653" s="289"/>
    </row>
    <row r="654" spans="1:12" ht="14.25" customHeight="1" x14ac:dyDescent="0.25">
      <c r="A654" s="289"/>
      <c r="G654" s="289"/>
      <c r="H654" s="289"/>
      <c r="I654" s="289"/>
      <c r="J654" s="289"/>
      <c r="K654" s="289"/>
      <c r="L654" s="289"/>
    </row>
    <row r="655" spans="1:12" ht="14.25" customHeight="1" x14ac:dyDescent="0.25">
      <c r="A655" s="289"/>
      <c r="G655" s="289"/>
      <c r="H655" s="289"/>
      <c r="I655" s="289"/>
      <c r="J655" s="289"/>
      <c r="K655" s="289"/>
      <c r="L655" s="289"/>
    </row>
    <row r="656" spans="1:12" ht="14.25" customHeight="1" x14ac:dyDescent="0.25">
      <c r="A656" s="289"/>
      <c r="G656" s="289"/>
      <c r="H656" s="289"/>
      <c r="I656" s="289"/>
      <c r="J656" s="289"/>
      <c r="K656" s="289"/>
      <c r="L656" s="289"/>
    </row>
    <row r="657" spans="1:12" ht="14.25" customHeight="1" x14ac:dyDescent="0.25">
      <c r="A657" s="289"/>
      <c r="G657" s="289"/>
      <c r="H657" s="289"/>
      <c r="I657" s="289"/>
      <c r="J657" s="289"/>
      <c r="K657" s="289"/>
      <c r="L657" s="289"/>
    </row>
    <row r="658" spans="1:12" ht="14.25" customHeight="1" x14ac:dyDescent="0.25">
      <c r="A658" s="289"/>
      <c r="G658" s="289"/>
      <c r="H658" s="289"/>
      <c r="I658" s="289"/>
      <c r="J658" s="289"/>
      <c r="K658" s="289"/>
      <c r="L658" s="289"/>
    </row>
    <row r="659" spans="1:12" ht="14.25" customHeight="1" x14ac:dyDescent="0.25">
      <c r="A659" s="289"/>
      <c r="G659" s="289"/>
      <c r="H659" s="289"/>
      <c r="I659" s="289"/>
      <c r="J659" s="289"/>
      <c r="K659" s="289"/>
      <c r="L659" s="289"/>
    </row>
    <row r="660" spans="1:12" ht="14.25" customHeight="1" x14ac:dyDescent="0.25">
      <c r="A660" s="289"/>
      <c r="G660" s="289"/>
      <c r="H660" s="289"/>
      <c r="I660" s="289"/>
      <c r="J660" s="289"/>
      <c r="K660" s="289"/>
      <c r="L660" s="289"/>
    </row>
    <row r="661" spans="1:12" ht="14.25" customHeight="1" x14ac:dyDescent="0.25">
      <c r="A661" s="289"/>
      <c r="G661" s="289"/>
      <c r="H661" s="289"/>
      <c r="I661" s="289"/>
      <c r="J661" s="289"/>
      <c r="K661" s="289"/>
      <c r="L661" s="289"/>
    </row>
    <row r="662" spans="1:12" ht="14.25" customHeight="1" x14ac:dyDescent="0.25">
      <c r="A662" s="289"/>
      <c r="G662" s="289"/>
      <c r="H662" s="289"/>
      <c r="I662" s="289"/>
      <c r="J662" s="289"/>
      <c r="K662" s="289"/>
      <c r="L662" s="289"/>
    </row>
    <row r="663" spans="1:12" ht="14.25" customHeight="1" x14ac:dyDescent="0.25">
      <c r="A663" s="289"/>
      <c r="G663" s="289"/>
      <c r="H663" s="289"/>
      <c r="I663" s="289"/>
      <c r="J663" s="289"/>
      <c r="K663" s="289"/>
      <c r="L663" s="289"/>
    </row>
    <row r="664" spans="1:12" ht="14.25" customHeight="1" x14ac:dyDescent="0.25">
      <c r="A664" s="289"/>
      <c r="G664" s="289"/>
      <c r="H664" s="289"/>
      <c r="I664" s="289"/>
      <c r="J664" s="289"/>
      <c r="K664" s="289"/>
      <c r="L664" s="289"/>
    </row>
    <row r="665" spans="1:12" ht="14.25" customHeight="1" x14ac:dyDescent="0.25">
      <c r="A665" s="289"/>
      <c r="G665" s="289"/>
      <c r="H665" s="289"/>
      <c r="I665" s="289"/>
      <c r="J665" s="289"/>
      <c r="K665" s="289"/>
      <c r="L665" s="289"/>
    </row>
    <row r="666" spans="1:12" ht="14.25" customHeight="1" x14ac:dyDescent="0.25">
      <c r="A666" s="289"/>
      <c r="G666" s="289"/>
      <c r="H666" s="289"/>
      <c r="I666" s="289"/>
      <c r="J666" s="289"/>
      <c r="K666" s="289"/>
      <c r="L666" s="289"/>
    </row>
    <row r="667" spans="1:12" ht="14.25" customHeight="1" x14ac:dyDescent="0.25">
      <c r="A667" s="289"/>
      <c r="G667" s="289"/>
      <c r="H667" s="289"/>
      <c r="I667" s="289"/>
      <c r="J667" s="289"/>
      <c r="K667" s="289"/>
      <c r="L667" s="289"/>
    </row>
    <row r="668" spans="1:12" ht="14.25" customHeight="1" x14ac:dyDescent="0.25">
      <c r="A668" s="289"/>
      <c r="G668" s="289"/>
      <c r="H668" s="289"/>
      <c r="I668" s="289"/>
      <c r="J668" s="289"/>
      <c r="K668" s="289"/>
      <c r="L668" s="289"/>
    </row>
    <row r="669" spans="1:12" ht="14.25" customHeight="1" x14ac:dyDescent="0.25">
      <c r="A669" s="289"/>
      <c r="G669" s="289"/>
      <c r="H669" s="289"/>
      <c r="I669" s="289"/>
      <c r="J669" s="289"/>
      <c r="K669" s="289"/>
      <c r="L669" s="289"/>
    </row>
    <row r="670" spans="1:12" ht="14.25" customHeight="1" x14ac:dyDescent="0.25">
      <c r="A670" s="289"/>
      <c r="G670" s="289"/>
      <c r="H670" s="289"/>
      <c r="I670" s="289"/>
      <c r="J670" s="289"/>
      <c r="K670" s="289"/>
      <c r="L670" s="289"/>
    </row>
    <row r="671" spans="1:12" ht="14.25" customHeight="1" x14ac:dyDescent="0.25">
      <c r="A671" s="289"/>
      <c r="G671" s="289"/>
      <c r="H671" s="289"/>
      <c r="I671" s="289"/>
      <c r="J671" s="289"/>
      <c r="K671" s="289"/>
      <c r="L671" s="289"/>
    </row>
    <row r="672" spans="1:12" ht="14.25" customHeight="1" x14ac:dyDescent="0.25">
      <c r="A672" s="289"/>
      <c r="G672" s="289"/>
      <c r="H672" s="289"/>
      <c r="I672" s="289"/>
      <c r="J672" s="289"/>
      <c r="K672" s="289"/>
      <c r="L672" s="289"/>
    </row>
    <row r="673" spans="1:12" ht="14.25" customHeight="1" x14ac:dyDescent="0.25">
      <c r="A673" s="289"/>
      <c r="G673" s="289"/>
      <c r="H673" s="289"/>
      <c r="I673" s="289"/>
      <c r="J673" s="289"/>
      <c r="K673" s="289"/>
      <c r="L673" s="289"/>
    </row>
    <row r="674" spans="1:12" ht="14.25" customHeight="1" x14ac:dyDescent="0.25">
      <c r="A674" s="289"/>
      <c r="G674" s="289"/>
      <c r="H674" s="289"/>
      <c r="I674" s="289"/>
      <c r="J674" s="289"/>
      <c r="K674" s="289"/>
      <c r="L674" s="289"/>
    </row>
    <row r="675" spans="1:12" ht="14.25" customHeight="1" x14ac:dyDescent="0.25">
      <c r="A675" s="289"/>
      <c r="G675" s="289"/>
      <c r="H675" s="289"/>
      <c r="I675" s="289"/>
      <c r="J675" s="289"/>
      <c r="K675" s="289"/>
      <c r="L675" s="289"/>
    </row>
    <row r="676" spans="1:12" ht="14.25" customHeight="1" x14ac:dyDescent="0.25">
      <c r="A676" s="289"/>
      <c r="G676" s="289"/>
      <c r="H676" s="289"/>
      <c r="I676" s="289"/>
      <c r="J676" s="289"/>
      <c r="K676" s="289"/>
      <c r="L676" s="289"/>
    </row>
    <row r="677" spans="1:12" ht="14.25" customHeight="1" x14ac:dyDescent="0.25">
      <c r="A677" s="289"/>
      <c r="G677" s="289"/>
      <c r="H677" s="289"/>
      <c r="I677" s="289"/>
      <c r="J677" s="289"/>
      <c r="K677" s="289"/>
      <c r="L677" s="289"/>
    </row>
    <row r="678" spans="1:12" ht="14.25" customHeight="1" x14ac:dyDescent="0.25">
      <c r="A678" s="289"/>
      <c r="G678" s="289"/>
      <c r="H678" s="289"/>
      <c r="I678" s="289"/>
      <c r="J678" s="289"/>
      <c r="K678" s="289"/>
      <c r="L678" s="289"/>
    </row>
    <row r="679" spans="1:12" ht="14.25" customHeight="1" x14ac:dyDescent="0.25">
      <c r="A679" s="289"/>
      <c r="G679" s="289"/>
      <c r="H679" s="289"/>
      <c r="I679" s="289"/>
      <c r="J679" s="289"/>
      <c r="K679" s="289"/>
      <c r="L679" s="289"/>
    </row>
    <row r="680" spans="1:12" ht="14.25" customHeight="1" x14ac:dyDescent="0.25">
      <c r="A680" s="289"/>
      <c r="G680" s="289"/>
      <c r="H680" s="289"/>
      <c r="I680" s="289"/>
      <c r="J680" s="289"/>
      <c r="K680" s="289"/>
      <c r="L680" s="289"/>
    </row>
    <row r="681" spans="1:12" ht="14.25" customHeight="1" x14ac:dyDescent="0.25">
      <c r="A681" s="289"/>
      <c r="G681" s="289"/>
      <c r="H681" s="289"/>
      <c r="I681" s="289"/>
      <c r="J681" s="289"/>
      <c r="K681" s="289"/>
      <c r="L681" s="289"/>
    </row>
    <row r="682" spans="1:12" ht="14.25" customHeight="1" x14ac:dyDescent="0.25">
      <c r="A682" s="289"/>
      <c r="G682" s="289"/>
      <c r="H682" s="289"/>
      <c r="I682" s="289"/>
      <c r="J682" s="289"/>
      <c r="K682" s="289"/>
      <c r="L682" s="289"/>
    </row>
    <row r="683" spans="1:12" ht="14.25" customHeight="1" x14ac:dyDescent="0.25">
      <c r="A683" s="289"/>
      <c r="G683" s="289"/>
      <c r="H683" s="289"/>
      <c r="I683" s="289"/>
      <c r="J683" s="289"/>
      <c r="K683" s="289"/>
      <c r="L683" s="289"/>
    </row>
    <row r="684" spans="1:12" ht="14.25" customHeight="1" x14ac:dyDescent="0.25">
      <c r="A684" s="289"/>
      <c r="G684" s="289"/>
      <c r="H684" s="289"/>
      <c r="I684" s="289"/>
      <c r="J684" s="289"/>
      <c r="K684" s="289"/>
      <c r="L684" s="289"/>
    </row>
    <row r="685" spans="1:12" ht="14.25" customHeight="1" x14ac:dyDescent="0.25">
      <c r="A685" s="289"/>
      <c r="G685" s="289"/>
      <c r="H685" s="289"/>
      <c r="I685" s="289"/>
      <c r="J685" s="289"/>
      <c r="K685" s="289"/>
      <c r="L685" s="289"/>
    </row>
    <row r="686" spans="1:12" ht="14.25" customHeight="1" x14ac:dyDescent="0.25">
      <c r="A686" s="289"/>
      <c r="G686" s="289"/>
      <c r="H686" s="289"/>
      <c r="I686" s="289"/>
      <c r="J686" s="289"/>
      <c r="K686" s="289"/>
      <c r="L686" s="289"/>
    </row>
    <row r="687" spans="1:12" ht="14.25" customHeight="1" x14ac:dyDescent="0.25">
      <c r="A687" s="289"/>
      <c r="G687" s="289"/>
      <c r="H687" s="289"/>
      <c r="I687" s="289"/>
      <c r="J687" s="289"/>
      <c r="K687" s="289"/>
      <c r="L687" s="289"/>
    </row>
    <row r="688" spans="1:12" ht="14.25" customHeight="1" x14ac:dyDescent="0.25">
      <c r="A688" s="289"/>
      <c r="G688" s="289"/>
      <c r="H688" s="289"/>
      <c r="I688" s="289"/>
      <c r="J688" s="289"/>
      <c r="K688" s="289"/>
      <c r="L688" s="289"/>
    </row>
    <row r="689" spans="1:12" ht="14.25" customHeight="1" x14ac:dyDescent="0.25">
      <c r="A689" s="289"/>
      <c r="G689" s="289"/>
      <c r="H689" s="289"/>
      <c r="I689" s="289"/>
      <c r="J689" s="289"/>
      <c r="K689" s="289"/>
      <c r="L689" s="289"/>
    </row>
    <row r="690" spans="1:12" ht="14.25" customHeight="1" x14ac:dyDescent="0.25">
      <c r="A690" s="289"/>
      <c r="G690" s="289"/>
      <c r="H690" s="289"/>
      <c r="I690" s="289"/>
      <c r="J690" s="289"/>
      <c r="K690" s="289"/>
      <c r="L690" s="289"/>
    </row>
    <row r="691" spans="1:12" ht="14.25" customHeight="1" x14ac:dyDescent="0.25">
      <c r="A691" s="289"/>
      <c r="G691" s="289"/>
      <c r="H691" s="289"/>
      <c r="I691" s="289"/>
      <c r="J691" s="289"/>
      <c r="K691" s="289"/>
      <c r="L691" s="289"/>
    </row>
    <row r="692" spans="1:12" ht="14.25" customHeight="1" x14ac:dyDescent="0.25">
      <c r="A692" s="289"/>
      <c r="G692" s="289"/>
      <c r="H692" s="289"/>
      <c r="I692" s="289"/>
      <c r="J692" s="289"/>
      <c r="K692" s="289"/>
      <c r="L692" s="289"/>
    </row>
    <row r="693" spans="1:12" ht="14.25" customHeight="1" x14ac:dyDescent="0.25">
      <c r="A693" s="289"/>
      <c r="G693" s="289"/>
      <c r="H693" s="289"/>
      <c r="I693" s="289"/>
      <c r="J693" s="289"/>
      <c r="K693" s="289"/>
      <c r="L693" s="289"/>
    </row>
    <row r="694" spans="1:12" ht="14.25" customHeight="1" x14ac:dyDescent="0.25">
      <c r="A694" s="289"/>
      <c r="G694" s="289"/>
      <c r="H694" s="289"/>
      <c r="I694" s="289"/>
      <c r="J694" s="289"/>
      <c r="K694" s="289"/>
      <c r="L694" s="289"/>
    </row>
    <row r="695" spans="1:12" ht="14.25" customHeight="1" x14ac:dyDescent="0.25">
      <c r="A695" s="289"/>
      <c r="G695" s="289"/>
      <c r="H695" s="289"/>
      <c r="I695" s="289"/>
      <c r="J695" s="289"/>
      <c r="K695" s="289"/>
      <c r="L695" s="289"/>
    </row>
    <row r="696" spans="1:12" ht="14.25" customHeight="1" x14ac:dyDescent="0.25">
      <c r="A696" s="289"/>
      <c r="G696" s="289"/>
      <c r="H696" s="289"/>
      <c r="I696" s="289"/>
      <c r="J696" s="289"/>
      <c r="K696" s="289"/>
      <c r="L696" s="289"/>
    </row>
    <row r="697" spans="1:12" ht="14.25" customHeight="1" x14ac:dyDescent="0.25">
      <c r="A697" s="289"/>
      <c r="G697" s="289"/>
      <c r="H697" s="289"/>
      <c r="I697" s="289"/>
      <c r="J697" s="289"/>
      <c r="K697" s="289"/>
      <c r="L697" s="289"/>
    </row>
    <row r="698" spans="1:12" ht="14.25" customHeight="1" x14ac:dyDescent="0.25">
      <c r="A698" s="289"/>
      <c r="G698" s="289"/>
      <c r="H698" s="289"/>
      <c r="I698" s="289"/>
      <c r="J698" s="289"/>
      <c r="K698" s="289"/>
      <c r="L698" s="289"/>
    </row>
    <row r="699" spans="1:12" ht="14.25" customHeight="1" x14ac:dyDescent="0.25">
      <c r="A699" s="289"/>
      <c r="G699" s="289"/>
      <c r="H699" s="289"/>
      <c r="I699" s="289"/>
      <c r="J699" s="289"/>
      <c r="K699" s="289"/>
      <c r="L699" s="289"/>
    </row>
    <row r="700" spans="1:12" ht="14.25" customHeight="1" x14ac:dyDescent="0.25">
      <c r="A700" s="289"/>
      <c r="G700" s="289"/>
      <c r="H700" s="289"/>
      <c r="I700" s="289"/>
      <c r="J700" s="289"/>
      <c r="K700" s="289"/>
      <c r="L700" s="289"/>
    </row>
    <row r="701" spans="1:12" ht="14.25" customHeight="1" x14ac:dyDescent="0.25">
      <c r="A701" s="289"/>
      <c r="G701" s="289"/>
      <c r="H701" s="289"/>
      <c r="I701" s="289"/>
      <c r="J701" s="289"/>
      <c r="K701" s="289"/>
      <c r="L701" s="289"/>
    </row>
    <row r="702" spans="1:12" ht="14.25" customHeight="1" x14ac:dyDescent="0.25">
      <c r="A702" s="289"/>
      <c r="G702" s="289"/>
      <c r="H702" s="289"/>
      <c r="I702" s="289"/>
      <c r="J702" s="289"/>
      <c r="K702" s="289"/>
      <c r="L702" s="289"/>
    </row>
    <row r="703" spans="1:12" ht="14.25" customHeight="1" x14ac:dyDescent="0.25">
      <c r="A703" s="289"/>
      <c r="G703" s="289"/>
      <c r="H703" s="289"/>
      <c r="I703" s="289"/>
      <c r="J703" s="289"/>
      <c r="K703" s="289"/>
      <c r="L703" s="289"/>
    </row>
    <row r="704" spans="1:12" ht="14.25" customHeight="1" x14ac:dyDescent="0.25">
      <c r="A704" s="289"/>
      <c r="G704" s="289"/>
      <c r="H704" s="289"/>
      <c r="I704" s="289"/>
      <c r="J704" s="289"/>
      <c r="K704" s="289"/>
      <c r="L704" s="289"/>
    </row>
    <row r="705" spans="1:12" ht="14.25" customHeight="1" x14ac:dyDescent="0.25">
      <c r="A705" s="289"/>
      <c r="G705" s="289"/>
      <c r="H705" s="289"/>
      <c r="I705" s="289"/>
      <c r="J705" s="289"/>
      <c r="K705" s="289"/>
      <c r="L705" s="289"/>
    </row>
    <row r="706" spans="1:12" ht="14.25" customHeight="1" x14ac:dyDescent="0.25">
      <c r="A706" s="289"/>
      <c r="G706" s="289"/>
      <c r="H706" s="289"/>
      <c r="I706" s="289"/>
      <c r="J706" s="289"/>
      <c r="K706" s="289"/>
      <c r="L706" s="289"/>
    </row>
    <row r="707" spans="1:12" ht="14.25" customHeight="1" x14ac:dyDescent="0.25">
      <c r="A707" s="289"/>
      <c r="G707" s="289"/>
      <c r="H707" s="289"/>
      <c r="I707" s="289"/>
      <c r="J707" s="289"/>
      <c r="K707" s="289"/>
      <c r="L707" s="289"/>
    </row>
    <row r="708" spans="1:12" ht="14.25" customHeight="1" x14ac:dyDescent="0.25">
      <c r="A708" s="289"/>
      <c r="G708" s="289"/>
      <c r="H708" s="289"/>
      <c r="I708" s="289"/>
      <c r="J708" s="289"/>
      <c r="K708" s="289"/>
      <c r="L708" s="289"/>
    </row>
    <row r="709" spans="1:12" ht="14.25" customHeight="1" x14ac:dyDescent="0.25">
      <c r="A709" s="289"/>
      <c r="G709" s="289"/>
      <c r="H709" s="289"/>
      <c r="I709" s="289"/>
      <c r="J709" s="289"/>
      <c r="K709" s="289"/>
      <c r="L709" s="289"/>
    </row>
    <row r="710" spans="1:12" ht="14.25" customHeight="1" x14ac:dyDescent="0.25">
      <c r="A710" s="289"/>
      <c r="G710" s="289"/>
      <c r="H710" s="289"/>
      <c r="I710" s="289"/>
      <c r="J710" s="289"/>
      <c r="K710" s="289"/>
      <c r="L710" s="289"/>
    </row>
    <row r="711" spans="1:12" ht="14.25" customHeight="1" x14ac:dyDescent="0.25">
      <c r="A711" s="289"/>
      <c r="G711" s="289"/>
      <c r="H711" s="289"/>
      <c r="I711" s="289"/>
      <c r="J711" s="289"/>
      <c r="K711" s="289"/>
      <c r="L711" s="289"/>
    </row>
    <row r="712" spans="1:12" ht="14.25" customHeight="1" x14ac:dyDescent="0.25">
      <c r="A712" s="289"/>
      <c r="G712" s="289"/>
      <c r="H712" s="289"/>
      <c r="I712" s="289"/>
      <c r="J712" s="289"/>
      <c r="K712" s="289"/>
      <c r="L712" s="289"/>
    </row>
    <row r="713" spans="1:12" ht="14.25" customHeight="1" x14ac:dyDescent="0.25">
      <c r="A713" s="289"/>
      <c r="G713" s="289"/>
      <c r="H713" s="289"/>
      <c r="I713" s="289"/>
      <c r="J713" s="289"/>
      <c r="K713" s="289"/>
      <c r="L713" s="289"/>
    </row>
    <row r="714" spans="1:12" ht="14.25" customHeight="1" x14ac:dyDescent="0.25">
      <c r="A714" s="289"/>
      <c r="G714" s="289"/>
      <c r="H714" s="289"/>
      <c r="I714" s="289"/>
      <c r="J714" s="289"/>
      <c r="K714" s="289"/>
      <c r="L714" s="289"/>
    </row>
    <row r="715" spans="1:12" ht="14.25" customHeight="1" x14ac:dyDescent="0.25">
      <c r="A715" s="289"/>
      <c r="G715" s="289"/>
      <c r="H715" s="289"/>
      <c r="I715" s="289"/>
      <c r="J715" s="289"/>
      <c r="K715" s="289"/>
      <c r="L715" s="289"/>
    </row>
    <row r="716" spans="1:12" ht="14.25" customHeight="1" x14ac:dyDescent="0.25">
      <c r="A716" s="289"/>
      <c r="G716" s="289"/>
      <c r="H716" s="289"/>
      <c r="I716" s="289"/>
      <c r="J716" s="289"/>
      <c r="K716" s="289"/>
      <c r="L716" s="289"/>
    </row>
    <row r="717" spans="1:12" ht="14.25" customHeight="1" x14ac:dyDescent="0.25">
      <c r="A717" s="289"/>
      <c r="G717" s="289"/>
      <c r="H717" s="289"/>
      <c r="I717" s="289"/>
      <c r="J717" s="289"/>
      <c r="K717" s="289"/>
      <c r="L717" s="289"/>
    </row>
    <row r="718" spans="1:12" ht="14.25" customHeight="1" x14ac:dyDescent="0.25">
      <c r="A718" s="289"/>
      <c r="G718" s="289"/>
      <c r="H718" s="289"/>
      <c r="I718" s="289"/>
      <c r="J718" s="289"/>
      <c r="K718" s="289"/>
      <c r="L718" s="289"/>
    </row>
    <row r="719" spans="1:12" ht="14.25" customHeight="1" x14ac:dyDescent="0.25">
      <c r="A719" s="289"/>
      <c r="G719" s="289"/>
      <c r="H719" s="289"/>
      <c r="I719" s="289"/>
      <c r="J719" s="289"/>
      <c r="K719" s="289"/>
      <c r="L719" s="289"/>
    </row>
    <row r="720" spans="1:12" ht="14.25" customHeight="1" x14ac:dyDescent="0.25">
      <c r="A720" s="289"/>
      <c r="G720" s="289"/>
      <c r="H720" s="289"/>
      <c r="I720" s="289"/>
      <c r="J720" s="289"/>
      <c r="K720" s="289"/>
      <c r="L720" s="289"/>
    </row>
    <row r="721" spans="1:12" ht="14.25" customHeight="1" x14ac:dyDescent="0.25">
      <c r="A721" s="289"/>
      <c r="G721" s="289"/>
      <c r="H721" s="289"/>
      <c r="I721" s="289"/>
      <c r="J721" s="289"/>
      <c r="K721" s="289"/>
      <c r="L721" s="289"/>
    </row>
    <row r="722" spans="1:12" ht="14.25" customHeight="1" x14ac:dyDescent="0.25">
      <c r="A722" s="289"/>
      <c r="G722" s="289"/>
      <c r="H722" s="289"/>
      <c r="I722" s="289"/>
      <c r="J722" s="289"/>
      <c r="K722" s="289"/>
      <c r="L722" s="289"/>
    </row>
    <row r="723" spans="1:12" ht="14.25" customHeight="1" x14ac:dyDescent="0.25">
      <c r="A723" s="289"/>
      <c r="G723" s="289"/>
      <c r="H723" s="289"/>
      <c r="I723" s="289"/>
      <c r="J723" s="289"/>
      <c r="K723" s="289"/>
      <c r="L723" s="289"/>
    </row>
    <row r="724" spans="1:12" ht="14.25" customHeight="1" x14ac:dyDescent="0.25">
      <c r="A724" s="289"/>
      <c r="G724" s="289"/>
      <c r="H724" s="289"/>
      <c r="I724" s="289"/>
      <c r="J724" s="289"/>
      <c r="K724" s="289"/>
      <c r="L724" s="289"/>
    </row>
    <row r="725" spans="1:12" ht="14.25" customHeight="1" x14ac:dyDescent="0.25">
      <c r="A725" s="289"/>
      <c r="G725" s="289"/>
      <c r="H725" s="289"/>
      <c r="I725" s="289"/>
      <c r="J725" s="289"/>
      <c r="K725" s="289"/>
      <c r="L725" s="289"/>
    </row>
    <row r="726" spans="1:12" ht="14.25" customHeight="1" x14ac:dyDescent="0.25">
      <c r="A726" s="289"/>
      <c r="G726" s="289"/>
      <c r="H726" s="289"/>
      <c r="I726" s="289"/>
      <c r="J726" s="289"/>
      <c r="K726" s="289"/>
      <c r="L726" s="289"/>
    </row>
    <row r="727" spans="1:12" ht="14.25" customHeight="1" x14ac:dyDescent="0.25">
      <c r="A727" s="289"/>
      <c r="G727" s="289"/>
      <c r="H727" s="289"/>
      <c r="I727" s="289"/>
      <c r="J727" s="289"/>
      <c r="K727" s="289"/>
      <c r="L727" s="289"/>
    </row>
    <row r="728" spans="1:12" ht="14.25" customHeight="1" x14ac:dyDescent="0.25">
      <c r="A728" s="289"/>
      <c r="G728" s="289"/>
      <c r="H728" s="289"/>
      <c r="I728" s="289"/>
      <c r="J728" s="289"/>
      <c r="K728" s="289"/>
      <c r="L728" s="289"/>
    </row>
    <row r="729" spans="1:12" ht="14.25" customHeight="1" x14ac:dyDescent="0.25">
      <c r="A729" s="289"/>
      <c r="G729" s="289"/>
      <c r="H729" s="289"/>
      <c r="I729" s="289"/>
      <c r="J729" s="289"/>
      <c r="K729" s="289"/>
      <c r="L729" s="289"/>
    </row>
    <row r="730" spans="1:12" ht="14.25" customHeight="1" x14ac:dyDescent="0.25">
      <c r="A730" s="289"/>
      <c r="G730" s="289"/>
      <c r="H730" s="289"/>
      <c r="I730" s="289"/>
      <c r="J730" s="289"/>
      <c r="K730" s="289"/>
      <c r="L730" s="289"/>
    </row>
    <row r="731" spans="1:12" ht="14.25" customHeight="1" x14ac:dyDescent="0.25">
      <c r="A731" s="289"/>
      <c r="G731" s="289"/>
      <c r="H731" s="289"/>
      <c r="I731" s="289"/>
      <c r="J731" s="289"/>
      <c r="K731" s="289"/>
      <c r="L731" s="289"/>
    </row>
    <row r="732" spans="1:12" ht="14.25" customHeight="1" x14ac:dyDescent="0.25">
      <c r="A732" s="289"/>
      <c r="G732" s="289"/>
      <c r="H732" s="289"/>
      <c r="I732" s="289"/>
      <c r="J732" s="289"/>
      <c r="K732" s="289"/>
      <c r="L732" s="289"/>
    </row>
    <row r="733" spans="1:12" ht="14.25" customHeight="1" x14ac:dyDescent="0.25">
      <c r="A733" s="289"/>
      <c r="G733" s="289"/>
      <c r="H733" s="289"/>
      <c r="I733" s="289"/>
      <c r="J733" s="289"/>
      <c r="K733" s="289"/>
      <c r="L733" s="289"/>
    </row>
    <row r="734" spans="1:12" ht="14.25" customHeight="1" x14ac:dyDescent="0.25">
      <c r="A734" s="289"/>
      <c r="G734" s="289"/>
      <c r="H734" s="289"/>
      <c r="I734" s="289"/>
      <c r="J734" s="289"/>
      <c r="K734" s="289"/>
      <c r="L734" s="289"/>
    </row>
    <row r="735" spans="1:12" ht="14.25" customHeight="1" x14ac:dyDescent="0.25">
      <c r="A735" s="289"/>
      <c r="G735" s="289"/>
      <c r="H735" s="289"/>
      <c r="I735" s="289"/>
      <c r="J735" s="289"/>
      <c r="K735" s="289"/>
      <c r="L735" s="289"/>
    </row>
    <row r="736" spans="1:12" ht="14.25" customHeight="1" x14ac:dyDescent="0.25">
      <c r="A736" s="289"/>
      <c r="G736" s="289"/>
      <c r="H736" s="289"/>
      <c r="I736" s="289"/>
      <c r="J736" s="289"/>
      <c r="K736" s="289"/>
      <c r="L736" s="289"/>
    </row>
    <row r="737" spans="1:12" ht="14.25" customHeight="1" x14ac:dyDescent="0.25">
      <c r="A737" s="289"/>
      <c r="G737" s="289"/>
      <c r="H737" s="289"/>
      <c r="I737" s="289"/>
      <c r="J737" s="289"/>
      <c r="K737" s="289"/>
      <c r="L737" s="289"/>
    </row>
    <row r="738" spans="1:12" ht="14.25" customHeight="1" x14ac:dyDescent="0.25">
      <c r="A738" s="289"/>
      <c r="G738" s="289"/>
      <c r="H738" s="289"/>
      <c r="I738" s="289"/>
      <c r="J738" s="289"/>
      <c r="K738" s="289"/>
      <c r="L738" s="289"/>
    </row>
    <row r="739" spans="1:12" ht="14.25" customHeight="1" x14ac:dyDescent="0.25">
      <c r="A739" s="289"/>
      <c r="G739" s="289"/>
      <c r="H739" s="289"/>
      <c r="I739" s="289"/>
      <c r="J739" s="289"/>
      <c r="K739" s="289"/>
      <c r="L739" s="289"/>
    </row>
    <row r="740" spans="1:12" ht="14.25" customHeight="1" x14ac:dyDescent="0.25">
      <c r="A740" s="289"/>
      <c r="G740" s="289"/>
      <c r="H740" s="289"/>
      <c r="I740" s="289"/>
      <c r="J740" s="289"/>
      <c r="K740" s="289"/>
      <c r="L740" s="289"/>
    </row>
    <row r="741" spans="1:12" ht="14.25" customHeight="1" x14ac:dyDescent="0.25">
      <c r="A741" s="289"/>
      <c r="G741" s="289"/>
      <c r="H741" s="289"/>
      <c r="I741" s="289"/>
      <c r="J741" s="289"/>
      <c r="K741" s="289"/>
      <c r="L741" s="289"/>
    </row>
    <row r="742" spans="1:12" ht="14.25" customHeight="1" x14ac:dyDescent="0.25">
      <c r="A742" s="289"/>
      <c r="G742" s="289"/>
      <c r="H742" s="289"/>
      <c r="I742" s="289"/>
      <c r="J742" s="289"/>
      <c r="K742" s="289"/>
      <c r="L742" s="289"/>
    </row>
    <row r="743" spans="1:12" ht="14.25" customHeight="1" x14ac:dyDescent="0.25">
      <c r="A743" s="289"/>
      <c r="G743" s="289"/>
      <c r="H743" s="289"/>
      <c r="I743" s="289"/>
      <c r="J743" s="289"/>
      <c r="K743" s="289"/>
      <c r="L743" s="289"/>
    </row>
    <row r="744" spans="1:12" ht="14.25" customHeight="1" x14ac:dyDescent="0.25">
      <c r="A744" s="289"/>
      <c r="G744" s="289"/>
      <c r="H744" s="289"/>
      <c r="I744" s="289"/>
      <c r="J744" s="289"/>
      <c r="K744" s="289"/>
      <c r="L744" s="289"/>
    </row>
    <row r="745" spans="1:12" ht="14.25" customHeight="1" x14ac:dyDescent="0.25">
      <c r="A745" s="289"/>
      <c r="G745" s="289"/>
      <c r="H745" s="289"/>
      <c r="I745" s="289"/>
      <c r="J745" s="289"/>
      <c r="K745" s="289"/>
      <c r="L745" s="289"/>
    </row>
    <row r="746" spans="1:12" ht="14.25" customHeight="1" x14ac:dyDescent="0.25">
      <c r="A746" s="289"/>
      <c r="G746" s="289"/>
      <c r="H746" s="289"/>
      <c r="I746" s="289"/>
      <c r="J746" s="289"/>
      <c r="K746" s="289"/>
      <c r="L746" s="289"/>
    </row>
    <row r="747" spans="1:12" ht="14.25" customHeight="1" x14ac:dyDescent="0.25">
      <c r="A747" s="289"/>
      <c r="G747" s="289"/>
      <c r="H747" s="289"/>
      <c r="I747" s="289"/>
      <c r="J747" s="289"/>
      <c r="K747" s="289"/>
      <c r="L747" s="289"/>
    </row>
    <row r="748" spans="1:12" ht="14.25" customHeight="1" x14ac:dyDescent="0.25">
      <c r="A748" s="289"/>
      <c r="G748" s="289"/>
      <c r="H748" s="289"/>
      <c r="I748" s="289"/>
      <c r="J748" s="289"/>
      <c r="K748" s="289"/>
      <c r="L748" s="289"/>
    </row>
    <row r="749" spans="1:12" ht="14.25" customHeight="1" x14ac:dyDescent="0.25">
      <c r="A749" s="289"/>
      <c r="G749" s="289"/>
      <c r="H749" s="289"/>
      <c r="I749" s="289"/>
      <c r="J749" s="289"/>
      <c r="K749" s="289"/>
      <c r="L749" s="289"/>
    </row>
    <row r="750" spans="1:12" ht="14.25" customHeight="1" x14ac:dyDescent="0.25">
      <c r="A750" s="289"/>
      <c r="G750" s="289"/>
      <c r="H750" s="289"/>
      <c r="I750" s="289"/>
      <c r="J750" s="289"/>
      <c r="K750" s="289"/>
      <c r="L750" s="289"/>
    </row>
    <row r="751" spans="1:12" ht="14.25" customHeight="1" x14ac:dyDescent="0.25">
      <c r="A751" s="289"/>
      <c r="G751" s="289"/>
      <c r="H751" s="289"/>
      <c r="I751" s="289"/>
      <c r="J751" s="289"/>
      <c r="K751" s="289"/>
      <c r="L751" s="289"/>
    </row>
    <row r="752" spans="1:12" ht="14.25" customHeight="1" x14ac:dyDescent="0.25">
      <c r="A752" s="289"/>
      <c r="G752" s="289"/>
      <c r="H752" s="289"/>
      <c r="I752" s="289"/>
      <c r="J752" s="289"/>
      <c r="K752" s="289"/>
      <c r="L752" s="289"/>
    </row>
    <row r="753" spans="1:12" ht="14.25" customHeight="1" x14ac:dyDescent="0.25">
      <c r="A753" s="289"/>
      <c r="G753" s="289"/>
      <c r="H753" s="289"/>
      <c r="I753" s="289"/>
      <c r="J753" s="289"/>
      <c r="K753" s="289"/>
      <c r="L753" s="289"/>
    </row>
    <row r="754" spans="1:12" ht="14.25" customHeight="1" x14ac:dyDescent="0.25">
      <c r="A754" s="289"/>
      <c r="G754" s="289"/>
      <c r="H754" s="289"/>
      <c r="I754" s="289"/>
      <c r="J754" s="289"/>
      <c r="K754" s="289"/>
      <c r="L754" s="289"/>
    </row>
    <row r="755" spans="1:12" ht="14.25" customHeight="1" x14ac:dyDescent="0.25">
      <c r="A755" s="289"/>
      <c r="G755" s="289"/>
      <c r="H755" s="289"/>
      <c r="I755" s="289"/>
      <c r="J755" s="289"/>
      <c r="K755" s="289"/>
      <c r="L755" s="289"/>
    </row>
    <row r="756" spans="1:12" ht="14.25" customHeight="1" x14ac:dyDescent="0.25">
      <c r="A756" s="289"/>
      <c r="G756" s="289"/>
      <c r="H756" s="289"/>
      <c r="I756" s="289"/>
      <c r="J756" s="289"/>
      <c r="K756" s="289"/>
      <c r="L756" s="289"/>
    </row>
    <row r="757" spans="1:12" ht="14.25" customHeight="1" x14ac:dyDescent="0.25">
      <c r="A757" s="289"/>
      <c r="G757" s="289"/>
      <c r="H757" s="289"/>
      <c r="I757" s="289"/>
      <c r="J757" s="289"/>
      <c r="K757" s="289"/>
      <c r="L757" s="289"/>
    </row>
    <row r="758" spans="1:12" ht="14.25" customHeight="1" x14ac:dyDescent="0.25">
      <c r="A758" s="289"/>
      <c r="G758" s="289"/>
      <c r="H758" s="289"/>
      <c r="I758" s="289"/>
      <c r="J758" s="289"/>
      <c r="K758" s="289"/>
      <c r="L758" s="289"/>
    </row>
    <row r="759" spans="1:12" ht="14.25" customHeight="1" x14ac:dyDescent="0.25">
      <c r="A759" s="289"/>
      <c r="G759" s="289"/>
      <c r="H759" s="289"/>
      <c r="I759" s="289"/>
      <c r="J759" s="289"/>
      <c r="K759" s="289"/>
      <c r="L759" s="289"/>
    </row>
    <row r="760" spans="1:12" ht="14.25" customHeight="1" x14ac:dyDescent="0.25">
      <c r="A760" s="289"/>
      <c r="G760" s="289"/>
      <c r="H760" s="289"/>
      <c r="I760" s="289"/>
      <c r="J760" s="289"/>
      <c r="K760" s="289"/>
      <c r="L760" s="289"/>
    </row>
    <row r="761" spans="1:12" ht="14.25" customHeight="1" x14ac:dyDescent="0.25">
      <c r="A761" s="289"/>
      <c r="G761" s="289"/>
      <c r="H761" s="289"/>
      <c r="I761" s="289"/>
      <c r="J761" s="289"/>
      <c r="K761" s="289"/>
      <c r="L761" s="289"/>
    </row>
    <row r="762" spans="1:12" ht="14.25" customHeight="1" x14ac:dyDescent="0.25">
      <c r="A762" s="289"/>
      <c r="G762" s="289"/>
      <c r="H762" s="289"/>
      <c r="I762" s="289"/>
      <c r="J762" s="289"/>
      <c r="K762" s="289"/>
      <c r="L762" s="289"/>
    </row>
    <row r="763" spans="1:12" ht="14.25" customHeight="1" x14ac:dyDescent="0.25">
      <c r="A763" s="289"/>
      <c r="G763" s="289"/>
      <c r="H763" s="289"/>
      <c r="I763" s="289"/>
      <c r="J763" s="289"/>
      <c r="K763" s="289"/>
      <c r="L763" s="289"/>
    </row>
    <row r="764" spans="1:12" ht="14.25" customHeight="1" x14ac:dyDescent="0.25">
      <c r="A764" s="289"/>
      <c r="G764" s="289"/>
      <c r="H764" s="289"/>
      <c r="I764" s="289"/>
      <c r="J764" s="289"/>
      <c r="K764" s="289"/>
      <c r="L764" s="289"/>
    </row>
    <row r="765" spans="1:12" ht="14.25" customHeight="1" x14ac:dyDescent="0.25">
      <c r="A765" s="289"/>
      <c r="G765" s="289"/>
      <c r="H765" s="289"/>
      <c r="I765" s="289"/>
      <c r="J765" s="289"/>
      <c r="K765" s="289"/>
      <c r="L765" s="289"/>
    </row>
    <row r="766" spans="1:12" ht="14.25" customHeight="1" x14ac:dyDescent="0.25">
      <c r="A766" s="289"/>
      <c r="G766" s="289"/>
      <c r="H766" s="289"/>
      <c r="I766" s="289"/>
      <c r="J766" s="289"/>
      <c r="K766" s="289"/>
      <c r="L766" s="289"/>
    </row>
    <row r="767" spans="1:12" ht="14.25" customHeight="1" x14ac:dyDescent="0.25">
      <c r="A767" s="289"/>
      <c r="G767" s="289"/>
      <c r="H767" s="289"/>
      <c r="I767" s="289"/>
      <c r="J767" s="289"/>
      <c r="K767" s="289"/>
      <c r="L767" s="289"/>
    </row>
    <row r="768" spans="1:12" ht="14.25" customHeight="1" x14ac:dyDescent="0.25">
      <c r="A768" s="289"/>
      <c r="G768" s="289"/>
      <c r="H768" s="289"/>
      <c r="I768" s="289"/>
      <c r="J768" s="289"/>
      <c r="K768" s="289"/>
      <c r="L768" s="289"/>
    </row>
    <row r="769" spans="1:12" ht="14.25" customHeight="1" x14ac:dyDescent="0.25">
      <c r="A769" s="289"/>
      <c r="G769" s="289"/>
      <c r="H769" s="289"/>
      <c r="I769" s="289"/>
      <c r="J769" s="289"/>
      <c r="K769" s="289"/>
      <c r="L769" s="289"/>
    </row>
    <row r="770" spans="1:12" ht="14.25" customHeight="1" x14ac:dyDescent="0.25">
      <c r="A770" s="289"/>
      <c r="G770" s="289"/>
      <c r="H770" s="289"/>
      <c r="I770" s="289"/>
      <c r="J770" s="289"/>
      <c r="K770" s="289"/>
      <c r="L770" s="289"/>
    </row>
    <row r="771" spans="1:12" ht="14.25" customHeight="1" x14ac:dyDescent="0.25">
      <c r="A771" s="289"/>
      <c r="G771" s="289"/>
      <c r="H771" s="289"/>
      <c r="I771" s="289"/>
      <c r="J771" s="289"/>
      <c r="K771" s="289"/>
      <c r="L771" s="289"/>
    </row>
    <row r="772" spans="1:12" ht="14.25" customHeight="1" x14ac:dyDescent="0.25">
      <c r="A772" s="289"/>
      <c r="G772" s="289"/>
      <c r="H772" s="289"/>
      <c r="I772" s="289"/>
      <c r="J772" s="289"/>
      <c r="K772" s="289"/>
      <c r="L772" s="289"/>
    </row>
    <row r="773" spans="1:12" ht="14.25" customHeight="1" x14ac:dyDescent="0.25">
      <c r="A773" s="289"/>
      <c r="G773" s="289"/>
      <c r="H773" s="289"/>
      <c r="I773" s="289"/>
      <c r="J773" s="289"/>
      <c r="K773" s="289"/>
      <c r="L773" s="289"/>
    </row>
    <row r="774" spans="1:12" ht="14.25" customHeight="1" x14ac:dyDescent="0.25">
      <c r="A774" s="289"/>
      <c r="G774" s="289"/>
      <c r="H774" s="289"/>
      <c r="I774" s="289"/>
      <c r="J774" s="289"/>
      <c r="K774" s="289"/>
      <c r="L774" s="289"/>
    </row>
    <row r="775" spans="1:12" ht="14.25" customHeight="1" x14ac:dyDescent="0.25">
      <c r="A775" s="289"/>
      <c r="G775" s="289"/>
      <c r="H775" s="289"/>
      <c r="I775" s="289"/>
      <c r="J775" s="289"/>
      <c r="K775" s="289"/>
      <c r="L775" s="289"/>
    </row>
    <row r="776" spans="1:12" ht="14.25" customHeight="1" x14ac:dyDescent="0.25">
      <c r="A776" s="289"/>
      <c r="G776" s="289"/>
      <c r="H776" s="289"/>
      <c r="I776" s="289"/>
      <c r="J776" s="289"/>
      <c r="K776" s="289"/>
      <c r="L776" s="289"/>
    </row>
    <row r="777" spans="1:12" ht="14.25" customHeight="1" x14ac:dyDescent="0.25">
      <c r="A777" s="289"/>
      <c r="G777" s="289"/>
      <c r="H777" s="289"/>
      <c r="I777" s="289"/>
      <c r="J777" s="289"/>
      <c r="K777" s="289"/>
      <c r="L777" s="289"/>
    </row>
    <row r="778" spans="1:12" ht="14.25" customHeight="1" x14ac:dyDescent="0.25">
      <c r="A778" s="289"/>
      <c r="G778" s="289"/>
      <c r="H778" s="289"/>
      <c r="I778" s="289"/>
      <c r="J778" s="289"/>
      <c r="K778" s="289"/>
      <c r="L778" s="289"/>
    </row>
    <row r="779" spans="1:12" ht="14.25" customHeight="1" x14ac:dyDescent="0.25">
      <c r="A779" s="289"/>
      <c r="G779" s="289"/>
      <c r="H779" s="289"/>
      <c r="I779" s="289"/>
      <c r="J779" s="289"/>
      <c r="K779" s="289"/>
      <c r="L779" s="289"/>
    </row>
    <row r="780" spans="1:12" ht="14.25" customHeight="1" x14ac:dyDescent="0.25">
      <c r="A780" s="289"/>
      <c r="G780" s="289"/>
      <c r="H780" s="289"/>
      <c r="I780" s="289"/>
      <c r="J780" s="289"/>
      <c r="K780" s="289"/>
      <c r="L780" s="289"/>
    </row>
    <row r="781" spans="1:12" ht="14.25" customHeight="1" x14ac:dyDescent="0.25">
      <c r="A781" s="289"/>
      <c r="G781" s="289"/>
      <c r="H781" s="289"/>
      <c r="I781" s="289"/>
      <c r="J781" s="289"/>
      <c r="K781" s="289"/>
      <c r="L781" s="289"/>
    </row>
    <row r="782" spans="1:12" ht="14.25" customHeight="1" x14ac:dyDescent="0.25">
      <c r="A782" s="289"/>
      <c r="G782" s="289"/>
      <c r="H782" s="289"/>
      <c r="I782" s="289"/>
      <c r="J782" s="289"/>
      <c r="K782" s="289"/>
      <c r="L782" s="289"/>
    </row>
    <row r="783" spans="1:12" ht="14.25" customHeight="1" x14ac:dyDescent="0.25">
      <c r="A783" s="289"/>
      <c r="G783" s="289"/>
      <c r="H783" s="289"/>
      <c r="I783" s="289"/>
      <c r="J783" s="289"/>
      <c r="K783" s="289"/>
      <c r="L783" s="289"/>
    </row>
    <row r="784" spans="1:12" ht="14.25" customHeight="1" x14ac:dyDescent="0.25">
      <c r="A784" s="289"/>
      <c r="G784" s="289"/>
      <c r="H784" s="289"/>
      <c r="I784" s="289"/>
      <c r="J784" s="289"/>
      <c r="K784" s="289"/>
      <c r="L784" s="289"/>
    </row>
    <row r="785" spans="1:12" ht="14.25" customHeight="1" x14ac:dyDescent="0.25">
      <c r="A785" s="289"/>
      <c r="G785" s="289"/>
      <c r="H785" s="289"/>
      <c r="I785" s="289"/>
      <c r="J785" s="289"/>
      <c r="K785" s="289"/>
      <c r="L785" s="289"/>
    </row>
    <row r="786" spans="1:12" ht="14.25" customHeight="1" x14ac:dyDescent="0.25">
      <c r="A786" s="289"/>
      <c r="G786" s="289"/>
      <c r="H786" s="289"/>
      <c r="I786" s="289"/>
      <c r="J786" s="289"/>
      <c r="K786" s="289"/>
      <c r="L786" s="289"/>
    </row>
    <row r="787" spans="1:12" ht="14.25" customHeight="1" x14ac:dyDescent="0.25">
      <c r="A787" s="289"/>
      <c r="G787" s="289"/>
      <c r="H787" s="289"/>
      <c r="I787" s="289"/>
      <c r="J787" s="289"/>
      <c r="K787" s="289"/>
      <c r="L787" s="289"/>
    </row>
    <row r="788" spans="1:12" ht="14.25" customHeight="1" x14ac:dyDescent="0.25">
      <c r="A788" s="289"/>
      <c r="G788" s="289"/>
      <c r="H788" s="289"/>
      <c r="I788" s="289"/>
      <c r="J788" s="289"/>
      <c r="K788" s="289"/>
      <c r="L788" s="289"/>
    </row>
    <row r="789" spans="1:12" ht="14.25" customHeight="1" x14ac:dyDescent="0.25">
      <c r="A789" s="289"/>
      <c r="G789" s="289"/>
      <c r="H789" s="289"/>
      <c r="I789" s="289"/>
      <c r="J789" s="289"/>
      <c r="K789" s="289"/>
      <c r="L789" s="289"/>
    </row>
    <row r="790" spans="1:12" ht="14.25" customHeight="1" x14ac:dyDescent="0.25">
      <c r="A790" s="289"/>
      <c r="G790" s="289"/>
      <c r="H790" s="289"/>
      <c r="I790" s="289"/>
      <c r="J790" s="289"/>
      <c r="K790" s="289"/>
      <c r="L790" s="289"/>
    </row>
    <row r="791" spans="1:12" ht="14.25" customHeight="1" x14ac:dyDescent="0.25">
      <c r="A791" s="289"/>
      <c r="G791" s="289"/>
      <c r="H791" s="289"/>
      <c r="I791" s="289"/>
      <c r="J791" s="289"/>
      <c r="K791" s="289"/>
      <c r="L791" s="289"/>
    </row>
    <row r="792" spans="1:12" ht="14.25" customHeight="1" x14ac:dyDescent="0.25">
      <c r="A792" s="289"/>
      <c r="G792" s="289"/>
      <c r="H792" s="289"/>
      <c r="I792" s="289"/>
      <c r="J792" s="289"/>
      <c r="K792" s="289"/>
      <c r="L792" s="289"/>
    </row>
    <row r="793" spans="1:12" ht="14.25" customHeight="1" x14ac:dyDescent="0.25">
      <c r="A793" s="289"/>
      <c r="G793" s="289"/>
      <c r="H793" s="289"/>
      <c r="I793" s="289"/>
      <c r="J793" s="289"/>
      <c r="K793" s="289"/>
      <c r="L793" s="289"/>
    </row>
    <row r="794" spans="1:12" ht="14.25" customHeight="1" x14ac:dyDescent="0.25">
      <c r="A794" s="289"/>
      <c r="G794" s="289"/>
      <c r="H794" s="289"/>
      <c r="I794" s="289"/>
      <c r="J794" s="289"/>
      <c r="K794" s="289"/>
      <c r="L794" s="289"/>
    </row>
    <row r="795" spans="1:12" ht="14.25" customHeight="1" x14ac:dyDescent="0.25">
      <c r="A795" s="289"/>
      <c r="G795" s="289"/>
      <c r="H795" s="289"/>
      <c r="I795" s="289"/>
      <c r="J795" s="289"/>
      <c r="K795" s="289"/>
      <c r="L795" s="289"/>
    </row>
    <row r="796" spans="1:12" ht="14.25" customHeight="1" x14ac:dyDescent="0.25">
      <c r="A796" s="289"/>
      <c r="G796" s="289"/>
      <c r="H796" s="289"/>
      <c r="I796" s="289"/>
      <c r="J796" s="289"/>
      <c r="K796" s="289"/>
      <c r="L796" s="289"/>
    </row>
    <row r="797" spans="1:12" ht="14.25" customHeight="1" x14ac:dyDescent="0.25">
      <c r="A797" s="289"/>
      <c r="G797" s="289"/>
      <c r="H797" s="289"/>
      <c r="I797" s="289"/>
      <c r="J797" s="289"/>
      <c r="K797" s="289"/>
      <c r="L797" s="289"/>
    </row>
    <row r="798" spans="1:12" ht="14.25" customHeight="1" x14ac:dyDescent="0.25">
      <c r="A798" s="289"/>
      <c r="G798" s="289"/>
      <c r="H798" s="289"/>
      <c r="I798" s="289"/>
      <c r="J798" s="289"/>
      <c r="K798" s="289"/>
      <c r="L798" s="289"/>
    </row>
    <row r="799" spans="1:12" ht="14.25" customHeight="1" x14ac:dyDescent="0.25">
      <c r="A799" s="289"/>
      <c r="G799" s="289"/>
      <c r="H799" s="289"/>
      <c r="I799" s="289"/>
      <c r="J799" s="289"/>
      <c r="K799" s="289"/>
      <c r="L799" s="289"/>
    </row>
    <row r="800" spans="1:12" ht="14.25" customHeight="1" x14ac:dyDescent="0.25">
      <c r="A800" s="289"/>
      <c r="G800" s="289"/>
      <c r="H800" s="289"/>
      <c r="I800" s="289"/>
      <c r="J800" s="289"/>
      <c r="K800" s="289"/>
      <c r="L800" s="289"/>
    </row>
    <row r="801" spans="1:12" ht="14.25" customHeight="1" x14ac:dyDescent="0.25">
      <c r="A801" s="289"/>
      <c r="G801" s="289"/>
      <c r="H801" s="289"/>
      <c r="I801" s="289"/>
      <c r="J801" s="289"/>
      <c r="K801" s="289"/>
      <c r="L801" s="289"/>
    </row>
    <row r="802" spans="1:12" ht="14.25" customHeight="1" x14ac:dyDescent="0.25">
      <c r="A802" s="289"/>
      <c r="G802" s="289"/>
      <c r="H802" s="289"/>
      <c r="I802" s="289"/>
      <c r="J802" s="289"/>
      <c r="K802" s="289"/>
      <c r="L802" s="289"/>
    </row>
    <row r="803" spans="1:12" ht="14.25" customHeight="1" x14ac:dyDescent="0.25">
      <c r="A803" s="289"/>
      <c r="G803" s="289"/>
      <c r="H803" s="289"/>
      <c r="I803" s="289"/>
      <c r="J803" s="289"/>
      <c r="K803" s="289"/>
      <c r="L803" s="289"/>
    </row>
    <row r="804" spans="1:12" ht="14.25" customHeight="1" x14ac:dyDescent="0.25">
      <c r="A804" s="289"/>
      <c r="G804" s="289"/>
      <c r="H804" s="289"/>
      <c r="I804" s="289"/>
      <c r="J804" s="289"/>
      <c r="K804" s="289"/>
      <c r="L804" s="289"/>
    </row>
    <row r="805" spans="1:12" ht="14.25" customHeight="1" x14ac:dyDescent="0.25">
      <c r="A805" s="289"/>
      <c r="G805" s="289"/>
      <c r="H805" s="289"/>
      <c r="I805" s="289"/>
      <c r="J805" s="289"/>
      <c r="K805" s="289"/>
      <c r="L805" s="289"/>
    </row>
    <row r="806" spans="1:12" ht="14.25" customHeight="1" x14ac:dyDescent="0.25">
      <c r="A806" s="289"/>
      <c r="G806" s="289"/>
      <c r="H806" s="289"/>
      <c r="I806" s="289"/>
      <c r="J806" s="289"/>
      <c r="K806" s="289"/>
      <c r="L806" s="289"/>
    </row>
    <row r="807" spans="1:12" ht="14.25" customHeight="1" x14ac:dyDescent="0.25">
      <c r="A807" s="289"/>
      <c r="G807" s="289"/>
      <c r="H807" s="289"/>
      <c r="I807" s="289"/>
      <c r="J807" s="289"/>
      <c r="K807" s="289"/>
      <c r="L807" s="289"/>
    </row>
    <row r="808" spans="1:12" ht="14.25" customHeight="1" x14ac:dyDescent="0.25">
      <c r="A808" s="289"/>
      <c r="G808" s="289"/>
      <c r="H808" s="289"/>
      <c r="I808" s="289"/>
      <c r="J808" s="289"/>
      <c r="K808" s="289"/>
      <c r="L808" s="289"/>
    </row>
    <row r="809" spans="1:12" ht="14.25" customHeight="1" x14ac:dyDescent="0.25">
      <c r="A809" s="289"/>
      <c r="G809" s="289"/>
      <c r="H809" s="289"/>
      <c r="I809" s="289"/>
      <c r="J809" s="289"/>
      <c r="K809" s="289"/>
      <c r="L809" s="289"/>
    </row>
    <row r="810" spans="1:12" ht="14.25" customHeight="1" x14ac:dyDescent="0.25">
      <c r="A810" s="289"/>
      <c r="G810" s="289"/>
      <c r="H810" s="289"/>
      <c r="I810" s="289"/>
      <c r="J810" s="289"/>
      <c r="K810" s="289"/>
      <c r="L810" s="289"/>
    </row>
    <row r="811" spans="1:12" ht="14.25" customHeight="1" x14ac:dyDescent="0.25">
      <c r="A811" s="289"/>
      <c r="G811" s="289"/>
      <c r="H811" s="289"/>
      <c r="I811" s="289"/>
      <c r="J811" s="289"/>
      <c r="K811" s="289"/>
      <c r="L811" s="289"/>
    </row>
    <row r="812" spans="1:12" ht="14.25" customHeight="1" x14ac:dyDescent="0.25">
      <c r="A812" s="289"/>
      <c r="G812" s="289"/>
      <c r="H812" s="289"/>
      <c r="I812" s="289"/>
      <c r="J812" s="289"/>
      <c r="K812" s="289"/>
      <c r="L812" s="289"/>
    </row>
    <row r="813" spans="1:12" ht="14.25" customHeight="1" x14ac:dyDescent="0.25">
      <c r="A813" s="289"/>
      <c r="G813" s="289"/>
      <c r="H813" s="289"/>
      <c r="I813" s="289"/>
      <c r="J813" s="289"/>
      <c r="K813" s="289"/>
      <c r="L813" s="289"/>
    </row>
    <row r="814" spans="1:12" ht="14.25" customHeight="1" x14ac:dyDescent="0.25">
      <c r="A814" s="289"/>
      <c r="G814" s="289"/>
      <c r="H814" s="289"/>
      <c r="I814" s="289"/>
      <c r="J814" s="289"/>
      <c r="K814" s="289"/>
      <c r="L814" s="289"/>
    </row>
    <row r="815" spans="1:12" ht="14.25" customHeight="1" x14ac:dyDescent="0.25">
      <c r="A815" s="289"/>
      <c r="G815" s="289"/>
      <c r="H815" s="289"/>
      <c r="I815" s="289"/>
      <c r="J815" s="289"/>
      <c r="K815" s="289"/>
      <c r="L815" s="289"/>
    </row>
    <row r="816" spans="1:12" ht="14.25" customHeight="1" x14ac:dyDescent="0.25">
      <c r="A816" s="289"/>
      <c r="G816" s="289"/>
      <c r="H816" s="289"/>
      <c r="I816" s="289"/>
      <c r="J816" s="289"/>
      <c r="K816" s="289"/>
      <c r="L816" s="289"/>
    </row>
    <row r="817" spans="1:12" ht="14.25" customHeight="1" x14ac:dyDescent="0.25">
      <c r="A817" s="289"/>
      <c r="G817" s="289"/>
      <c r="H817" s="289"/>
      <c r="I817" s="289"/>
      <c r="J817" s="289"/>
      <c r="K817" s="289"/>
      <c r="L817" s="289"/>
    </row>
    <row r="818" spans="1:12" ht="14.25" customHeight="1" x14ac:dyDescent="0.25">
      <c r="A818" s="289"/>
      <c r="G818" s="289"/>
      <c r="H818" s="289"/>
      <c r="I818" s="289"/>
      <c r="J818" s="289"/>
      <c r="K818" s="289"/>
      <c r="L818" s="289"/>
    </row>
    <row r="819" spans="1:12" ht="14.25" customHeight="1" x14ac:dyDescent="0.25">
      <c r="A819" s="289"/>
      <c r="G819" s="289"/>
      <c r="H819" s="289"/>
      <c r="I819" s="289"/>
      <c r="J819" s="289"/>
      <c r="K819" s="289"/>
      <c r="L819" s="289"/>
    </row>
    <row r="820" spans="1:12" ht="14.25" customHeight="1" x14ac:dyDescent="0.25">
      <c r="A820" s="289"/>
      <c r="G820" s="289"/>
      <c r="H820" s="289"/>
      <c r="I820" s="289"/>
      <c r="J820" s="289"/>
      <c r="K820" s="289"/>
      <c r="L820" s="289"/>
    </row>
    <row r="821" spans="1:12" ht="14.25" customHeight="1" x14ac:dyDescent="0.25">
      <c r="A821" s="289"/>
      <c r="G821" s="289"/>
      <c r="H821" s="289"/>
      <c r="I821" s="289"/>
      <c r="J821" s="289"/>
      <c r="K821" s="289"/>
      <c r="L821" s="289"/>
    </row>
    <row r="822" spans="1:12" ht="14.25" customHeight="1" x14ac:dyDescent="0.25">
      <c r="A822" s="289"/>
      <c r="G822" s="289"/>
      <c r="H822" s="289"/>
      <c r="I822" s="289"/>
      <c r="J822" s="289"/>
      <c r="K822" s="289"/>
      <c r="L822" s="289"/>
    </row>
    <row r="823" spans="1:12" ht="14.25" customHeight="1" x14ac:dyDescent="0.25">
      <c r="A823" s="289"/>
      <c r="G823" s="289"/>
      <c r="H823" s="289"/>
      <c r="I823" s="289"/>
      <c r="J823" s="289"/>
      <c r="K823" s="289"/>
      <c r="L823" s="289"/>
    </row>
    <row r="824" spans="1:12" ht="14.25" customHeight="1" x14ac:dyDescent="0.25">
      <c r="A824" s="289"/>
      <c r="G824" s="289"/>
      <c r="H824" s="289"/>
      <c r="I824" s="289"/>
      <c r="J824" s="289"/>
      <c r="K824" s="289"/>
      <c r="L824" s="289"/>
    </row>
    <row r="825" spans="1:12" ht="14.25" customHeight="1" x14ac:dyDescent="0.25">
      <c r="A825" s="289"/>
      <c r="G825" s="289"/>
      <c r="H825" s="289"/>
      <c r="I825" s="289"/>
      <c r="J825" s="289"/>
      <c r="K825" s="289"/>
      <c r="L825" s="289"/>
    </row>
    <row r="826" spans="1:12" ht="14.25" customHeight="1" x14ac:dyDescent="0.25">
      <c r="A826" s="289"/>
      <c r="G826" s="289"/>
      <c r="H826" s="289"/>
      <c r="I826" s="289"/>
      <c r="J826" s="289"/>
      <c r="K826" s="289"/>
      <c r="L826" s="289"/>
    </row>
    <row r="827" spans="1:12" ht="14.25" customHeight="1" x14ac:dyDescent="0.25">
      <c r="A827" s="289"/>
      <c r="G827" s="289"/>
      <c r="H827" s="289"/>
      <c r="I827" s="289"/>
      <c r="J827" s="289"/>
      <c r="K827" s="289"/>
      <c r="L827" s="289"/>
    </row>
    <row r="828" spans="1:12" ht="14.25" customHeight="1" x14ac:dyDescent="0.25">
      <c r="A828" s="289"/>
      <c r="G828" s="289"/>
      <c r="H828" s="289"/>
      <c r="I828" s="289"/>
      <c r="J828" s="289"/>
      <c r="K828" s="289"/>
      <c r="L828" s="289"/>
    </row>
    <row r="829" spans="1:12" ht="14.25" customHeight="1" x14ac:dyDescent="0.25">
      <c r="A829" s="289"/>
      <c r="G829" s="289"/>
      <c r="H829" s="289"/>
      <c r="I829" s="289"/>
      <c r="J829" s="289"/>
      <c r="K829" s="289"/>
      <c r="L829" s="289"/>
    </row>
    <row r="830" spans="1:12" ht="14.25" customHeight="1" x14ac:dyDescent="0.25">
      <c r="A830" s="289"/>
      <c r="G830" s="289"/>
      <c r="H830" s="289"/>
      <c r="I830" s="289"/>
      <c r="J830" s="289"/>
      <c r="K830" s="289"/>
      <c r="L830" s="289"/>
    </row>
    <row r="831" spans="1:12" ht="14.25" customHeight="1" x14ac:dyDescent="0.25">
      <c r="A831" s="289"/>
      <c r="G831" s="289"/>
      <c r="H831" s="289"/>
      <c r="I831" s="289"/>
      <c r="J831" s="289"/>
      <c r="K831" s="289"/>
      <c r="L831" s="289"/>
    </row>
    <row r="832" spans="1:12" ht="14.25" customHeight="1" x14ac:dyDescent="0.25">
      <c r="A832" s="289"/>
      <c r="G832" s="289"/>
      <c r="H832" s="289"/>
      <c r="I832" s="289"/>
      <c r="J832" s="289"/>
      <c r="K832" s="289"/>
      <c r="L832" s="289"/>
    </row>
    <row r="833" spans="1:12" ht="14.25" customHeight="1" x14ac:dyDescent="0.25">
      <c r="A833" s="289"/>
      <c r="G833" s="289"/>
      <c r="H833" s="289"/>
      <c r="I833" s="289"/>
      <c r="J833" s="289"/>
      <c r="K833" s="289"/>
      <c r="L833" s="289"/>
    </row>
    <row r="834" spans="1:12" ht="14.25" customHeight="1" x14ac:dyDescent="0.25">
      <c r="A834" s="289"/>
      <c r="G834" s="289"/>
      <c r="H834" s="289"/>
      <c r="I834" s="289"/>
      <c r="J834" s="289"/>
      <c r="K834" s="289"/>
      <c r="L834" s="289"/>
    </row>
    <row r="835" spans="1:12" ht="14.25" customHeight="1" x14ac:dyDescent="0.25">
      <c r="A835" s="289"/>
      <c r="G835" s="289"/>
      <c r="H835" s="289"/>
      <c r="I835" s="289"/>
      <c r="J835" s="289"/>
      <c r="K835" s="289"/>
      <c r="L835" s="289"/>
    </row>
    <row r="836" spans="1:12" ht="14.25" customHeight="1" x14ac:dyDescent="0.25">
      <c r="A836" s="289"/>
      <c r="G836" s="289"/>
      <c r="H836" s="289"/>
      <c r="I836" s="289"/>
      <c r="J836" s="289"/>
      <c r="K836" s="289"/>
      <c r="L836" s="289"/>
    </row>
    <row r="837" spans="1:12" ht="14.25" customHeight="1" x14ac:dyDescent="0.25">
      <c r="A837" s="289"/>
      <c r="G837" s="289"/>
      <c r="H837" s="289"/>
      <c r="I837" s="289"/>
      <c r="J837" s="289"/>
      <c r="K837" s="289"/>
      <c r="L837" s="289"/>
    </row>
    <row r="838" spans="1:12" ht="14.25" customHeight="1" x14ac:dyDescent="0.25">
      <c r="A838" s="289"/>
      <c r="G838" s="289"/>
      <c r="H838" s="289"/>
      <c r="I838" s="289"/>
      <c r="J838" s="289"/>
      <c r="K838" s="289"/>
      <c r="L838" s="289"/>
    </row>
    <row r="839" spans="1:12" ht="14.25" customHeight="1" x14ac:dyDescent="0.25">
      <c r="A839" s="289"/>
      <c r="G839" s="289"/>
      <c r="H839" s="289"/>
      <c r="I839" s="289"/>
      <c r="J839" s="289"/>
      <c r="K839" s="289"/>
      <c r="L839" s="289"/>
    </row>
    <row r="840" spans="1:12" ht="14.25" customHeight="1" x14ac:dyDescent="0.25">
      <c r="A840" s="289"/>
      <c r="G840" s="289"/>
      <c r="H840" s="289"/>
      <c r="I840" s="289"/>
      <c r="J840" s="289"/>
      <c r="K840" s="289"/>
      <c r="L840" s="289"/>
    </row>
    <row r="841" spans="1:12" ht="14.25" customHeight="1" x14ac:dyDescent="0.25">
      <c r="A841" s="289"/>
      <c r="G841" s="289"/>
      <c r="H841" s="289"/>
      <c r="I841" s="289"/>
      <c r="J841" s="289"/>
      <c r="K841" s="289"/>
      <c r="L841" s="289"/>
    </row>
    <row r="842" spans="1:12" ht="14.25" customHeight="1" x14ac:dyDescent="0.25">
      <c r="A842" s="289"/>
      <c r="G842" s="289"/>
      <c r="H842" s="289"/>
      <c r="I842" s="289"/>
      <c r="J842" s="289"/>
      <c r="K842" s="289"/>
      <c r="L842" s="289"/>
    </row>
    <row r="843" spans="1:12" ht="14.25" customHeight="1" x14ac:dyDescent="0.25">
      <c r="A843" s="289"/>
      <c r="G843" s="289"/>
      <c r="H843" s="289"/>
      <c r="I843" s="289"/>
      <c r="J843" s="289"/>
      <c r="K843" s="289"/>
      <c r="L843" s="289"/>
    </row>
    <row r="844" spans="1:12" ht="14.25" customHeight="1" x14ac:dyDescent="0.25">
      <c r="A844" s="289"/>
      <c r="G844" s="289"/>
      <c r="H844" s="289"/>
      <c r="I844" s="289"/>
      <c r="J844" s="289"/>
      <c r="K844" s="289"/>
      <c r="L844" s="289"/>
    </row>
    <row r="845" spans="1:12" ht="14.25" customHeight="1" x14ac:dyDescent="0.25">
      <c r="A845" s="289"/>
      <c r="G845" s="289"/>
      <c r="H845" s="289"/>
      <c r="I845" s="289"/>
      <c r="J845" s="289"/>
      <c r="K845" s="289"/>
      <c r="L845" s="289"/>
    </row>
    <row r="846" spans="1:12" ht="14.25" customHeight="1" x14ac:dyDescent="0.25">
      <c r="A846" s="289"/>
      <c r="G846" s="289"/>
      <c r="H846" s="289"/>
      <c r="I846" s="289"/>
      <c r="J846" s="289"/>
      <c r="K846" s="289"/>
      <c r="L846" s="289"/>
    </row>
    <row r="847" spans="1:12" ht="14.25" customHeight="1" x14ac:dyDescent="0.25">
      <c r="A847" s="289"/>
      <c r="G847" s="289"/>
      <c r="H847" s="289"/>
      <c r="I847" s="289"/>
      <c r="J847" s="289"/>
      <c r="K847" s="289"/>
      <c r="L847" s="289"/>
    </row>
    <row r="848" spans="1:12" ht="14.25" customHeight="1" x14ac:dyDescent="0.25">
      <c r="A848" s="289"/>
      <c r="G848" s="289"/>
      <c r="H848" s="289"/>
      <c r="I848" s="289"/>
      <c r="J848" s="289"/>
      <c r="K848" s="289"/>
      <c r="L848" s="289"/>
    </row>
    <row r="849" spans="1:12" ht="14.25" customHeight="1" x14ac:dyDescent="0.25">
      <c r="A849" s="289"/>
      <c r="G849" s="289"/>
      <c r="H849" s="289"/>
      <c r="I849" s="289"/>
      <c r="J849" s="289"/>
      <c r="K849" s="289"/>
      <c r="L849" s="289"/>
    </row>
    <row r="850" spans="1:12" ht="14.25" customHeight="1" x14ac:dyDescent="0.25">
      <c r="A850" s="289"/>
      <c r="G850" s="289"/>
      <c r="H850" s="289"/>
      <c r="I850" s="289"/>
      <c r="J850" s="289"/>
      <c r="K850" s="289"/>
      <c r="L850" s="289"/>
    </row>
    <row r="851" spans="1:12" ht="14.25" customHeight="1" x14ac:dyDescent="0.25">
      <c r="A851" s="289"/>
      <c r="G851" s="289"/>
      <c r="H851" s="289"/>
      <c r="I851" s="289"/>
      <c r="J851" s="289"/>
      <c r="K851" s="289"/>
      <c r="L851" s="289"/>
    </row>
    <row r="852" spans="1:12" ht="14.25" customHeight="1" x14ac:dyDescent="0.25">
      <c r="A852" s="289"/>
      <c r="G852" s="289"/>
      <c r="H852" s="289"/>
      <c r="I852" s="289"/>
      <c r="J852" s="289"/>
      <c r="K852" s="289"/>
      <c r="L852" s="289"/>
    </row>
    <row r="853" spans="1:12" ht="14.25" customHeight="1" x14ac:dyDescent="0.25">
      <c r="A853" s="289"/>
      <c r="G853" s="289"/>
      <c r="H853" s="289"/>
      <c r="I853" s="289"/>
      <c r="J853" s="289"/>
      <c r="K853" s="289"/>
      <c r="L853" s="289"/>
    </row>
    <row r="854" spans="1:12" ht="14.25" customHeight="1" x14ac:dyDescent="0.25">
      <c r="A854" s="289"/>
      <c r="G854" s="289"/>
      <c r="H854" s="289"/>
      <c r="I854" s="289"/>
      <c r="J854" s="289"/>
      <c r="K854" s="289"/>
      <c r="L854" s="289"/>
    </row>
    <row r="855" spans="1:12" ht="14.25" customHeight="1" x14ac:dyDescent="0.25">
      <c r="A855" s="289"/>
      <c r="G855" s="289"/>
      <c r="H855" s="289"/>
      <c r="I855" s="289"/>
      <c r="J855" s="289"/>
      <c r="K855" s="289"/>
      <c r="L855" s="289"/>
    </row>
    <row r="856" spans="1:12" ht="14.25" customHeight="1" x14ac:dyDescent="0.25">
      <c r="A856" s="289"/>
      <c r="G856" s="289"/>
      <c r="H856" s="289"/>
      <c r="I856" s="289"/>
      <c r="J856" s="289"/>
      <c r="K856" s="289"/>
      <c r="L856" s="289"/>
    </row>
    <row r="857" spans="1:12" ht="14.25" customHeight="1" x14ac:dyDescent="0.25">
      <c r="A857" s="289"/>
      <c r="G857" s="289"/>
      <c r="H857" s="289"/>
      <c r="I857" s="289"/>
      <c r="J857" s="289"/>
      <c r="K857" s="289"/>
      <c r="L857" s="289"/>
    </row>
    <row r="858" spans="1:12" ht="14.25" customHeight="1" x14ac:dyDescent="0.25">
      <c r="A858" s="289"/>
      <c r="G858" s="289"/>
      <c r="H858" s="289"/>
      <c r="I858" s="289"/>
      <c r="J858" s="289"/>
      <c r="K858" s="289"/>
      <c r="L858" s="289"/>
    </row>
    <row r="859" spans="1:12" ht="14.25" customHeight="1" x14ac:dyDescent="0.25">
      <c r="A859" s="289"/>
      <c r="G859" s="289"/>
      <c r="H859" s="289"/>
      <c r="I859" s="289"/>
      <c r="J859" s="289"/>
      <c r="K859" s="289"/>
      <c r="L859" s="289"/>
    </row>
    <row r="860" spans="1:12" ht="14.25" customHeight="1" x14ac:dyDescent="0.25">
      <c r="A860" s="289"/>
      <c r="G860" s="289"/>
      <c r="H860" s="289"/>
      <c r="I860" s="289"/>
      <c r="J860" s="289"/>
      <c r="K860" s="289"/>
      <c r="L860" s="289"/>
    </row>
    <row r="861" spans="1:12" ht="14.25" customHeight="1" x14ac:dyDescent="0.25">
      <c r="A861" s="289"/>
      <c r="G861" s="289"/>
      <c r="H861" s="289"/>
      <c r="I861" s="289"/>
      <c r="J861" s="289"/>
      <c r="K861" s="289"/>
      <c r="L861" s="289"/>
    </row>
    <row r="862" spans="1:12" ht="14.25" customHeight="1" x14ac:dyDescent="0.25">
      <c r="A862" s="289"/>
      <c r="G862" s="289"/>
      <c r="H862" s="289"/>
      <c r="I862" s="289"/>
      <c r="J862" s="289"/>
      <c r="K862" s="289"/>
      <c r="L862" s="289"/>
    </row>
    <row r="863" spans="1:12" ht="14.25" customHeight="1" x14ac:dyDescent="0.25">
      <c r="A863" s="289"/>
      <c r="G863" s="289"/>
      <c r="H863" s="289"/>
      <c r="I863" s="289"/>
      <c r="J863" s="289"/>
      <c r="K863" s="289"/>
      <c r="L863" s="289"/>
    </row>
    <row r="864" spans="1:12" ht="14.25" customHeight="1" x14ac:dyDescent="0.25">
      <c r="A864" s="289"/>
      <c r="G864" s="289"/>
      <c r="H864" s="289"/>
      <c r="I864" s="289"/>
      <c r="J864" s="289"/>
      <c r="K864" s="289"/>
      <c r="L864" s="289"/>
    </row>
    <row r="865" spans="1:12" ht="14.25" customHeight="1" x14ac:dyDescent="0.25">
      <c r="A865" s="289"/>
      <c r="G865" s="289"/>
      <c r="H865" s="289"/>
      <c r="I865" s="289"/>
      <c r="J865" s="289"/>
      <c r="K865" s="289"/>
      <c r="L865" s="289"/>
    </row>
    <row r="866" spans="1:12" ht="14.25" customHeight="1" x14ac:dyDescent="0.25">
      <c r="A866" s="289"/>
      <c r="G866" s="289"/>
      <c r="H866" s="289"/>
      <c r="I866" s="289"/>
      <c r="J866" s="289"/>
      <c r="K866" s="289"/>
      <c r="L866" s="289"/>
    </row>
    <row r="867" spans="1:12" ht="14.25" customHeight="1" x14ac:dyDescent="0.25">
      <c r="A867" s="289"/>
      <c r="G867" s="289"/>
      <c r="H867" s="289"/>
      <c r="I867" s="289"/>
      <c r="J867" s="289"/>
      <c r="K867" s="289"/>
      <c r="L867" s="289"/>
    </row>
    <row r="868" spans="1:12" ht="14.25" customHeight="1" x14ac:dyDescent="0.25">
      <c r="A868" s="289"/>
      <c r="G868" s="289"/>
      <c r="H868" s="289"/>
      <c r="I868" s="289"/>
      <c r="J868" s="289"/>
      <c r="K868" s="289"/>
      <c r="L868" s="289"/>
    </row>
    <row r="869" spans="1:12" ht="14.25" customHeight="1" x14ac:dyDescent="0.25">
      <c r="A869" s="289"/>
      <c r="G869" s="289"/>
      <c r="H869" s="289"/>
      <c r="I869" s="289"/>
      <c r="J869" s="289"/>
      <c r="K869" s="289"/>
      <c r="L869" s="289"/>
    </row>
    <row r="870" spans="1:12" ht="14.25" customHeight="1" x14ac:dyDescent="0.25">
      <c r="A870" s="289"/>
      <c r="G870" s="289"/>
      <c r="H870" s="289"/>
      <c r="I870" s="289"/>
      <c r="J870" s="289"/>
      <c r="K870" s="289"/>
      <c r="L870" s="289"/>
    </row>
    <row r="871" spans="1:12" ht="14.25" customHeight="1" x14ac:dyDescent="0.25">
      <c r="A871" s="289"/>
      <c r="G871" s="289"/>
      <c r="H871" s="289"/>
      <c r="I871" s="289"/>
      <c r="J871" s="289"/>
      <c r="K871" s="289"/>
      <c r="L871" s="289"/>
    </row>
    <row r="872" spans="1:12" ht="14.25" customHeight="1" x14ac:dyDescent="0.25">
      <c r="A872" s="289"/>
      <c r="G872" s="289"/>
      <c r="H872" s="289"/>
      <c r="I872" s="289"/>
      <c r="J872" s="289"/>
      <c r="K872" s="289"/>
      <c r="L872" s="289"/>
    </row>
    <row r="873" spans="1:12" ht="14.25" customHeight="1" x14ac:dyDescent="0.25">
      <c r="A873" s="289"/>
      <c r="G873" s="289"/>
      <c r="H873" s="289"/>
      <c r="I873" s="289"/>
      <c r="J873" s="289"/>
      <c r="K873" s="289"/>
      <c r="L873" s="289"/>
    </row>
    <row r="874" spans="1:12" ht="14.25" customHeight="1" x14ac:dyDescent="0.25">
      <c r="A874" s="289"/>
      <c r="G874" s="289"/>
      <c r="H874" s="289"/>
      <c r="I874" s="289"/>
      <c r="J874" s="289"/>
      <c r="K874" s="289"/>
      <c r="L874" s="289"/>
    </row>
    <row r="875" spans="1:12" ht="14.25" customHeight="1" x14ac:dyDescent="0.25">
      <c r="A875" s="289"/>
      <c r="G875" s="289"/>
      <c r="H875" s="289"/>
      <c r="I875" s="289"/>
      <c r="J875" s="289"/>
      <c r="K875" s="289"/>
      <c r="L875" s="289"/>
    </row>
    <row r="876" spans="1:12" ht="14.25" customHeight="1" x14ac:dyDescent="0.25">
      <c r="A876" s="289"/>
      <c r="G876" s="289"/>
      <c r="H876" s="289"/>
      <c r="I876" s="289"/>
      <c r="J876" s="289"/>
      <c r="K876" s="289"/>
      <c r="L876" s="289"/>
    </row>
    <row r="877" spans="1:12" ht="14.25" customHeight="1" x14ac:dyDescent="0.25">
      <c r="A877" s="289"/>
      <c r="G877" s="289"/>
      <c r="H877" s="289"/>
      <c r="I877" s="289"/>
      <c r="J877" s="289"/>
      <c r="K877" s="289"/>
      <c r="L877" s="289"/>
    </row>
    <row r="878" spans="1:12" ht="14.25" customHeight="1" x14ac:dyDescent="0.25">
      <c r="A878" s="289"/>
      <c r="G878" s="289"/>
      <c r="H878" s="289"/>
      <c r="I878" s="289"/>
      <c r="J878" s="289"/>
      <c r="K878" s="289"/>
      <c r="L878" s="289"/>
    </row>
    <row r="879" spans="1:12" ht="14.25" customHeight="1" x14ac:dyDescent="0.25">
      <c r="A879" s="289"/>
      <c r="G879" s="289"/>
      <c r="H879" s="289"/>
      <c r="I879" s="289"/>
      <c r="J879" s="289"/>
      <c r="K879" s="289"/>
      <c r="L879" s="289"/>
    </row>
    <row r="880" spans="1:12" ht="14.25" customHeight="1" x14ac:dyDescent="0.25">
      <c r="A880" s="289"/>
      <c r="G880" s="289"/>
      <c r="H880" s="289"/>
      <c r="I880" s="289"/>
      <c r="J880" s="289"/>
      <c r="K880" s="289"/>
      <c r="L880" s="289"/>
    </row>
    <row r="881" spans="1:12" ht="14.25" customHeight="1" x14ac:dyDescent="0.25">
      <c r="A881" s="289"/>
      <c r="G881" s="289"/>
      <c r="H881" s="289"/>
      <c r="I881" s="289"/>
      <c r="J881" s="289"/>
      <c r="K881" s="289"/>
      <c r="L881" s="289"/>
    </row>
    <row r="882" spans="1:12" ht="14.25" customHeight="1" x14ac:dyDescent="0.25">
      <c r="A882" s="289"/>
      <c r="G882" s="289"/>
      <c r="H882" s="289"/>
      <c r="I882" s="289"/>
      <c r="J882" s="289"/>
      <c r="K882" s="289"/>
      <c r="L882" s="289"/>
    </row>
    <row r="883" spans="1:12" ht="14.25" customHeight="1" x14ac:dyDescent="0.25">
      <c r="A883" s="289"/>
      <c r="G883" s="289"/>
      <c r="H883" s="289"/>
      <c r="I883" s="289"/>
      <c r="J883" s="289"/>
      <c r="K883" s="289"/>
      <c r="L883" s="289"/>
    </row>
    <row r="884" spans="1:12" ht="14.25" customHeight="1" x14ac:dyDescent="0.25">
      <c r="A884" s="289"/>
      <c r="G884" s="289"/>
      <c r="H884" s="289"/>
      <c r="I884" s="289"/>
      <c r="J884" s="289"/>
      <c r="K884" s="289"/>
      <c r="L884" s="289"/>
    </row>
    <row r="885" spans="1:12" ht="14.25" customHeight="1" x14ac:dyDescent="0.25">
      <c r="A885" s="289"/>
      <c r="G885" s="289"/>
      <c r="H885" s="289"/>
      <c r="I885" s="289"/>
      <c r="J885" s="289"/>
      <c r="K885" s="289"/>
      <c r="L885" s="289"/>
    </row>
    <row r="886" spans="1:12" ht="14.25" customHeight="1" x14ac:dyDescent="0.25">
      <c r="A886" s="289"/>
      <c r="G886" s="289"/>
      <c r="H886" s="289"/>
      <c r="I886" s="289"/>
      <c r="J886" s="289"/>
      <c r="K886" s="289"/>
      <c r="L886" s="289"/>
    </row>
    <row r="887" spans="1:12" ht="14.25" customHeight="1" x14ac:dyDescent="0.25">
      <c r="A887" s="289"/>
      <c r="G887" s="289"/>
      <c r="H887" s="289"/>
      <c r="I887" s="289"/>
      <c r="J887" s="289"/>
      <c r="K887" s="289"/>
      <c r="L887" s="289"/>
    </row>
    <row r="888" spans="1:12" ht="14.25" customHeight="1" x14ac:dyDescent="0.25">
      <c r="A888" s="289"/>
      <c r="G888" s="289"/>
      <c r="H888" s="289"/>
      <c r="I888" s="289"/>
      <c r="J888" s="289"/>
      <c r="K888" s="289"/>
      <c r="L888" s="289"/>
    </row>
    <row r="889" spans="1:12" ht="14.25" customHeight="1" x14ac:dyDescent="0.25">
      <c r="A889" s="289"/>
      <c r="G889" s="289"/>
      <c r="H889" s="289"/>
      <c r="I889" s="289"/>
      <c r="J889" s="289"/>
      <c r="K889" s="289"/>
      <c r="L889" s="289"/>
    </row>
    <row r="890" spans="1:12" ht="14.25" customHeight="1" x14ac:dyDescent="0.25">
      <c r="A890" s="289"/>
      <c r="G890" s="289"/>
      <c r="H890" s="289"/>
      <c r="I890" s="289"/>
      <c r="J890" s="289"/>
      <c r="K890" s="289"/>
      <c r="L890" s="289"/>
    </row>
    <row r="891" spans="1:12" ht="14.25" customHeight="1" x14ac:dyDescent="0.25">
      <c r="A891" s="289"/>
      <c r="G891" s="289"/>
      <c r="H891" s="289"/>
      <c r="I891" s="289"/>
      <c r="J891" s="289"/>
      <c r="K891" s="289"/>
      <c r="L891" s="289"/>
    </row>
    <row r="892" spans="1:12" ht="14.25" customHeight="1" x14ac:dyDescent="0.25">
      <c r="A892" s="289"/>
      <c r="G892" s="289"/>
      <c r="H892" s="289"/>
      <c r="I892" s="289"/>
      <c r="J892" s="289"/>
      <c r="K892" s="289"/>
      <c r="L892" s="289"/>
    </row>
    <row r="893" spans="1:12" ht="14.25" customHeight="1" x14ac:dyDescent="0.25">
      <c r="A893" s="289"/>
      <c r="G893" s="289"/>
      <c r="H893" s="289"/>
      <c r="I893" s="289"/>
      <c r="J893" s="289"/>
      <c r="K893" s="289"/>
      <c r="L893" s="289"/>
    </row>
    <row r="894" spans="1:12" ht="14.25" customHeight="1" x14ac:dyDescent="0.25">
      <c r="A894" s="289"/>
      <c r="G894" s="289"/>
      <c r="H894" s="289"/>
      <c r="I894" s="289"/>
      <c r="J894" s="289"/>
      <c r="K894" s="289"/>
      <c r="L894" s="289"/>
    </row>
    <row r="895" spans="1:12" ht="14.25" customHeight="1" x14ac:dyDescent="0.25">
      <c r="A895" s="289"/>
      <c r="G895" s="289"/>
      <c r="H895" s="289"/>
      <c r="I895" s="289"/>
      <c r="J895" s="289"/>
      <c r="K895" s="289"/>
      <c r="L895" s="289"/>
    </row>
    <row r="896" spans="1:12" ht="14.25" customHeight="1" x14ac:dyDescent="0.25">
      <c r="A896" s="289"/>
      <c r="G896" s="289"/>
      <c r="H896" s="289"/>
      <c r="I896" s="289"/>
      <c r="J896" s="289"/>
      <c r="K896" s="289"/>
      <c r="L896" s="289"/>
    </row>
    <row r="897" spans="1:12" ht="14.25" customHeight="1" x14ac:dyDescent="0.25">
      <c r="A897" s="289"/>
      <c r="G897" s="289"/>
      <c r="H897" s="289"/>
      <c r="I897" s="289"/>
      <c r="J897" s="289"/>
      <c r="K897" s="289"/>
      <c r="L897" s="289"/>
    </row>
    <row r="898" spans="1:12" ht="14.25" customHeight="1" x14ac:dyDescent="0.25">
      <c r="A898" s="289"/>
      <c r="G898" s="289"/>
      <c r="H898" s="289"/>
      <c r="I898" s="289"/>
      <c r="J898" s="289"/>
      <c r="K898" s="289"/>
      <c r="L898" s="289"/>
    </row>
    <row r="899" spans="1:12" ht="14.25" customHeight="1" x14ac:dyDescent="0.25">
      <c r="A899" s="289"/>
      <c r="G899" s="289"/>
      <c r="H899" s="289"/>
      <c r="I899" s="289"/>
      <c r="J899" s="289"/>
      <c r="K899" s="289"/>
      <c r="L899" s="289"/>
    </row>
    <row r="900" spans="1:12" ht="14.25" customHeight="1" x14ac:dyDescent="0.25">
      <c r="A900" s="289"/>
      <c r="G900" s="289"/>
      <c r="H900" s="289"/>
      <c r="I900" s="289"/>
      <c r="J900" s="289"/>
      <c r="K900" s="289"/>
      <c r="L900" s="289"/>
    </row>
    <row r="901" spans="1:12" ht="14.25" customHeight="1" x14ac:dyDescent="0.25">
      <c r="A901" s="289"/>
      <c r="G901" s="289"/>
      <c r="H901" s="289"/>
      <c r="I901" s="289"/>
      <c r="J901" s="289"/>
      <c r="K901" s="289"/>
      <c r="L901" s="289"/>
    </row>
    <row r="902" spans="1:12" ht="14.25" customHeight="1" x14ac:dyDescent="0.25">
      <c r="A902" s="289"/>
      <c r="G902" s="289"/>
      <c r="H902" s="289"/>
      <c r="I902" s="289"/>
      <c r="J902" s="289"/>
      <c r="K902" s="289"/>
      <c r="L902" s="289"/>
    </row>
    <row r="903" spans="1:12" ht="14.25" customHeight="1" x14ac:dyDescent="0.25">
      <c r="A903" s="289"/>
      <c r="G903" s="289"/>
      <c r="H903" s="289"/>
      <c r="I903" s="289"/>
      <c r="J903" s="289"/>
      <c r="K903" s="289"/>
      <c r="L903" s="289"/>
    </row>
    <row r="904" spans="1:12" ht="14.25" customHeight="1" x14ac:dyDescent="0.25">
      <c r="A904" s="289"/>
      <c r="G904" s="289"/>
      <c r="H904" s="289"/>
      <c r="I904" s="289"/>
      <c r="J904" s="289"/>
      <c r="K904" s="289"/>
      <c r="L904" s="289"/>
    </row>
    <row r="905" spans="1:12" ht="14.25" customHeight="1" x14ac:dyDescent="0.25">
      <c r="A905" s="289"/>
      <c r="G905" s="289"/>
      <c r="H905" s="289"/>
      <c r="I905" s="289"/>
      <c r="J905" s="289"/>
      <c r="K905" s="289"/>
      <c r="L905" s="289"/>
    </row>
    <row r="906" spans="1:12" ht="14.25" customHeight="1" x14ac:dyDescent="0.25">
      <c r="A906" s="289"/>
      <c r="G906" s="289"/>
      <c r="H906" s="289"/>
      <c r="I906" s="289"/>
      <c r="J906" s="289"/>
      <c r="K906" s="289"/>
      <c r="L906" s="289"/>
    </row>
    <row r="907" spans="1:12" ht="14.25" customHeight="1" x14ac:dyDescent="0.25">
      <c r="A907" s="289"/>
      <c r="G907" s="289"/>
      <c r="H907" s="289"/>
      <c r="I907" s="289"/>
      <c r="J907" s="289"/>
      <c r="K907" s="289"/>
      <c r="L907" s="289"/>
    </row>
    <row r="908" spans="1:12" ht="14.25" customHeight="1" x14ac:dyDescent="0.25">
      <c r="A908" s="289"/>
      <c r="G908" s="289"/>
      <c r="H908" s="289"/>
      <c r="I908" s="289"/>
      <c r="J908" s="289"/>
      <c r="K908" s="289"/>
      <c r="L908" s="289"/>
    </row>
    <row r="909" spans="1:12" ht="14.25" customHeight="1" x14ac:dyDescent="0.25">
      <c r="A909" s="289"/>
      <c r="G909" s="289"/>
      <c r="H909" s="289"/>
      <c r="I909" s="289"/>
      <c r="J909" s="289"/>
      <c r="K909" s="289"/>
      <c r="L909" s="289"/>
    </row>
    <row r="910" spans="1:12" ht="14.25" customHeight="1" x14ac:dyDescent="0.25">
      <c r="A910" s="289"/>
      <c r="G910" s="289"/>
      <c r="H910" s="289"/>
      <c r="I910" s="289"/>
      <c r="J910" s="289"/>
      <c r="K910" s="289"/>
      <c r="L910" s="289"/>
    </row>
    <row r="911" spans="1:12" ht="14.25" customHeight="1" x14ac:dyDescent="0.25">
      <c r="A911" s="289"/>
      <c r="G911" s="289"/>
      <c r="H911" s="289"/>
      <c r="I911" s="289"/>
      <c r="J911" s="289"/>
      <c r="K911" s="289"/>
      <c r="L911" s="289"/>
    </row>
    <row r="912" spans="1:12" ht="14.25" customHeight="1" x14ac:dyDescent="0.25">
      <c r="A912" s="289"/>
      <c r="G912" s="289"/>
      <c r="H912" s="289"/>
      <c r="I912" s="289"/>
      <c r="J912" s="289"/>
      <c r="K912" s="289"/>
      <c r="L912" s="289"/>
    </row>
    <row r="913" spans="1:12" ht="14.25" customHeight="1" x14ac:dyDescent="0.25">
      <c r="A913" s="289"/>
      <c r="G913" s="289"/>
      <c r="H913" s="289"/>
      <c r="I913" s="289"/>
      <c r="J913" s="289"/>
      <c r="K913" s="289"/>
      <c r="L913" s="289"/>
    </row>
    <row r="914" spans="1:12" ht="14.25" customHeight="1" x14ac:dyDescent="0.25">
      <c r="A914" s="289"/>
      <c r="G914" s="289"/>
      <c r="H914" s="289"/>
      <c r="I914" s="289"/>
      <c r="J914" s="289"/>
      <c r="K914" s="289"/>
      <c r="L914" s="289"/>
    </row>
    <row r="915" spans="1:12" ht="14.25" customHeight="1" x14ac:dyDescent="0.25">
      <c r="A915" s="289"/>
      <c r="G915" s="289"/>
      <c r="H915" s="289"/>
      <c r="I915" s="289"/>
      <c r="J915" s="289"/>
      <c r="K915" s="289"/>
      <c r="L915" s="289"/>
    </row>
    <row r="916" spans="1:12" ht="14.25" customHeight="1" x14ac:dyDescent="0.25">
      <c r="A916" s="289"/>
      <c r="G916" s="289"/>
      <c r="H916" s="289"/>
      <c r="I916" s="289"/>
      <c r="J916" s="289"/>
      <c r="K916" s="289"/>
      <c r="L916" s="289"/>
    </row>
    <row r="917" spans="1:12" ht="14.25" customHeight="1" x14ac:dyDescent="0.25">
      <c r="A917" s="289"/>
      <c r="G917" s="289"/>
      <c r="H917" s="289"/>
      <c r="I917" s="289"/>
      <c r="J917" s="289"/>
      <c r="K917" s="289"/>
      <c r="L917" s="289"/>
    </row>
    <row r="918" spans="1:12" ht="14.25" customHeight="1" x14ac:dyDescent="0.25">
      <c r="A918" s="289"/>
      <c r="G918" s="289"/>
      <c r="H918" s="289"/>
      <c r="I918" s="289"/>
      <c r="J918" s="289"/>
      <c r="K918" s="289"/>
      <c r="L918" s="289"/>
    </row>
    <row r="919" spans="1:12" ht="14.25" customHeight="1" x14ac:dyDescent="0.25">
      <c r="A919" s="289"/>
      <c r="G919" s="289"/>
      <c r="H919" s="289"/>
      <c r="I919" s="289"/>
      <c r="J919" s="289"/>
      <c r="K919" s="289"/>
      <c r="L919" s="289"/>
    </row>
    <row r="920" spans="1:12" ht="14.25" customHeight="1" x14ac:dyDescent="0.25">
      <c r="A920" s="289"/>
      <c r="G920" s="289"/>
      <c r="H920" s="289"/>
      <c r="I920" s="289"/>
      <c r="J920" s="289"/>
      <c r="K920" s="289"/>
      <c r="L920" s="289"/>
    </row>
    <row r="921" spans="1:12" ht="14.25" customHeight="1" x14ac:dyDescent="0.25">
      <c r="A921" s="289"/>
      <c r="G921" s="289"/>
      <c r="H921" s="289"/>
      <c r="I921" s="289"/>
      <c r="J921" s="289"/>
      <c r="K921" s="289"/>
      <c r="L921" s="289"/>
    </row>
    <row r="922" spans="1:12" ht="14.25" customHeight="1" x14ac:dyDescent="0.25">
      <c r="A922" s="289"/>
      <c r="G922" s="289"/>
      <c r="H922" s="289"/>
      <c r="I922" s="289"/>
      <c r="J922" s="289"/>
      <c r="K922" s="289"/>
      <c r="L922" s="289"/>
    </row>
    <row r="923" spans="1:12" ht="14.25" customHeight="1" x14ac:dyDescent="0.25">
      <c r="A923" s="289"/>
      <c r="G923" s="289"/>
      <c r="H923" s="289"/>
      <c r="I923" s="289"/>
      <c r="J923" s="289"/>
      <c r="K923" s="289"/>
      <c r="L923" s="289"/>
    </row>
    <row r="924" spans="1:12" ht="14.25" customHeight="1" x14ac:dyDescent="0.25">
      <c r="A924" s="289"/>
      <c r="G924" s="289"/>
      <c r="H924" s="289"/>
      <c r="I924" s="289"/>
      <c r="J924" s="289"/>
      <c r="K924" s="289"/>
      <c r="L924" s="289"/>
    </row>
    <row r="925" spans="1:12" ht="14.25" customHeight="1" x14ac:dyDescent="0.25">
      <c r="A925" s="289"/>
      <c r="G925" s="289"/>
      <c r="H925" s="289"/>
      <c r="I925" s="289"/>
      <c r="J925" s="289"/>
      <c r="K925" s="289"/>
      <c r="L925" s="289"/>
    </row>
    <row r="926" spans="1:12" ht="14.25" customHeight="1" x14ac:dyDescent="0.25">
      <c r="A926" s="289"/>
      <c r="G926" s="289"/>
      <c r="H926" s="289"/>
      <c r="I926" s="289"/>
      <c r="J926" s="289"/>
      <c r="K926" s="289"/>
      <c r="L926" s="289"/>
    </row>
    <row r="927" spans="1:12" ht="14.25" customHeight="1" x14ac:dyDescent="0.25">
      <c r="A927" s="289"/>
      <c r="G927" s="289"/>
      <c r="H927" s="289"/>
      <c r="I927" s="289"/>
      <c r="J927" s="289"/>
      <c r="K927" s="289"/>
      <c r="L927" s="289"/>
    </row>
    <row r="928" spans="1:12" ht="14.25" customHeight="1" x14ac:dyDescent="0.25">
      <c r="A928" s="289"/>
      <c r="G928" s="289"/>
      <c r="H928" s="289"/>
      <c r="I928" s="289"/>
      <c r="J928" s="289"/>
      <c r="K928" s="289"/>
      <c r="L928" s="289"/>
    </row>
    <row r="929" spans="1:12" ht="14.25" customHeight="1" x14ac:dyDescent="0.25">
      <c r="A929" s="289"/>
      <c r="G929" s="289"/>
      <c r="H929" s="289"/>
      <c r="I929" s="289"/>
      <c r="J929" s="289"/>
      <c r="K929" s="289"/>
      <c r="L929" s="289"/>
    </row>
    <row r="930" spans="1:12" ht="14.25" customHeight="1" x14ac:dyDescent="0.25">
      <c r="A930" s="289"/>
      <c r="G930" s="289"/>
      <c r="H930" s="289"/>
      <c r="I930" s="289"/>
      <c r="J930" s="289"/>
      <c r="K930" s="289"/>
      <c r="L930" s="289"/>
    </row>
    <row r="931" spans="1:12" ht="14.25" customHeight="1" x14ac:dyDescent="0.25">
      <c r="A931" s="289"/>
      <c r="G931" s="289"/>
      <c r="H931" s="289"/>
      <c r="I931" s="289"/>
      <c r="J931" s="289"/>
      <c r="K931" s="289"/>
      <c r="L931" s="289"/>
    </row>
    <row r="932" spans="1:12" ht="14.25" customHeight="1" x14ac:dyDescent="0.25">
      <c r="A932" s="289"/>
      <c r="G932" s="289"/>
      <c r="H932" s="289"/>
      <c r="I932" s="289"/>
      <c r="J932" s="289"/>
      <c r="K932" s="289"/>
      <c r="L932" s="289"/>
    </row>
    <row r="933" spans="1:12" ht="14.25" customHeight="1" x14ac:dyDescent="0.25">
      <c r="A933" s="289"/>
      <c r="G933" s="289"/>
      <c r="H933" s="289"/>
      <c r="I933" s="289"/>
      <c r="J933" s="289"/>
      <c r="K933" s="289"/>
      <c r="L933" s="289"/>
    </row>
    <row r="934" spans="1:12" ht="14.25" customHeight="1" x14ac:dyDescent="0.25">
      <c r="A934" s="289"/>
      <c r="G934" s="289"/>
      <c r="H934" s="289"/>
      <c r="I934" s="289"/>
      <c r="J934" s="289"/>
      <c r="K934" s="289"/>
      <c r="L934" s="289"/>
    </row>
    <row r="935" spans="1:12" ht="14.25" customHeight="1" x14ac:dyDescent="0.25">
      <c r="A935" s="289"/>
      <c r="G935" s="289"/>
      <c r="H935" s="289"/>
      <c r="I935" s="289"/>
      <c r="J935" s="289"/>
      <c r="K935" s="289"/>
      <c r="L935" s="289"/>
    </row>
    <row r="936" spans="1:12" ht="14.25" customHeight="1" x14ac:dyDescent="0.25">
      <c r="A936" s="289"/>
      <c r="G936" s="289"/>
      <c r="H936" s="289"/>
      <c r="I936" s="289"/>
      <c r="J936" s="289"/>
      <c r="K936" s="289"/>
      <c r="L936" s="289"/>
    </row>
    <row r="937" spans="1:12" ht="14.25" customHeight="1" x14ac:dyDescent="0.25">
      <c r="A937" s="289"/>
      <c r="G937" s="289"/>
      <c r="H937" s="289"/>
      <c r="I937" s="289"/>
      <c r="J937" s="289"/>
      <c r="K937" s="289"/>
      <c r="L937" s="289"/>
    </row>
    <row r="938" spans="1:12" ht="14.25" customHeight="1" x14ac:dyDescent="0.25">
      <c r="A938" s="289"/>
      <c r="G938" s="289"/>
      <c r="H938" s="289"/>
      <c r="I938" s="289"/>
      <c r="J938" s="289"/>
      <c r="K938" s="289"/>
      <c r="L938" s="289"/>
    </row>
    <row r="939" spans="1:12" ht="14.25" customHeight="1" x14ac:dyDescent="0.25">
      <c r="A939" s="289"/>
      <c r="G939" s="289"/>
      <c r="H939" s="289"/>
      <c r="I939" s="289"/>
      <c r="J939" s="289"/>
      <c r="K939" s="289"/>
      <c r="L939" s="289"/>
    </row>
    <row r="940" spans="1:12" ht="14.25" customHeight="1" x14ac:dyDescent="0.25">
      <c r="A940" s="289"/>
      <c r="G940" s="289"/>
      <c r="H940" s="289"/>
      <c r="I940" s="289"/>
      <c r="J940" s="289"/>
      <c r="K940" s="289"/>
      <c r="L940" s="289"/>
    </row>
    <row r="941" spans="1:12" ht="14.25" customHeight="1" x14ac:dyDescent="0.25">
      <c r="A941" s="289"/>
      <c r="G941" s="289"/>
      <c r="H941" s="289"/>
      <c r="I941" s="289"/>
      <c r="J941" s="289"/>
      <c r="K941" s="289"/>
      <c r="L941" s="289"/>
    </row>
    <row r="942" spans="1:12" ht="14.25" customHeight="1" x14ac:dyDescent="0.25">
      <c r="A942" s="289"/>
      <c r="G942" s="289"/>
      <c r="H942" s="289"/>
      <c r="I942" s="289"/>
      <c r="J942" s="289"/>
      <c r="K942" s="289"/>
      <c r="L942" s="289"/>
    </row>
    <row r="943" spans="1:12" ht="14.25" customHeight="1" x14ac:dyDescent="0.25">
      <c r="A943" s="289"/>
      <c r="G943" s="289"/>
      <c r="H943" s="289"/>
      <c r="I943" s="289"/>
      <c r="J943" s="289"/>
      <c r="K943" s="289"/>
      <c r="L943" s="289"/>
    </row>
    <row r="944" spans="1:12" ht="14.25" customHeight="1" x14ac:dyDescent="0.25">
      <c r="A944" s="289"/>
      <c r="G944" s="289"/>
      <c r="H944" s="289"/>
      <c r="I944" s="289"/>
      <c r="J944" s="289"/>
      <c r="K944" s="289"/>
      <c r="L944" s="289"/>
    </row>
    <row r="945" spans="1:12" ht="14.25" customHeight="1" x14ac:dyDescent="0.25">
      <c r="A945" s="289"/>
      <c r="G945" s="289"/>
      <c r="H945" s="289"/>
      <c r="I945" s="289"/>
      <c r="J945" s="289"/>
      <c r="K945" s="289"/>
      <c r="L945" s="289"/>
    </row>
    <row r="946" spans="1:12" ht="14.25" customHeight="1" x14ac:dyDescent="0.25">
      <c r="A946" s="289"/>
      <c r="G946" s="289"/>
      <c r="H946" s="289"/>
      <c r="I946" s="289"/>
      <c r="J946" s="289"/>
      <c r="K946" s="289"/>
      <c r="L946" s="289"/>
    </row>
    <row r="947" spans="1:12" ht="14.25" customHeight="1" x14ac:dyDescent="0.25">
      <c r="A947" s="289"/>
      <c r="G947" s="289"/>
      <c r="H947" s="289"/>
      <c r="I947" s="289"/>
      <c r="J947" s="289"/>
      <c r="K947" s="289"/>
      <c r="L947" s="289"/>
    </row>
    <row r="948" spans="1:12" ht="14.25" customHeight="1" x14ac:dyDescent="0.25">
      <c r="A948" s="289"/>
      <c r="G948" s="289"/>
      <c r="H948" s="289"/>
      <c r="I948" s="289"/>
      <c r="J948" s="289"/>
      <c r="K948" s="289"/>
      <c r="L948" s="289"/>
    </row>
    <row r="949" spans="1:12" ht="14.25" customHeight="1" x14ac:dyDescent="0.25">
      <c r="A949" s="289"/>
      <c r="G949" s="289"/>
      <c r="H949" s="289"/>
      <c r="I949" s="289"/>
      <c r="J949" s="289"/>
      <c r="K949" s="289"/>
      <c r="L949" s="289"/>
    </row>
    <row r="950" spans="1:12" ht="14.25" customHeight="1" x14ac:dyDescent="0.25">
      <c r="A950" s="289"/>
      <c r="G950" s="289"/>
      <c r="H950" s="289"/>
      <c r="I950" s="289"/>
      <c r="J950" s="289"/>
      <c r="K950" s="289"/>
      <c r="L950" s="289"/>
    </row>
    <row r="951" spans="1:12" ht="14.25" customHeight="1" x14ac:dyDescent="0.25">
      <c r="A951" s="289"/>
      <c r="G951" s="289"/>
      <c r="H951" s="289"/>
      <c r="I951" s="289"/>
      <c r="J951" s="289"/>
      <c r="K951" s="289"/>
      <c r="L951" s="289"/>
    </row>
    <row r="952" spans="1:12" ht="14.25" customHeight="1" x14ac:dyDescent="0.25">
      <c r="A952" s="289"/>
      <c r="G952" s="289"/>
      <c r="H952" s="289"/>
      <c r="I952" s="289"/>
      <c r="J952" s="289"/>
      <c r="K952" s="289"/>
      <c r="L952" s="289"/>
    </row>
    <row r="953" spans="1:12" ht="14.25" customHeight="1" x14ac:dyDescent="0.25">
      <c r="A953" s="289"/>
      <c r="G953" s="289"/>
      <c r="H953" s="289"/>
      <c r="I953" s="289"/>
      <c r="J953" s="289"/>
      <c r="K953" s="289"/>
      <c r="L953" s="289"/>
    </row>
    <row r="954" spans="1:12" ht="14.25" customHeight="1" x14ac:dyDescent="0.25">
      <c r="A954" s="289"/>
      <c r="G954" s="289"/>
      <c r="H954" s="289"/>
      <c r="I954" s="289"/>
      <c r="J954" s="289"/>
      <c r="K954" s="289"/>
      <c r="L954" s="289"/>
    </row>
    <row r="955" spans="1:12" ht="14.25" customHeight="1" x14ac:dyDescent="0.25">
      <c r="A955" s="289"/>
      <c r="G955" s="289"/>
      <c r="H955" s="289"/>
      <c r="I955" s="289"/>
      <c r="J955" s="289"/>
      <c r="K955" s="289"/>
      <c r="L955" s="289"/>
    </row>
    <row r="956" spans="1:12" ht="14.25" customHeight="1" x14ac:dyDescent="0.25">
      <c r="A956" s="289"/>
      <c r="G956" s="289"/>
      <c r="H956" s="289"/>
      <c r="I956" s="289"/>
      <c r="J956" s="289"/>
      <c r="K956" s="289"/>
      <c r="L956" s="289"/>
    </row>
    <row r="957" spans="1:12" ht="14.25" customHeight="1" x14ac:dyDescent="0.25">
      <c r="A957" s="289"/>
      <c r="G957" s="289"/>
      <c r="H957" s="289"/>
      <c r="I957" s="289"/>
      <c r="J957" s="289"/>
      <c r="K957" s="289"/>
      <c r="L957" s="289"/>
    </row>
    <row r="958" spans="1:12" ht="14.25" customHeight="1" x14ac:dyDescent="0.25">
      <c r="A958" s="289"/>
      <c r="G958" s="289"/>
      <c r="H958" s="289"/>
      <c r="I958" s="289"/>
      <c r="J958" s="289"/>
      <c r="K958" s="289"/>
      <c r="L958" s="289"/>
    </row>
    <row r="959" spans="1:12" ht="14.25" customHeight="1" x14ac:dyDescent="0.25">
      <c r="A959" s="289"/>
      <c r="G959" s="289"/>
      <c r="H959" s="289"/>
      <c r="I959" s="289"/>
      <c r="J959" s="289"/>
      <c r="K959" s="289"/>
      <c r="L959" s="289"/>
    </row>
    <row r="960" spans="1:12" ht="14.25" customHeight="1" x14ac:dyDescent="0.25">
      <c r="A960" s="289"/>
      <c r="G960" s="289"/>
      <c r="H960" s="289"/>
      <c r="I960" s="289"/>
      <c r="J960" s="289"/>
      <c r="K960" s="289"/>
      <c r="L960" s="289"/>
    </row>
    <row r="961" spans="1:12" ht="14.25" customHeight="1" x14ac:dyDescent="0.25">
      <c r="A961" s="289"/>
      <c r="G961" s="289"/>
      <c r="H961" s="289"/>
      <c r="I961" s="289"/>
      <c r="J961" s="289"/>
      <c r="K961" s="289"/>
      <c r="L961" s="289"/>
    </row>
    <row r="962" spans="1:12" ht="14.25" customHeight="1" x14ac:dyDescent="0.25">
      <c r="A962" s="289"/>
      <c r="G962" s="289"/>
      <c r="H962" s="289"/>
      <c r="I962" s="289"/>
      <c r="J962" s="289"/>
      <c r="K962" s="289"/>
      <c r="L962" s="289"/>
    </row>
    <row r="963" spans="1:12" ht="14.25" customHeight="1" x14ac:dyDescent="0.25">
      <c r="A963" s="289"/>
      <c r="G963" s="289"/>
      <c r="H963" s="289"/>
      <c r="I963" s="289"/>
      <c r="J963" s="289"/>
      <c r="K963" s="289"/>
      <c r="L963" s="289"/>
    </row>
    <row r="964" spans="1:12" ht="14.25" customHeight="1" x14ac:dyDescent="0.25">
      <c r="A964" s="289"/>
      <c r="G964" s="289"/>
      <c r="H964" s="289"/>
      <c r="I964" s="289"/>
      <c r="J964" s="289"/>
      <c r="K964" s="289"/>
      <c r="L964" s="289"/>
    </row>
    <row r="965" spans="1:12" ht="14.25" customHeight="1" x14ac:dyDescent="0.25">
      <c r="A965" s="289"/>
      <c r="G965" s="289"/>
      <c r="H965" s="289"/>
      <c r="I965" s="289"/>
      <c r="J965" s="289"/>
      <c r="K965" s="289"/>
      <c r="L965" s="289"/>
    </row>
    <row r="966" spans="1:12" ht="14.25" customHeight="1" x14ac:dyDescent="0.25">
      <c r="A966" s="289"/>
      <c r="G966" s="289"/>
      <c r="H966" s="289"/>
      <c r="I966" s="289"/>
      <c r="J966" s="289"/>
      <c r="K966" s="289"/>
      <c r="L966" s="289"/>
    </row>
    <row r="967" spans="1:12" ht="14.25" customHeight="1" x14ac:dyDescent="0.25">
      <c r="A967" s="289"/>
      <c r="G967" s="289"/>
      <c r="H967" s="289"/>
      <c r="I967" s="289"/>
      <c r="J967" s="289"/>
      <c r="K967" s="289"/>
      <c r="L967" s="289"/>
    </row>
    <row r="968" spans="1:12" ht="14.25" customHeight="1" x14ac:dyDescent="0.25">
      <c r="A968" s="289"/>
      <c r="G968" s="289"/>
      <c r="H968" s="289"/>
      <c r="I968" s="289"/>
      <c r="J968" s="289"/>
      <c r="K968" s="289"/>
      <c r="L968" s="289"/>
    </row>
    <row r="969" spans="1:12" ht="14.25" customHeight="1" x14ac:dyDescent="0.25">
      <c r="A969" s="289"/>
      <c r="G969" s="289"/>
      <c r="H969" s="289"/>
      <c r="I969" s="289"/>
      <c r="J969" s="289"/>
      <c r="K969" s="289"/>
      <c r="L969" s="289"/>
    </row>
    <row r="970" spans="1:12" ht="14.25" customHeight="1" x14ac:dyDescent="0.25">
      <c r="A970" s="289"/>
      <c r="G970" s="289"/>
      <c r="H970" s="289"/>
      <c r="I970" s="289"/>
      <c r="J970" s="289"/>
      <c r="K970" s="289"/>
      <c r="L970" s="289"/>
    </row>
    <row r="971" spans="1:12" ht="14.25" customHeight="1" x14ac:dyDescent="0.25">
      <c r="A971" s="289"/>
      <c r="G971" s="289"/>
      <c r="H971" s="289"/>
      <c r="I971" s="289"/>
      <c r="J971" s="289"/>
      <c r="K971" s="289"/>
      <c r="L971" s="289"/>
    </row>
    <row r="972" spans="1:12" ht="14.25" customHeight="1" x14ac:dyDescent="0.25">
      <c r="A972" s="289"/>
      <c r="G972" s="289"/>
      <c r="H972" s="289"/>
      <c r="I972" s="289"/>
      <c r="J972" s="289"/>
      <c r="K972" s="289"/>
      <c r="L972" s="289"/>
    </row>
    <row r="973" spans="1:12" ht="14.25" customHeight="1" x14ac:dyDescent="0.25">
      <c r="A973" s="289"/>
      <c r="G973" s="289"/>
      <c r="H973" s="289"/>
      <c r="I973" s="289"/>
      <c r="J973" s="289"/>
      <c r="K973" s="289"/>
      <c r="L973" s="289"/>
    </row>
    <row r="974" spans="1:12" ht="14.25" customHeight="1" x14ac:dyDescent="0.25">
      <c r="A974" s="289"/>
      <c r="G974" s="289"/>
      <c r="H974" s="289"/>
      <c r="I974" s="289"/>
      <c r="J974" s="289"/>
      <c r="K974" s="289"/>
      <c r="L974" s="289"/>
    </row>
    <row r="975" spans="1:12" ht="14.25" customHeight="1" x14ac:dyDescent="0.25">
      <c r="A975" s="289"/>
      <c r="G975" s="289"/>
      <c r="H975" s="289"/>
      <c r="I975" s="289"/>
      <c r="J975" s="289"/>
      <c r="K975" s="289"/>
      <c r="L975" s="289"/>
    </row>
    <row r="976" spans="1:12" ht="14.25" customHeight="1" x14ac:dyDescent="0.25">
      <c r="A976" s="289"/>
      <c r="G976" s="289"/>
      <c r="H976" s="289"/>
      <c r="I976" s="289"/>
      <c r="J976" s="289"/>
      <c r="K976" s="289"/>
      <c r="L976" s="289"/>
    </row>
    <row r="977" spans="1:12" ht="14.25" customHeight="1" x14ac:dyDescent="0.25">
      <c r="A977" s="289"/>
      <c r="G977" s="289"/>
      <c r="H977" s="289"/>
      <c r="I977" s="289"/>
      <c r="J977" s="289"/>
      <c r="K977" s="289"/>
      <c r="L977" s="289"/>
    </row>
    <row r="978" spans="1:12" ht="14.25" customHeight="1" x14ac:dyDescent="0.25">
      <c r="A978" s="289"/>
      <c r="G978" s="289"/>
      <c r="H978" s="289"/>
      <c r="I978" s="289"/>
      <c r="J978" s="289"/>
      <c r="K978" s="289"/>
      <c r="L978" s="289"/>
    </row>
    <row r="979" spans="1:12" ht="14.25" customHeight="1" x14ac:dyDescent="0.25">
      <c r="A979" s="289"/>
      <c r="G979" s="289"/>
      <c r="H979" s="289"/>
      <c r="I979" s="289"/>
      <c r="J979" s="289"/>
      <c r="K979" s="289"/>
      <c r="L979" s="289"/>
    </row>
    <row r="980" spans="1:12" ht="14.25" customHeight="1" x14ac:dyDescent="0.25">
      <c r="A980" s="289"/>
      <c r="G980" s="289"/>
      <c r="H980" s="289"/>
      <c r="I980" s="289"/>
      <c r="J980" s="289"/>
      <c r="K980" s="289"/>
      <c r="L980" s="289"/>
    </row>
    <row r="981" spans="1:12" ht="14.25" customHeight="1" x14ac:dyDescent="0.25">
      <c r="A981" s="289"/>
      <c r="G981" s="289"/>
      <c r="H981" s="289"/>
      <c r="I981" s="289"/>
      <c r="J981" s="289"/>
      <c r="K981" s="289"/>
      <c r="L981" s="289"/>
    </row>
    <row r="982" spans="1:12" ht="14.25" customHeight="1" x14ac:dyDescent="0.25">
      <c r="A982" s="289"/>
      <c r="G982" s="289"/>
      <c r="H982" s="289"/>
      <c r="I982" s="289"/>
      <c r="J982" s="289"/>
      <c r="K982" s="289"/>
      <c r="L982" s="289"/>
    </row>
    <row r="983" spans="1:12" ht="14.25" customHeight="1" x14ac:dyDescent="0.25">
      <c r="A983" s="289"/>
      <c r="G983" s="289"/>
      <c r="H983" s="289"/>
      <c r="I983" s="289"/>
      <c r="J983" s="289"/>
      <c r="K983" s="289"/>
      <c r="L983" s="289"/>
    </row>
    <row r="984" spans="1:12" ht="14.25" customHeight="1" x14ac:dyDescent="0.25">
      <c r="A984" s="289"/>
      <c r="G984" s="289"/>
      <c r="H984" s="289"/>
      <c r="I984" s="289"/>
      <c r="J984" s="289"/>
      <c r="K984" s="289"/>
      <c r="L984" s="289"/>
    </row>
    <row r="985" spans="1:12" ht="14.25" customHeight="1" x14ac:dyDescent="0.25">
      <c r="A985" s="289"/>
      <c r="G985" s="289"/>
      <c r="H985" s="289"/>
      <c r="I985" s="289"/>
      <c r="J985" s="289"/>
      <c r="K985" s="289"/>
      <c r="L985" s="289"/>
    </row>
    <row r="986" spans="1:12" ht="14.25" customHeight="1" x14ac:dyDescent="0.25">
      <c r="A986" s="289"/>
      <c r="G986" s="289"/>
      <c r="H986" s="289"/>
      <c r="I986" s="289"/>
      <c r="J986" s="289"/>
      <c r="K986" s="289"/>
      <c r="L986" s="289"/>
    </row>
    <row r="987" spans="1:12" ht="14.25" customHeight="1" x14ac:dyDescent="0.25">
      <c r="A987" s="289"/>
      <c r="G987" s="289"/>
      <c r="H987" s="289"/>
      <c r="I987" s="289"/>
      <c r="J987" s="289"/>
      <c r="K987" s="289"/>
      <c r="L987" s="289"/>
    </row>
    <row r="988" spans="1:12" ht="14.25" customHeight="1" x14ac:dyDescent="0.25">
      <c r="A988" s="289"/>
      <c r="G988" s="289"/>
      <c r="H988" s="289"/>
      <c r="I988" s="289"/>
      <c r="J988" s="289"/>
      <c r="K988" s="289"/>
      <c r="L988" s="289"/>
    </row>
    <row r="989" spans="1:12" ht="14.25" customHeight="1" x14ac:dyDescent="0.25">
      <c r="A989" s="289"/>
      <c r="G989" s="289"/>
      <c r="H989" s="289"/>
      <c r="I989" s="289"/>
      <c r="J989" s="289"/>
      <c r="K989" s="289"/>
      <c r="L989" s="289"/>
    </row>
    <row r="990" spans="1:12" ht="14.25" customHeight="1" x14ac:dyDescent="0.25">
      <c r="A990" s="289"/>
      <c r="G990" s="289"/>
      <c r="H990" s="289"/>
      <c r="I990" s="289"/>
      <c r="J990" s="289"/>
      <c r="K990" s="289"/>
      <c r="L990" s="289"/>
    </row>
    <row r="991" spans="1:12" ht="14.25" customHeight="1" x14ac:dyDescent="0.25">
      <c r="A991" s="289"/>
      <c r="G991" s="289"/>
      <c r="H991" s="289"/>
      <c r="I991" s="289"/>
      <c r="J991" s="289"/>
      <c r="K991" s="289"/>
      <c r="L991" s="289"/>
    </row>
    <row r="992" spans="1:12" ht="14.25" customHeight="1" x14ac:dyDescent="0.25">
      <c r="A992" s="289"/>
      <c r="G992" s="289"/>
      <c r="H992" s="289"/>
      <c r="I992" s="289"/>
      <c r="J992" s="289"/>
      <c r="K992" s="289"/>
      <c r="L992" s="289"/>
    </row>
    <row r="993" spans="1:12" ht="14.25" customHeight="1" x14ac:dyDescent="0.25">
      <c r="A993" s="289"/>
      <c r="G993" s="289"/>
      <c r="H993" s="289"/>
      <c r="I993" s="289"/>
      <c r="J993" s="289"/>
      <c r="K993" s="289"/>
      <c r="L993" s="289"/>
    </row>
    <row r="994" spans="1:12" ht="14.25" customHeight="1" x14ac:dyDescent="0.25">
      <c r="A994" s="289"/>
      <c r="G994" s="289"/>
      <c r="H994" s="289"/>
      <c r="I994" s="289"/>
      <c r="J994" s="289"/>
      <c r="K994" s="289"/>
      <c r="L994" s="289"/>
    </row>
    <row r="995" spans="1:12" ht="14.25" customHeight="1" x14ac:dyDescent="0.25">
      <c r="A995" s="289"/>
      <c r="G995" s="289"/>
      <c r="H995" s="289"/>
      <c r="I995" s="289"/>
      <c r="J995" s="289"/>
      <c r="K995" s="289"/>
      <c r="L995" s="289"/>
    </row>
    <row r="996" spans="1:12" ht="14.25" customHeight="1" x14ac:dyDescent="0.25">
      <c r="A996" s="289"/>
      <c r="G996" s="289"/>
      <c r="H996" s="289"/>
      <c r="I996" s="289"/>
      <c r="J996" s="289"/>
      <c r="K996" s="289"/>
      <c r="L996" s="289"/>
    </row>
    <row r="997" spans="1:12" ht="14.25" customHeight="1" x14ac:dyDescent="0.25">
      <c r="A997" s="289"/>
      <c r="G997" s="289"/>
      <c r="H997" s="289"/>
      <c r="I997" s="289"/>
      <c r="J997" s="289"/>
      <c r="K997" s="289"/>
      <c r="L997" s="289"/>
    </row>
    <row r="998" spans="1:12" ht="14.25" customHeight="1" x14ac:dyDescent="0.25">
      <c r="A998" s="289"/>
      <c r="G998" s="289"/>
      <c r="H998" s="289"/>
      <c r="I998" s="289"/>
      <c r="J998" s="289"/>
      <c r="K998" s="289"/>
      <c r="L998" s="289"/>
    </row>
    <row r="999" spans="1:12" ht="14.25" customHeight="1" x14ac:dyDescent="0.25">
      <c r="A999" s="289"/>
      <c r="G999" s="289"/>
      <c r="H999" s="289"/>
      <c r="I999" s="289"/>
      <c r="J999" s="289"/>
      <c r="K999" s="289"/>
      <c r="L999" s="289"/>
    </row>
    <row r="1000" spans="1:12" ht="14.25" customHeight="1" x14ac:dyDescent="0.25">
      <c r="A1000" s="289"/>
      <c r="G1000" s="289"/>
      <c r="H1000" s="289"/>
      <c r="I1000" s="289"/>
      <c r="J1000" s="289"/>
      <c r="K1000" s="289"/>
      <c r="L1000" s="289"/>
    </row>
    <row r="1001" spans="1:12" ht="14.25" customHeight="1" x14ac:dyDescent="0.25">
      <c r="A1001" s="289"/>
      <c r="G1001" s="289"/>
      <c r="H1001" s="289"/>
      <c r="I1001" s="289"/>
      <c r="J1001" s="289"/>
      <c r="K1001" s="289"/>
      <c r="L1001" s="289"/>
    </row>
    <row r="1002" spans="1:12" ht="14.25" customHeight="1" x14ac:dyDescent="0.25">
      <c r="A1002" s="289"/>
      <c r="G1002" s="289"/>
      <c r="H1002" s="289"/>
      <c r="I1002" s="289"/>
      <c r="J1002" s="289"/>
      <c r="K1002" s="289"/>
      <c r="L1002" s="289"/>
    </row>
  </sheetData>
  <mergeCells count="4">
    <mergeCell ref="A5:L5"/>
    <mergeCell ref="A7:L7"/>
    <mergeCell ref="B9:F9"/>
    <mergeCell ref="H9:K9"/>
  </mergeCells>
  <pageMargins left="0.511811024" right="0.511811024" top="0.78740157499999996" bottom="0.78740157499999996" header="0" footer="0"/>
  <pageSetup paperSize="9" orientation="portrait"/>
  <drawing r:id="rId1"/>
  <legacyDrawing r:id="rId2"/>
  <tableParts count="1">
    <tablePart r:id="rId3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4F66A-27B7-4F31-8992-8C94BF3D12D6}">
  <dimension ref="B1:AA1001"/>
  <sheetViews>
    <sheetView showGridLines="0" zoomScale="70" zoomScaleNormal="70" workbookViewId="0">
      <selection activeCell="C21" sqref="C21"/>
    </sheetView>
  </sheetViews>
  <sheetFormatPr defaultColWidth="14.42578125" defaultRowHeight="15" customHeight="1" x14ac:dyDescent="0.25"/>
  <cols>
    <col min="1" max="1" width="14.42578125" style="977"/>
    <col min="2" max="2" width="64.42578125" style="977" customWidth="1"/>
    <col min="3" max="3" width="21.7109375" style="977" customWidth="1"/>
    <col min="4" max="4" width="14.28515625" style="482" customWidth="1"/>
    <col min="5" max="5" width="15.140625" style="482" customWidth="1"/>
    <col min="6" max="6" width="14.42578125" style="977"/>
    <col min="7" max="7" width="64.42578125" style="977" hidden="1" customWidth="1"/>
    <col min="8" max="8" width="21.7109375" style="977" customWidth="1"/>
    <col min="9" max="9" width="14.28515625" style="482" customWidth="1"/>
    <col min="10" max="10" width="15.140625" style="482" customWidth="1"/>
    <col min="11" max="14" width="0" style="977" hidden="1" customWidth="1"/>
    <col min="15" max="15" width="9.140625" style="977" customWidth="1"/>
    <col min="16" max="16" width="20.7109375" style="977" bestFit="1" customWidth="1"/>
    <col min="17" max="17" width="11.42578125" style="977" customWidth="1"/>
    <col min="18" max="18" width="18.5703125" style="977" customWidth="1"/>
    <col min="19" max="19" width="9.140625" style="977" customWidth="1"/>
    <col min="20" max="20" width="16.42578125" style="977" customWidth="1"/>
    <col min="21" max="23" width="9.140625" style="977" customWidth="1"/>
    <col min="24" max="24" width="17.7109375" style="977" customWidth="1"/>
    <col min="25" max="25" width="19.28515625" style="977" customWidth="1"/>
    <col min="26" max="26" width="14.28515625" style="977" customWidth="1"/>
    <col min="27" max="27" width="9.140625" style="977" customWidth="1"/>
    <col min="28" max="16384" width="14.42578125" style="977"/>
  </cols>
  <sheetData>
    <row r="1" spans="2:27" ht="20.45" customHeight="1" x14ac:dyDescent="0.25">
      <c r="B1" s="1131" t="s">
        <v>1385</v>
      </c>
      <c r="C1" s="1131"/>
      <c r="D1" s="1131"/>
      <c r="E1" s="1131"/>
      <c r="G1" s="1131" t="s">
        <v>1363</v>
      </c>
      <c r="H1" s="1131"/>
      <c r="I1" s="1131"/>
      <c r="J1" s="1131"/>
      <c r="P1" s="1131" t="s">
        <v>1364</v>
      </c>
      <c r="Q1" s="1131"/>
      <c r="R1" s="1131"/>
    </row>
    <row r="2" spans="2:27" ht="22.5" customHeight="1" thickBot="1" x14ac:dyDescent="0.3">
      <c r="B2" s="455" t="s">
        <v>546</v>
      </c>
      <c r="C2" s="455" t="s">
        <v>547</v>
      </c>
      <c r="D2" s="456" t="s">
        <v>548</v>
      </c>
      <c r="E2" s="456" t="s">
        <v>549</v>
      </c>
      <c r="G2" s="455" t="s">
        <v>546</v>
      </c>
      <c r="H2" s="455" t="s">
        <v>547</v>
      </c>
      <c r="I2" s="456" t="s">
        <v>548</v>
      </c>
      <c r="J2" s="456" t="s">
        <v>549</v>
      </c>
      <c r="O2" s="38"/>
      <c r="P2" s="455" t="s">
        <v>547</v>
      </c>
      <c r="Q2" s="456" t="s">
        <v>548</v>
      </c>
      <c r="R2" s="456" t="s">
        <v>549</v>
      </c>
      <c r="S2" s="38"/>
      <c r="T2" s="38"/>
      <c r="U2" s="38"/>
      <c r="V2" s="38"/>
      <c r="W2" s="38"/>
      <c r="X2" s="38"/>
      <c r="Y2" s="38"/>
      <c r="Z2" s="38"/>
      <c r="AA2" s="38"/>
    </row>
    <row r="3" spans="2:27" ht="22.5" customHeight="1" thickBot="1" x14ac:dyDescent="0.3">
      <c r="B3" s="457" t="s">
        <v>550</v>
      </c>
      <c r="C3" s="458">
        <f>[5]CUSTOS_INDIRETOS!$F$93</f>
        <v>14538860.022569677</v>
      </c>
      <c r="D3" s="459">
        <f t="shared" ref="D3:D19" si="0">C3/C$20</f>
        <v>0.16525102256239985</v>
      </c>
      <c r="E3" s="888">
        <f>C3/ORÇAMENTO_EXECUTIVO_REV03!$Z$3</f>
        <v>989.48100731958095</v>
      </c>
      <c r="G3" s="457" t="s">
        <v>550</v>
      </c>
      <c r="H3" s="458">
        <f>[4]CUSTOS_INDIRETOS!$F$93</f>
        <v>13510709.072569676</v>
      </c>
      <c r="I3" s="459">
        <f t="shared" ref="I3:I19" si="1">H3/H$20</f>
        <v>0.15543582989528362</v>
      </c>
      <c r="J3" s="888">
        <f>H3/ORÇAMENTO_EXECUTIVO_REV03!Z$3</f>
        <v>919.50744432335534</v>
      </c>
      <c r="O3" s="38"/>
      <c r="P3" s="458">
        <v>8526873.6744689904</v>
      </c>
      <c r="Q3" s="459">
        <v>0.114027380228428</v>
      </c>
      <c r="R3" s="888">
        <v>683.80634645116254</v>
      </c>
      <c r="S3" s="38"/>
      <c r="T3" s="870">
        <f>H3-P3</f>
        <v>4983835.3981006853</v>
      </c>
      <c r="U3" s="38"/>
      <c r="V3" s="481">
        <f>J3-R3</f>
        <v>235.7010978721928</v>
      </c>
      <c r="W3" s="38"/>
      <c r="X3" s="38"/>
      <c r="Y3" s="460" t="s">
        <v>280</v>
      </c>
      <c r="Z3" s="764">
        <f>DADOS_INICIAIS!E11</f>
        <v>14693.42</v>
      </c>
      <c r="AA3" s="461" t="s">
        <v>2</v>
      </c>
    </row>
    <row r="4" spans="2:27" ht="19.5" customHeight="1" x14ac:dyDescent="0.25">
      <c r="B4" s="462" t="s">
        <v>117</v>
      </c>
      <c r="C4" s="463">
        <f>H4</f>
        <v>2545063.3884582501</v>
      </c>
      <c r="D4" s="464">
        <f t="shared" si="0"/>
        <v>2.8927600016505111E-2</v>
      </c>
      <c r="E4" s="889">
        <f>C4/ORÇAMENTO_EXECUTIVO_REV03!$Z$3</f>
        <v>173.21109642671686</v>
      </c>
      <c r="G4" s="462" t="s">
        <v>117</v>
      </c>
      <c r="H4" s="463">
        <f>MOVIMENTAÇÃO_DE_TERRA!F35</f>
        <v>2545063.3884582501</v>
      </c>
      <c r="I4" s="464">
        <f t="shared" si="1"/>
        <v>2.9280035399790495E-2</v>
      </c>
      <c r="J4" s="889">
        <f>H4/ORÇAMENTO_EXECUTIVO_REV03!Z$3</f>
        <v>173.21109642671686</v>
      </c>
      <c r="O4" s="38"/>
      <c r="P4" s="463">
        <v>2450076.1785170003</v>
      </c>
      <c r="Q4" s="464">
        <v>3.2764149987688174E-2</v>
      </c>
      <c r="R4" s="889">
        <v>196.48205240510617</v>
      </c>
      <c r="S4" s="38"/>
      <c r="T4" s="870">
        <f t="shared" ref="T4:T19" si="2">H4-P4</f>
        <v>94987.209941249806</v>
      </c>
      <c r="U4" s="38"/>
      <c r="V4" s="481">
        <f>J4-R4</f>
        <v>-23.27095597838931</v>
      </c>
      <c r="W4" s="38"/>
      <c r="X4" s="38"/>
      <c r="Y4" s="38"/>
      <c r="Z4" s="38"/>
      <c r="AA4" s="38"/>
    </row>
    <row r="5" spans="2:27" ht="19.5" customHeight="1" x14ac:dyDescent="0.25">
      <c r="B5" s="457" t="s">
        <v>118</v>
      </c>
      <c r="C5" s="458">
        <f>H5</f>
        <v>5742340.0165556455</v>
      </c>
      <c r="D5" s="459">
        <f t="shared" si="0"/>
        <v>6.5268360666773231E-2</v>
      </c>
      <c r="E5" s="888">
        <f>C5/ORÇAMENTO_EXECUTIVO_REV03!$Z$3</f>
        <v>390.810309414394</v>
      </c>
      <c r="G5" s="457" t="s">
        <v>118</v>
      </c>
      <c r="H5" s="458">
        <f>'INFRAESTRUTURA REV01'!G31</f>
        <v>5742340.0165556455</v>
      </c>
      <c r="I5" s="459">
        <f t="shared" si="1"/>
        <v>6.6063548642785005E-2</v>
      </c>
      <c r="J5" s="888">
        <f>H5/ORÇAMENTO_EXECUTIVO_REV03!Z$3</f>
        <v>390.810309414394</v>
      </c>
      <c r="O5" s="38"/>
      <c r="P5" s="458">
        <v>5278318.0955762975</v>
      </c>
      <c r="Q5" s="459">
        <v>7.0585399459239903E-2</v>
      </c>
      <c r="R5" s="888">
        <v>423.29082734626741</v>
      </c>
      <c r="S5" s="38"/>
      <c r="T5" s="870">
        <f t="shared" si="2"/>
        <v>464021.92097934801</v>
      </c>
      <c r="U5" s="38"/>
      <c r="V5" s="481">
        <f t="shared" ref="V5:V19" si="3">J5-R5</f>
        <v>-32.480517931873408</v>
      </c>
      <c r="W5" s="38"/>
      <c r="X5" s="38"/>
      <c r="Y5" s="469"/>
      <c r="Z5" s="38"/>
      <c r="AA5" s="38"/>
    </row>
    <row r="6" spans="2:27" ht="19.5" customHeight="1" x14ac:dyDescent="0.25">
      <c r="B6" s="462" t="s">
        <v>1229</v>
      </c>
      <c r="C6" s="463">
        <f t="shared" ref="C6:C18" si="4">H6</f>
        <v>1644604.5753569845</v>
      </c>
      <c r="D6" s="464">
        <f t="shared" si="0"/>
        <v>1.8692840247904696E-2</v>
      </c>
      <c r="E6" s="889">
        <f>C6/ORÇAMENTO_EXECUTIVO_REV03!$Z$3</f>
        <v>111.92796335754267</v>
      </c>
      <c r="G6" s="462" t="s">
        <v>1229</v>
      </c>
      <c r="H6" s="463">
        <f>CONTENÇÕES!G33</f>
        <v>1644604.5753569845</v>
      </c>
      <c r="I6" s="464">
        <f t="shared" si="1"/>
        <v>1.8920581861923969E-2</v>
      </c>
      <c r="J6" s="889">
        <f>H6/ORÇAMENTO_EXECUTIVO_REV03!Z$3</f>
        <v>111.92796335754267</v>
      </c>
      <c r="O6" s="38"/>
      <c r="P6" s="463">
        <v>1644604.5753569845</v>
      </c>
      <c r="Q6" s="464">
        <v>2.1992814529566914E-2</v>
      </c>
      <c r="R6" s="889">
        <v>131.88785115920683</v>
      </c>
      <c r="S6" s="38"/>
      <c r="T6" s="870">
        <f t="shared" si="2"/>
        <v>0</v>
      </c>
      <c r="U6" s="38"/>
      <c r="V6" s="481">
        <f t="shared" si="3"/>
        <v>-19.959887801664166</v>
      </c>
      <c r="W6" s="38"/>
      <c r="X6" s="38"/>
      <c r="Y6" s="469"/>
      <c r="Z6" s="38"/>
      <c r="AA6" s="38"/>
    </row>
    <row r="7" spans="2:27" ht="19.5" customHeight="1" x14ac:dyDescent="0.25">
      <c r="B7" s="457" t="s">
        <v>28</v>
      </c>
      <c r="C7" s="458">
        <f t="shared" si="4"/>
        <v>16955389.957323126</v>
      </c>
      <c r="D7" s="459">
        <f t="shared" si="0"/>
        <v>0.1927176906609126</v>
      </c>
      <c r="E7" s="888">
        <f>C7/ORÇAMENTO_EXECUTIVO_REV03!$Z$3</f>
        <v>1153.9444157536589</v>
      </c>
      <c r="G7" s="457" t="s">
        <v>28</v>
      </c>
      <c r="H7" s="458">
        <f>SUPRAESTRUTURA!G25</f>
        <v>16955389.957323126</v>
      </c>
      <c r="I7" s="459">
        <f t="shared" si="1"/>
        <v>0.19506563978684077</v>
      </c>
      <c r="J7" s="888">
        <f>H7/ORÇAMENTO_EXECUTIVO_REV03!Z$3</f>
        <v>1153.9444157536589</v>
      </c>
      <c r="O7" s="38"/>
      <c r="P7" s="458">
        <v>13332388.970733417</v>
      </c>
      <c r="Q7" s="459">
        <v>0.1782901265526011</v>
      </c>
      <c r="R7" s="888">
        <v>1069.1811019600616</v>
      </c>
      <c r="S7" s="38"/>
      <c r="T7" s="870">
        <f t="shared" si="2"/>
        <v>3623000.9865897093</v>
      </c>
      <c r="U7" s="38"/>
      <c r="V7" s="481">
        <f t="shared" si="3"/>
        <v>84.763313793597263</v>
      </c>
      <c r="W7" s="38"/>
      <c r="X7" s="38"/>
      <c r="Y7" s="469"/>
      <c r="Z7" s="38"/>
      <c r="AA7" s="38"/>
    </row>
    <row r="8" spans="2:27" ht="19.5" customHeight="1" x14ac:dyDescent="0.25">
      <c r="B8" s="462" t="s">
        <v>162</v>
      </c>
      <c r="C8" s="463">
        <f t="shared" si="4"/>
        <v>3148673.3767500008</v>
      </c>
      <c r="D8" s="464">
        <f t="shared" si="0"/>
        <v>3.5788328274377154E-2</v>
      </c>
      <c r="E8" s="889">
        <f>C8/ORÇAMENTO_EXECUTIVO_REV03!$Z$3</f>
        <v>214.29138871345137</v>
      </c>
      <c r="G8" s="462" t="s">
        <v>162</v>
      </c>
      <c r="H8" s="463">
        <f>Alvenaria!G25</f>
        <v>3148673.3767500008</v>
      </c>
      <c r="I8" s="464">
        <f t="shared" si="1"/>
        <v>3.6224350384242016E-2</v>
      </c>
      <c r="J8" s="889">
        <f>H8/ORÇAMENTO_EXECUTIVO_REV03!Z$3</f>
        <v>214.29138871345137</v>
      </c>
      <c r="O8" s="38"/>
      <c r="P8" s="463">
        <v>3148673.3767500008</v>
      </c>
      <c r="Q8" s="464">
        <v>4.2106285381102407E-2</v>
      </c>
      <c r="R8" s="889">
        <v>252.50553955902785</v>
      </c>
      <c r="S8" s="38"/>
      <c r="T8" s="870">
        <f t="shared" si="2"/>
        <v>0</v>
      </c>
      <c r="U8" s="38"/>
      <c r="V8" s="481">
        <f t="shared" si="3"/>
        <v>-38.214150845576484</v>
      </c>
      <c r="W8" s="38"/>
      <c r="X8" s="38"/>
      <c r="Y8" s="38"/>
      <c r="Z8" s="38"/>
      <c r="AA8" s="38"/>
    </row>
    <row r="9" spans="2:27" ht="19.5" customHeight="1" x14ac:dyDescent="0.25">
      <c r="B9" s="457" t="s">
        <v>551</v>
      </c>
      <c r="C9" s="458">
        <f t="shared" si="4"/>
        <v>6206500.608</v>
      </c>
      <c r="D9" s="459">
        <f t="shared" si="0"/>
        <v>7.0544084640336249E-2</v>
      </c>
      <c r="E9" s="888">
        <f>C9/ORÇAMENTO_EXECUTIVO_REV03!$Z$3</f>
        <v>422.4</v>
      </c>
      <c r="G9" s="457" t="s">
        <v>551</v>
      </c>
      <c r="H9" s="458">
        <f>Instalações!D35</f>
        <v>6206500.608</v>
      </c>
      <c r="I9" s="459">
        <f t="shared" si="1"/>
        <v>7.1403548664124877E-2</v>
      </c>
      <c r="J9" s="888">
        <f>H9/ORÇAMENTO_EXECUTIVO_REV03!Z$3</f>
        <v>422.4</v>
      </c>
      <c r="O9" s="38"/>
      <c r="P9" s="458">
        <v>5267209.7280000001</v>
      </c>
      <c r="Q9" s="459">
        <v>7.0436850518362279E-2</v>
      </c>
      <c r="R9" s="888">
        <v>422.40000000000003</v>
      </c>
      <c r="S9" s="38"/>
      <c r="T9" s="870">
        <f t="shared" si="2"/>
        <v>939290.87999999989</v>
      </c>
      <c r="U9" s="38"/>
      <c r="V9" s="481">
        <f t="shared" si="3"/>
        <v>0</v>
      </c>
      <c r="W9" s="38"/>
      <c r="X9" s="38"/>
      <c r="Y9" s="470"/>
      <c r="Z9" s="38"/>
      <c r="AA9" s="38"/>
    </row>
    <row r="10" spans="2:27" ht="19.5" customHeight="1" x14ac:dyDescent="0.25">
      <c r="B10" s="462" t="s">
        <v>552</v>
      </c>
      <c r="C10" s="463">
        <f t="shared" si="4"/>
        <v>7227828.5380000006</v>
      </c>
      <c r="D10" s="464">
        <f t="shared" si="0"/>
        <v>8.2152662241471233E-2</v>
      </c>
      <c r="E10" s="889">
        <f>C10/ORÇAMENTO_EXECUTIVO_REV03!$Z$3</f>
        <v>491.90920411993943</v>
      </c>
      <c r="G10" s="462" t="s">
        <v>552</v>
      </c>
      <c r="H10" s="463">
        <f>'Sistemas Especiais'!D45</f>
        <v>7227828.5380000006</v>
      </c>
      <c r="I10" s="464">
        <f t="shared" si="1"/>
        <v>8.3153557752625562E-2</v>
      </c>
      <c r="J10" s="889">
        <f>H10/ORÇAMENTO_EXECUTIVO_REV03!Z$3</f>
        <v>491.90920411993943</v>
      </c>
      <c r="O10" s="38"/>
      <c r="P10" s="463">
        <v>6870035.2080000006</v>
      </c>
      <c r="Q10" s="464">
        <v>9.1870965461920931E-2</v>
      </c>
      <c r="R10" s="889">
        <v>550.9374074157239</v>
      </c>
      <c r="S10" s="38"/>
      <c r="T10" s="870">
        <f t="shared" si="2"/>
        <v>357793.33000000007</v>
      </c>
      <c r="U10" s="38"/>
      <c r="V10" s="481">
        <f t="shared" si="3"/>
        <v>-59.028203295784465</v>
      </c>
      <c r="W10" s="38"/>
      <c r="X10" s="471"/>
      <c r="Y10" s="472"/>
      <c r="Z10" s="38"/>
      <c r="AA10" s="38"/>
    </row>
    <row r="11" spans="2:27" ht="19.5" customHeight="1" x14ac:dyDescent="0.25">
      <c r="B11" s="457" t="s">
        <v>216</v>
      </c>
      <c r="C11" s="458">
        <f t="shared" si="4"/>
        <v>1260169.0552000001</v>
      </c>
      <c r="D11" s="459">
        <f t="shared" si="0"/>
        <v>1.4323284263692022E-2</v>
      </c>
      <c r="E11" s="888">
        <f>C11/ORÇAMENTO_EXECUTIVO_REV03!$Z$3</f>
        <v>85.764175746694789</v>
      </c>
      <c r="G11" s="457" t="s">
        <v>216</v>
      </c>
      <c r="H11" s="458">
        <f>Impermeabilização!G28</f>
        <v>1260169.0552000001</v>
      </c>
      <c r="I11" s="459">
        <f t="shared" si="1"/>
        <v>1.4497790001343939E-2</v>
      </c>
      <c r="J11" s="888">
        <f>H11/ORÇAMENTO_EXECUTIVO_REV03!Z$3</f>
        <v>85.764175746694789</v>
      </c>
      <c r="O11" s="38"/>
      <c r="P11" s="458">
        <v>1100757.3433999999</v>
      </c>
      <c r="Q11" s="459">
        <v>1.4720105038136687E-2</v>
      </c>
      <c r="R11" s="888">
        <v>88.274423435329737</v>
      </c>
      <c r="S11" s="38"/>
      <c r="T11" s="870">
        <f t="shared" si="2"/>
        <v>159411.71180000016</v>
      </c>
      <c r="U11" s="38"/>
      <c r="V11" s="481">
        <f t="shared" si="3"/>
        <v>-2.5102476886349478</v>
      </c>
      <c r="W11" s="38"/>
      <c r="X11" s="38"/>
      <c r="Y11" s="470"/>
      <c r="Z11" s="473"/>
      <c r="AA11" s="38"/>
    </row>
    <row r="12" spans="2:27" ht="19.5" customHeight="1" x14ac:dyDescent="0.25">
      <c r="B12" s="462" t="s">
        <v>171</v>
      </c>
      <c r="C12" s="463">
        <f t="shared" si="4"/>
        <v>1754484.6086989837</v>
      </c>
      <c r="D12" s="464">
        <f t="shared" si="0"/>
        <v>1.9941754388405973E-2</v>
      </c>
      <c r="E12" s="889">
        <f>C12/ORÇAMENTO_EXECUTIVO_REV03!$Z$3</f>
        <v>119.40614293329828</v>
      </c>
      <c r="G12" s="462" t="s">
        <v>171</v>
      </c>
      <c r="H12" s="463">
        <f>'Acabamentos de Piso'!G33+'Rev. Internos de Parede'!G23</f>
        <v>1754484.6086989837</v>
      </c>
      <c r="I12" s="464">
        <f t="shared" si="1"/>
        <v>2.0184711973800225E-2</v>
      </c>
      <c r="J12" s="889">
        <f>H12/ORÇAMENTO_EXECUTIVO_REV03!Z$3</f>
        <v>119.40614293329828</v>
      </c>
      <c r="O12" s="38"/>
      <c r="P12" s="463">
        <v>1637724.5641964758</v>
      </c>
      <c r="Q12" s="464">
        <v>2.1900810158618611E-2</v>
      </c>
      <c r="R12" s="889">
        <v>131.33611373763611</v>
      </c>
      <c r="S12" s="38"/>
      <c r="T12" s="870">
        <f t="shared" si="2"/>
        <v>116760.0445025079</v>
      </c>
      <c r="U12" s="38"/>
      <c r="V12" s="481">
        <f t="shared" si="3"/>
        <v>-11.929970804337827</v>
      </c>
      <c r="W12" s="38"/>
      <c r="X12" s="870"/>
      <c r="Y12" s="366"/>
      <c r="Z12" s="38"/>
      <c r="AA12" s="38"/>
    </row>
    <row r="13" spans="2:27" ht="19.5" customHeight="1" x14ac:dyDescent="0.25">
      <c r="B13" s="457" t="s">
        <v>553</v>
      </c>
      <c r="C13" s="458">
        <f t="shared" si="4"/>
        <v>1764973.6104000001</v>
      </c>
      <c r="D13" s="459">
        <f t="shared" si="0"/>
        <v>2.0060974069595623E-2</v>
      </c>
      <c r="E13" s="888">
        <f>C13/ORÇAMENTO_EXECUTIVO_REV03!$Z$3</f>
        <v>120.12</v>
      </c>
      <c r="G13" s="457" t="s">
        <v>553</v>
      </c>
      <c r="H13" s="458">
        <f>'Acabamentos de Teto'!G21</f>
        <v>1764973.6104000001</v>
      </c>
      <c r="I13" s="459">
        <f t="shared" si="1"/>
        <v>2.0305384151360514E-2</v>
      </c>
      <c r="J13" s="888">
        <f>H13/ORÇAMENTO_EXECUTIVO_REV03!Z$3</f>
        <v>120.12</v>
      </c>
      <c r="O13" s="38"/>
      <c r="P13" s="458">
        <v>1292981.4260000016</v>
      </c>
      <c r="Q13" s="459">
        <v>1.7290661304417497E-2</v>
      </c>
      <c r="R13" s="888">
        <v>103.68969198987641</v>
      </c>
      <c r="S13" s="38"/>
      <c r="T13" s="870">
        <f t="shared" si="2"/>
        <v>471992.18439999851</v>
      </c>
      <c r="U13" s="38"/>
      <c r="V13" s="481">
        <f t="shared" si="3"/>
        <v>16.430308010123596</v>
      </c>
      <c r="W13" s="38"/>
      <c r="X13" s="38"/>
      <c r="Y13" s="38"/>
      <c r="Z13" s="474"/>
      <c r="AA13" s="38"/>
    </row>
    <row r="14" spans="2:27" ht="19.5" customHeight="1" x14ac:dyDescent="0.25">
      <c r="B14" s="462" t="s">
        <v>185</v>
      </c>
      <c r="C14" s="463">
        <f t="shared" si="4"/>
        <v>4311125.5016342858</v>
      </c>
      <c r="D14" s="464">
        <f t="shared" si="0"/>
        <v>4.9000946183811463E-2</v>
      </c>
      <c r="E14" s="889">
        <f>C14/ORÇAMENTO_EXECUTIVO_REV03!$Z$3</f>
        <v>293.40517739466276</v>
      </c>
      <c r="G14" s="462" t="s">
        <v>185</v>
      </c>
      <c r="H14" s="463">
        <f>'Acabamentos de Piso'!G34+'Rev. Internos de Parede'!G24</f>
        <v>4311125.5016342858</v>
      </c>
      <c r="I14" s="464">
        <f t="shared" si="1"/>
        <v>4.9597942382589959E-2</v>
      </c>
      <c r="J14" s="889">
        <f>H14/ORÇAMENTO_EXECUTIVO_REV03!Z$3</f>
        <v>293.40517739466276</v>
      </c>
      <c r="O14" s="38"/>
      <c r="P14" s="463">
        <v>4169253.4416342853</v>
      </c>
      <c r="Q14" s="464">
        <v>5.5754203194234686E-2</v>
      </c>
      <c r="R14" s="889">
        <v>334.35020526798399</v>
      </c>
      <c r="S14" s="38"/>
      <c r="T14" s="870">
        <f t="shared" si="2"/>
        <v>141872.06000000052</v>
      </c>
      <c r="U14" s="38"/>
      <c r="V14" s="481">
        <f t="shared" si="3"/>
        <v>-40.945027873321237</v>
      </c>
      <c r="W14" s="38"/>
      <c r="X14" s="38"/>
      <c r="Y14" s="38"/>
      <c r="Z14" s="366"/>
      <c r="AA14" s="38"/>
    </row>
    <row r="15" spans="2:27" ht="19.5" customHeight="1" x14ac:dyDescent="0.25">
      <c r="B15" s="457" t="s">
        <v>554</v>
      </c>
      <c r="C15" s="458">
        <f t="shared" si="4"/>
        <v>2297072.5250000004</v>
      </c>
      <c r="D15" s="459">
        <f t="shared" si="0"/>
        <v>2.6108895956558801E-2</v>
      </c>
      <c r="E15" s="888">
        <f>C15/ORÇAMENTO_EXECUTIVO_REV03!$Z$3</f>
        <v>156.33341488911367</v>
      </c>
      <c r="G15" s="457" t="s">
        <v>554</v>
      </c>
      <c r="H15" s="458">
        <f>'Pintura Interna'!G21</f>
        <v>2297072.5250000004</v>
      </c>
      <c r="I15" s="459">
        <f t="shared" si="1"/>
        <v>2.6426990051760541E-2</v>
      </c>
      <c r="J15" s="888">
        <f>H15/ORÇAMENTO_EXECUTIVO_REV03!Z$3</f>
        <v>156.33341488911367</v>
      </c>
      <c r="O15" s="38"/>
      <c r="P15" s="458">
        <v>2000841.4250000003</v>
      </c>
      <c r="Q15" s="459">
        <v>2.6756665415179001E-2</v>
      </c>
      <c r="R15" s="888">
        <v>160.45600262074854</v>
      </c>
      <c r="S15" s="38"/>
      <c r="T15" s="870">
        <f>H15-P15</f>
        <v>296231.10000000009</v>
      </c>
      <c r="U15" s="38"/>
      <c r="V15" s="481">
        <f t="shared" si="3"/>
        <v>-4.1225877316348658</v>
      </c>
      <c r="W15" s="38"/>
      <c r="X15" s="38" t="s">
        <v>1239</v>
      </c>
      <c r="Y15" s="38"/>
      <c r="Z15" s="38"/>
      <c r="AA15" s="38"/>
    </row>
    <row r="16" spans="2:27" ht="19.5" customHeight="1" x14ac:dyDescent="0.25">
      <c r="B16" s="462" t="s">
        <v>555</v>
      </c>
      <c r="C16" s="463">
        <f t="shared" si="4"/>
        <v>9402166.3945000023</v>
      </c>
      <c r="D16" s="464">
        <f t="shared" si="0"/>
        <v>0.10686653620579703</v>
      </c>
      <c r="E16" s="889">
        <f>C16/ORÇAMENTO_EXECUTIVO_REV03!$Z$3</f>
        <v>639.88958285409399</v>
      </c>
      <c r="G16" s="462" t="s">
        <v>555</v>
      </c>
      <c r="H16" s="463">
        <f>Esquadrias!G29</f>
        <v>9402166.3945000023</v>
      </c>
      <c r="I16" s="464">
        <f t="shared" si="1"/>
        <v>0.10816852975612896</v>
      </c>
      <c r="J16" s="889">
        <f>H16/ORÇAMENTO_EXECUTIVO_REV03!Z$3</f>
        <v>639.88958285409399</v>
      </c>
      <c r="O16" s="38"/>
      <c r="P16" s="463">
        <v>9377705.694500003</v>
      </c>
      <c r="Q16" s="464">
        <v>0.12540530723455776</v>
      </c>
      <c r="R16" s="889">
        <v>752.03819287842896</v>
      </c>
      <c r="S16" s="38"/>
      <c r="T16" s="870">
        <f t="shared" si="2"/>
        <v>24460.699999999255</v>
      </c>
      <c r="U16" s="38"/>
      <c r="V16" s="481">
        <f t="shared" si="3"/>
        <v>-112.14861002433497</v>
      </c>
      <c r="W16" s="38"/>
      <c r="X16" s="38"/>
      <c r="Y16" s="38"/>
      <c r="Z16" s="38"/>
      <c r="AA16" s="38"/>
    </row>
    <row r="17" spans="2:27" ht="19.5" customHeight="1" x14ac:dyDescent="0.25">
      <c r="B17" s="457" t="s">
        <v>556</v>
      </c>
      <c r="C17" s="458">
        <f t="shared" si="4"/>
        <v>3087626.2103809789</v>
      </c>
      <c r="D17" s="459">
        <f t="shared" si="0"/>
        <v>3.5094456357916214E-2</v>
      </c>
      <c r="E17" s="888">
        <f>C17/ORÇAMENTO_EXECUTIVO_REV03!$Z$3</f>
        <v>210.1366605174955</v>
      </c>
      <c r="G17" s="457" t="s">
        <v>556</v>
      </c>
      <c r="H17" s="458">
        <f>SUM(FACHADA!K11:K20)</f>
        <v>3087626.2103809789</v>
      </c>
      <c r="I17" s="459">
        <f t="shared" si="1"/>
        <v>3.5522024775988828E-2</v>
      </c>
      <c r="J17" s="888">
        <f>H17/ORÇAMENTO_EXECUTIVO_REV03!Z$3</f>
        <v>210.1366605174955</v>
      </c>
      <c r="O17" s="38"/>
      <c r="P17" s="458">
        <v>3087626.2103809789</v>
      </c>
      <c r="Q17" s="459">
        <v>4.1289919533878568E-2</v>
      </c>
      <c r="R17" s="888">
        <v>247.60990706936315</v>
      </c>
      <c r="S17" s="38"/>
      <c r="T17" s="870">
        <f t="shared" si="2"/>
        <v>0</v>
      </c>
      <c r="U17" s="38"/>
      <c r="V17" s="481">
        <f t="shared" si="3"/>
        <v>-37.473246551867646</v>
      </c>
      <c r="W17" s="38"/>
      <c r="X17" s="38"/>
      <c r="Y17" s="38"/>
      <c r="Z17" s="38"/>
      <c r="AA17" s="38"/>
    </row>
    <row r="18" spans="2:27" ht="19.5" customHeight="1" x14ac:dyDescent="0.25">
      <c r="B18" s="462" t="s">
        <v>271</v>
      </c>
      <c r="C18" s="463">
        <f t="shared" si="4"/>
        <v>3531038.3132285946</v>
      </c>
      <c r="D18" s="464">
        <f t="shared" si="0"/>
        <v>4.0134349671309681E-2</v>
      </c>
      <c r="E18" s="889">
        <f>C18/ORÇAMENTO_EXECUTIVO_REV03!$Z$3</f>
        <v>240.31425721367759</v>
      </c>
      <c r="G18" s="462" t="s">
        <v>271</v>
      </c>
      <c r="H18" s="463">
        <f>Complementares!F17</f>
        <v>3531038.3132285946</v>
      </c>
      <c r="I18" s="464">
        <f t="shared" si="1"/>
        <v>4.0623320927177679E-2</v>
      </c>
      <c r="J18" s="889">
        <f>H18/ORÇAMENTO_EXECUTIVO_REV03!Z$3</f>
        <v>240.31425721367759</v>
      </c>
      <c r="O18" s="38"/>
      <c r="P18" s="463">
        <v>3416073.0232285941</v>
      </c>
      <c r="Q18" s="464">
        <v>4.568214240983464E-2</v>
      </c>
      <c r="R18" s="889">
        <v>273.94945702298003</v>
      </c>
      <c r="S18" s="38"/>
      <c r="T18" s="870">
        <f t="shared" si="2"/>
        <v>114965.2900000005</v>
      </c>
      <c r="U18" s="38"/>
      <c r="V18" s="481">
        <f t="shared" si="3"/>
        <v>-33.635199809302435</v>
      </c>
      <c r="W18" s="38"/>
      <c r="X18" s="38"/>
      <c r="Y18" s="38"/>
      <c r="Z18" s="38"/>
      <c r="AA18" s="38"/>
    </row>
    <row r="19" spans="2:27" ht="19.5" customHeight="1" x14ac:dyDescent="0.25">
      <c r="B19" s="457" t="s">
        <v>557</v>
      </c>
      <c r="C19" s="458">
        <f>SUM(C3:C18)*0.03</f>
        <v>2562537.5010616961</v>
      </c>
      <c r="D19" s="459">
        <f t="shared" si="0"/>
        <v>2.9126213592233011E-2</v>
      </c>
      <c r="E19" s="888">
        <f>C19/ORÇAMENTO_EXECUTIVO_REV03!$Z$3</f>
        <v>174.40034389962963</v>
      </c>
      <c r="G19" s="457" t="s">
        <v>557</v>
      </c>
      <c r="H19" s="458">
        <f>SUM(H3:H18)*0.03</f>
        <v>2531692.9725616956</v>
      </c>
      <c r="I19" s="459">
        <f t="shared" si="1"/>
        <v>2.9126213592233007E-2</v>
      </c>
      <c r="J19" s="888">
        <f>H19/ORÇAMENTO_EXECUTIVO_REV03!Z$3</f>
        <v>172.30113700974283</v>
      </c>
      <c r="O19" s="38"/>
      <c r="P19" s="458">
        <v>2178034.2880722904</v>
      </c>
      <c r="Q19" s="459">
        <v>2.9126213592233007E-2</v>
      </c>
      <c r="R19" s="888">
        <v>174.66585360956705</v>
      </c>
      <c r="S19" s="38"/>
      <c r="T19" s="870">
        <f t="shared" si="2"/>
        <v>353658.68448940525</v>
      </c>
      <c r="U19" s="38"/>
      <c r="V19" s="481">
        <f t="shared" si="3"/>
        <v>-2.3647165998242201</v>
      </c>
      <c r="W19" s="38"/>
      <c r="X19" s="38"/>
      <c r="Y19" s="38"/>
      <c r="Z19" s="38"/>
      <c r="AA19" s="38"/>
    </row>
    <row r="20" spans="2:27" ht="19.5" customHeight="1" x14ac:dyDescent="0.25">
      <c r="B20" s="455" t="s">
        <v>17</v>
      </c>
      <c r="C20" s="475">
        <f>SUM(C3:C19)</f>
        <v>87980454.203118235</v>
      </c>
      <c r="D20" s="476">
        <f>SUM(D3:D19)</f>
        <v>0.99999999999999978</v>
      </c>
      <c r="E20" s="477">
        <f>SUM(E3:E19)</f>
        <v>5987.7451405539496</v>
      </c>
      <c r="G20" s="455" t="s">
        <v>17</v>
      </c>
      <c r="H20" s="475">
        <f>SUM(H3:H19)</f>
        <v>86921458.724618226</v>
      </c>
      <c r="I20" s="476">
        <f>SUM(I3:I19)</f>
        <v>1.0000000000000002</v>
      </c>
      <c r="J20" s="477">
        <f>SUM(J3:J19)</f>
        <v>5915.6723706678376</v>
      </c>
      <c r="O20" s="38"/>
      <c r="P20" s="475">
        <v>74779177.223815307</v>
      </c>
      <c r="Q20" s="476">
        <v>1.0000000000000002</v>
      </c>
      <c r="R20" s="477">
        <v>5996.8609739284711</v>
      </c>
      <c r="S20" s="38"/>
      <c r="T20" s="38"/>
      <c r="U20" s="38"/>
      <c r="V20" s="38"/>
      <c r="W20" s="38"/>
      <c r="X20" s="366"/>
      <c r="Y20" s="38"/>
      <c r="Z20" s="38"/>
      <c r="AA20" s="38"/>
    </row>
    <row r="21" spans="2:27" ht="19.5" customHeight="1" x14ac:dyDescent="0.25">
      <c r="B21" s="455" t="s">
        <v>599</v>
      </c>
      <c r="C21" s="475">
        <v>2758.46</v>
      </c>
      <c r="D21" s="478">
        <v>45413</v>
      </c>
      <c r="E21" s="477">
        <f>+E20/C21</f>
        <v>2.1706840557970568</v>
      </c>
      <c r="G21" s="455" t="s">
        <v>599</v>
      </c>
      <c r="H21" s="475">
        <v>2758.46</v>
      </c>
      <c r="I21" s="478">
        <v>45413</v>
      </c>
      <c r="J21" s="477">
        <f>+J20/H21</f>
        <v>2.144556154763106</v>
      </c>
      <c r="O21" s="38"/>
      <c r="P21" s="475">
        <v>2758.46</v>
      </c>
      <c r="Q21" s="478">
        <v>45413</v>
      </c>
      <c r="R21" s="477">
        <v>2.1739887378930529</v>
      </c>
      <c r="S21" s="38"/>
      <c r="T21" s="38"/>
      <c r="U21" s="38"/>
      <c r="V21" s="38"/>
      <c r="W21" s="38"/>
      <c r="X21" s="366"/>
      <c r="Y21" s="38"/>
      <c r="Z21" s="38"/>
      <c r="AA21" s="38"/>
    </row>
    <row r="22" spans="2:27" ht="22.5" customHeight="1" x14ac:dyDescent="0.25">
      <c r="B22" s="38"/>
      <c r="C22" s="38"/>
      <c r="D22" s="508"/>
      <c r="E22" s="470"/>
      <c r="G22" s="38"/>
      <c r="H22" s="38"/>
      <c r="I22" s="508"/>
      <c r="J22" s="470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66"/>
      <c r="Z22" s="38"/>
      <c r="AA22" s="38"/>
    </row>
    <row r="23" spans="2:27" ht="22.5" customHeight="1" x14ac:dyDescent="0.25">
      <c r="B23" s="38"/>
      <c r="C23" s="366"/>
      <c r="D23" s="470"/>
      <c r="E23" s="470"/>
      <c r="G23" s="38"/>
      <c r="H23" s="366"/>
      <c r="I23" s="470"/>
      <c r="J23" s="470"/>
      <c r="O23" s="38"/>
      <c r="P23" s="38"/>
      <c r="Q23" s="38"/>
      <c r="R23" s="870">
        <f>H20-P20</f>
        <v>12142281.500802919</v>
      </c>
      <c r="S23" s="38"/>
      <c r="T23" s="38"/>
      <c r="U23" s="38"/>
      <c r="V23" s="38"/>
      <c r="W23" s="38"/>
      <c r="X23" s="38"/>
      <c r="Y23" s="38"/>
      <c r="Z23" s="38"/>
      <c r="AA23" s="38"/>
    </row>
    <row r="24" spans="2:27" ht="15" customHeight="1" x14ac:dyDescent="0.25">
      <c r="B24" s="38"/>
      <c r="C24" s="38"/>
      <c r="D24" s="470"/>
      <c r="E24" s="470"/>
      <c r="G24" s="38"/>
      <c r="H24" s="38"/>
      <c r="I24" s="470"/>
      <c r="J24" s="470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66"/>
      <c r="Z24" s="38"/>
      <c r="AA24" s="38"/>
    </row>
    <row r="25" spans="2:27" ht="19.5" customHeight="1" x14ac:dyDescent="0.25">
      <c r="B25" s="38"/>
      <c r="C25" s="38"/>
      <c r="D25" s="470"/>
      <c r="E25" s="470"/>
      <c r="G25" s="38"/>
      <c r="H25" s="38"/>
      <c r="I25" s="470"/>
      <c r="J25" s="470"/>
      <c r="O25" s="38"/>
      <c r="P25" s="38"/>
      <c r="Q25" s="38"/>
      <c r="R25" s="38"/>
      <c r="S25" s="38"/>
      <c r="T25" s="38"/>
      <c r="U25" s="38"/>
      <c r="V25" s="38"/>
      <c r="W25" s="38"/>
      <c r="X25" s="472"/>
      <c r="Y25" s="38"/>
      <c r="Z25" s="366"/>
      <c r="AA25" s="38"/>
    </row>
    <row r="26" spans="2:27" ht="19.5" customHeight="1" x14ac:dyDescent="0.45">
      <c r="B26" s="38"/>
      <c r="C26" s="38"/>
      <c r="D26" s="470"/>
      <c r="E26" s="470"/>
      <c r="G26" s="38"/>
      <c r="H26" s="38"/>
      <c r="I26" s="470"/>
      <c r="J26" s="470"/>
      <c r="O26" s="38"/>
      <c r="P26" s="38"/>
      <c r="Q26" s="38"/>
      <c r="R26" s="38"/>
      <c r="S26" s="38"/>
      <c r="T26" s="38"/>
      <c r="U26" s="38"/>
      <c r="V26" s="38"/>
      <c r="W26" s="38"/>
      <c r="X26" s="479"/>
      <c r="Y26" s="366"/>
      <c r="Z26" s="366"/>
      <c r="AA26" s="38"/>
    </row>
    <row r="27" spans="2:27" ht="19.5" customHeight="1" x14ac:dyDescent="0.25">
      <c r="B27" s="38"/>
      <c r="C27" s="38"/>
      <c r="D27" s="470"/>
      <c r="E27" s="470"/>
      <c r="G27" s="38"/>
      <c r="H27" s="38"/>
      <c r="I27" s="470"/>
      <c r="J27" s="470"/>
      <c r="O27" s="38"/>
      <c r="P27" s="38"/>
      <c r="Q27" s="38"/>
      <c r="R27" s="38"/>
      <c r="S27" s="38"/>
      <c r="T27" s="38"/>
      <c r="U27" s="38"/>
      <c r="V27" s="38"/>
      <c r="W27" s="38"/>
      <c r="X27" s="480"/>
      <c r="Y27" s="481"/>
      <c r="Z27" s="38"/>
      <c r="AA27" s="38"/>
    </row>
    <row r="28" spans="2:27" ht="19.5" customHeight="1" x14ac:dyDescent="0.25">
      <c r="B28" s="38"/>
      <c r="C28" s="38"/>
      <c r="D28" s="470"/>
      <c r="E28" s="470"/>
      <c r="G28" s="38"/>
      <c r="H28" s="38"/>
      <c r="I28" s="470"/>
      <c r="J28" s="470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481"/>
      <c r="Z28" s="38"/>
      <c r="AA28" s="38"/>
    </row>
    <row r="29" spans="2:27" ht="19.5" customHeight="1" x14ac:dyDescent="0.25">
      <c r="B29" s="38"/>
      <c r="C29" s="38"/>
      <c r="D29" s="470"/>
      <c r="E29" s="470"/>
      <c r="G29" s="38"/>
      <c r="H29" s="38"/>
      <c r="I29" s="470"/>
      <c r="J29" s="470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</row>
    <row r="30" spans="2:27" ht="19.5" customHeight="1" x14ac:dyDescent="0.25">
      <c r="B30" s="38"/>
      <c r="C30" s="38"/>
      <c r="D30" s="470"/>
      <c r="E30" s="470"/>
      <c r="G30" s="38"/>
      <c r="H30" s="38"/>
      <c r="I30" s="470"/>
      <c r="J30" s="470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</row>
    <row r="31" spans="2:27" ht="19.5" customHeight="1" x14ac:dyDescent="0.25">
      <c r="B31" s="38"/>
      <c r="C31" s="38"/>
      <c r="D31" s="470"/>
      <c r="E31" s="470"/>
      <c r="G31" s="38"/>
      <c r="H31" s="38"/>
      <c r="I31" s="470"/>
      <c r="J31" s="470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66"/>
      <c r="Z31" s="38"/>
      <c r="AA31" s="38"/>
    </row>
    <row r="32" spans="2:27" ht="19.5" customHeight="1" x14ac:dyDescent="0.25">
      <c r="B32" s="38"/>
      <c r="C32" s="38"/>
      <c r="D32" s="470"/>
      <c r="E32" s="470"/>
      <c r="G32" s="38"/>
      <c r="H32" s="38"/>
      <c r="I32" s="470"/>
      <c r="J32" s="470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</row>
    <row r="33" spans="2:27" ht="19.5" customHeight="1" x14ac:dyDescent="0.25">
      <c r="B33" s="38"/>
      <c r="C33" s="38"/>
      <c r="D33" s="470"/>
      <c r="E33" s="470"/>
      <c r="G33" s="38"/>
      <c r="H33" s="38"/>
      <c r="I33" s="470"/>
      <c r="J33" s="470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66"/>
      <c r="Z33" s="38"/>
      <c r="AA33" s="38"/>
    </row>
    <row r="34" spans="2:27" ht="19.5" customHeight="1" x14ac:dyDescent="0.25">
      <c r="B34" s="38"/>
      <c r="C34" s="38"/>
      <c r="D34" s="470"/>
      <c r="E34" s="470"/>
      <c r="G34" s="38"/>
      <c r="H34" s="38"/>
      <c r="I34" s="470"/>
      <c r="J34" s="470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</row>
    <row r="35" spans="2:27" ht="19.5" customHeight="1" x14ac:dyDescent="0.25">
      <c r="B35" s="38"/>
      <c r="C35" s="38"/>
      <c r="D35" s="470"/>
      <c r="E35" s="470"/>
      <c r="G35" s="38"/>
      <c r="H35" s="38"/>
      <c r="I35" s="470"/>
      <c r="J35" s="470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</row>
    <row r="36" spans="2:27" ht="19.5" customHeight="1" x14ac:dyDescent="0.25">
      <c r="B36" s="38"/>
      <c r="C36" s="38"/>
      <c r="D36" s="470"/>
      <c r="E36" s="470"/>
      <c r="G36" s="38"/>
      <c r="H36" s="38"/>
      <c r="I36" s="470"/>
      <c r="J36" s="470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</row>
    <row r="37" spans="2:27" ht="19.5" customHeight="1" x14ac:dyDescent="0.25">
      <c r="B37" s="38"/>
      <c r="C37" s="38"/>
      <c r="D37" s="470"/>
      <c r="E37" s="470"/>
      <c r="G37" s="38"/>
      <c r="H37" s="38"/>
      <c r="I37" s="470"/>
      <c r="J37" s="470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2:27" ht="19.5" customHeight="1" x14ac:dyDescent="0.25">
      <c r="B38" s="38"/>
      <c r="C38" s="38"/>
      <c r="D38" s="470"/>
      <c r="E38" s="470"/>
      <c r="G38" s="38"/>
      <c r="H38" s="38"/>
      <c r="I38" s="470"/>
      <c r="J38" s="470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2:27" ht="19.5" customHeight="1" x14ac:dyDescent="0.25">
      <c r="B39" s="38"/>
      <c r="C39" s="38"/>
      <c r="D39" s="470"/>
      <c r="E39" s="470"/>
      <c r="G39" s="38"/>
      <c r="H39" s="38"/>
      <c r="I39" s="470"/>
      <c r="J39" s="470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2:27" ht="19.5" customHeight="1" x14ac:dyDescent="0.25">
      <c r="B40" s="38"/>
      <c r="C40" s="38"/>
      <c r="D40" s="470"/>
      <c r="E40" s="470"/>
      <c r="G40" s="38"/>
      <c r="H40" s="38"/>
      <c r="I40" s="470"/>
      <c r="J40" s="470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2:27" ht="19.5" customHeight="1" x14ac:dyDescent="0.25">
      <c r="B41" s="38"/>
      <c r="C41" s="38"/>
      <c r="D41" s="470"/>
      <c r="E41" s="470"/>
      <c r="G41" s="38"/>
      <c r="H41" s="38"/>
      <c r="I41" s="470"/>
      <c r="J41" s="470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2:27" ht="19.5" customHeight="1" x14ac:dyDescent="0.25">
      <c r="B42" s="38"/>
      <c r="C42" s="38"/>
      <c r="D42" s="470"/>
      <c r="E42" s="470"/>
      <c r="G42" s="38"/>
      <c r="H42" s="38"/>
      <c r="I42" s="470"/>
      <c r="J42" s="470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2:27" ht="19.5" customHeight="1" x14ac:dyDescent="0.25">
      <c r="B43" s="38"/>
      <c r="C43" s="38"/>
      <c r="D43" s="470"/>
      <c r="E43" s="470"/>
      <c r="G43" s="38"/>
      <c r="H43" s="38"/>
      <c r="I43" s="470"/>
      <c r="J43" s="470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2:27" ht="19.5" customHeight="1" x14ac:dyDescent="0.25">
      <c r="B44" s="38"/>
      <c r="C44" s="38"/>
      <c r="D44" s="470"/>
      <c r="E44" s="470"/>
      <c r="G44" s="38"/>
      <c r="H44" s="38"/>
      <c r="I44" s="470"/>
      <c r="J44" s="470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2:27" ht="19.5" customHeight="1" x14ac:dyDescent="0.25">
      <c r="B45" s="38"/>
      <c r="C45" s="38"/>
      <c r="D45" s="470"/>
      <c r="E45" s="470"/>
      <c r="G45" s="38"/>
      <c r="H45" s="38"/>
      <c r="I45" s="470"/>
      <c r="J45" s="470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2:27" ht="19.5" customHeight="1" x14ac:dyDescent="0.25">
      <c r="B46" s="38"/>
      <c r="C46" s="38"/>
      <c r="D46" s="470"/>
      <c r="E46" s="470"/>
      <c r="G46" s="38"/>
      <c r="H46" s="38"/>
      <c r="I46" s="470"/>
      <c r="J46" s="470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2:27" ht="19.5" customHeight="1" x14ac:dyDescent="0.25">
      <c r="B47" s="38"/>
      <c r="C47" s="38"/>
      <c r="D47" s="470"/>
      <c r="E47" s="470"/>
      <c r="G47" s="38"/>
      <c r="H47" s="38"/>
      <c r="I47" s="470"/>
      <c r="J47" s="470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2:27" ht="19.5" customHeight="1" x14ac:dyDescent="0.25">
      <c r="B48" s="38"/>
      <c r="C48" s="38"/>
      <c r="D48" s="470"/>
      <c r="E48" s="470"/>
      <c r="G48" s="38"/>
      <c r="H48" s="38"/>
      <c r="I48" s="470"/>
      <c r="J48" s="470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2:27" ht="19.5" customHeight="1" x14ac:dyDescent="0.25">
      <c r="B49" s="38"/>
      <c r="C49" s="38"/>
      <c r="D49" s="470"/>
      <c r="E49" s="470"/>
      <c r="G49" s="38"/>
      <c r="H49" s="38"/>
      <c r="I49" s="470"/>
      <c r="J49" s="470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2:27" ht="19.5" customHeight="1" x14ac:dyDescent="0.25">
      <c r="B50" s="38"/>
      <c r="C50" s="38"/>
      <c r="D50" s="470"/>
      <c r="E50" s="470"/>
      <c r="G50" s="38"/>
      <c r="H50" s="38"/>
      <c r="I50" s="470"/>
      <c r="J50" s="470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2:27" ht="19.5" customHeight="1" x14ac:dyDescent="0.25">
      <c r="B51" s="38"/>
      <c r="C51" s="38"/>
      <c r="D51" s="470"/>
      <c r="E51" s="470"/>
      <c r="G51" s="38"/>
      <c r="H51" s="38"/>
      <c r="I51" s="470"/>
      <c r="J51" s="470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2:27" ht="19.5" customHeight="1" x14ac:dyDescent="0.25">
      <c r="B52" s="38"/>
      <c r="C52" s="38"/>
      <c r="D52" s="470"/>
      <c r="E52" s="470"/>
      <c r="G52" s="38"/>
      <c r="H52" s="38"/>
      <c r="I52" s="470"/>
      <c r="J52" s="470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2:27" ht="19.5" customHeight="1" x14ac:dyDescent="0.25">
      <c r="B53" s="38"/>
      <c r="C53" s="38"/>
      <c r="D53" s="470"/>
      <c r="E53" s="470"/>
      <c r="G53" s="38"/>
      <c r="H53" s="38"/>
      <c r="I53" s="470"/>
      <c r="J53" s="470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2:27" ht="19.5" customHeight="1" x14ac:dyDescent="0.25">
      <c r="B54" s="38"/>
      <c r="C54" s="38"/>
      <c r="D54" s="470"/>
      <c r="E54" s="470"/>
      <c r="G54" s="38"/>
      <c r="H54" s="38"/>
      <c r="I54" s="470"/>
      <c r="J54" s="470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2:27" ht="19.5" customHeight="1" x14ac:dyDescent="0.25">
      <c r="B55" s="38"/>
      <c r="C55" s="38"/>
      <c r="D55" s="470"/>
      <c r="E55" s="470"/>
      <c r="G55" s="38"/>
      <c r="H55" s="38"/>
      <c r="I55" s="470"/>
      <c r="J55" s="470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2:27" ht="19.5" customHeight="1" x14ac:dyDescent="0.25">
      <c r="B56" s="38"/>
      <c r="C56" s="38"/>
      <c r="D56" s="470"/>
      <c r="E56" s="470"/>
      <c r="G56" s="38"/>
      <c r="H56" s="38"/>
      <c r="I56" s="470"/>
      <c r="J56" s="470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2:27" ht="19.5" customHeight="1" x14ac:dyDescent="0.25">
      <c r="B57" s="38"/>
      <c r="C57" s="38"/>
      <c r="D57" s="470"/>
      <c r="E57" s="470"/>
      <c r="G57" s="38"/>
      <c r="H57" s="38"/>
      <c r="I57" s="470"/>
      <c r="J57" s="470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2:27" ht="19.5" customHeight="1" x14ac:dyDescent="0.25">
      <c r="B58" s="38"/>
      <c r="C58" s="38"/>
      <c r="D58" s="470"/>
      <c r="E58" s="470"/>
      <c r="G58" s="38"/>
      <c r="H58" s="38"/>
      <c r="I58" s="470"/>
      <c r="J58" s="470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2:27" ht="19.5" customHeight="1" x14ac:dyDescent="0.25">
      <c r="B59" s="38"/>
      <c r="C59" s="38"/>
      <c r="D59" s="470"/>
      <c r="E59" s="470"/>
      <c r="G59" s="38"/>
      <c r="H59" s="38"/>
      <c r="I59" s="470"/>
      <c r="J59" s="470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</row>
    <row r="60" spans="2:27" ht="19.5" customHeight="1" x14ac:dyDescent="0.25">
      <c r="B60" s="38"/>
      <c r="C60" s="38"/>
      <c r="D60" s="470"/>
      <c r="E60" s="470"/>
      <c r="G60" s="38"/>
      <c r="H60" s="38"/>
      <c r="I60" s="470"/>
      <c r="J60" s="470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2:27" ht="19.5" customHeight="1" x14ac:dyDescent="0.25">
      <c r="B61" s="38"/>
      <c r="C61" s="38"/>
      <c r="D61" s="470"/>
      <c r="E61" s="470"/>
      <c r="G61" s="38"/>
      <c r="H61" s="38"/>
      <c r="I61" s="470"/>
      <c r="J61" s="470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2:27" ht="19.5" customHeight="1" x14ac:dyDescent="0.25">
      <c r="B62" s="38"/>
      <c r="C62" s="38"/>
      <c r="D62" s="470"/>
      <c r="E62" s="470"/>
      <c r="G62" s="38"/>
      <c r="H62" s="38"/>
      <c r="I62" s="470"/>
      <c r="J62" s="470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2:27" ht="19.5" customHeight="1" x14ac:dyDescent="0.25">
      <c r="B63" s="38"/>
      <c r="C63" s="38"/>
      <c r="D63" s="470"/>
      <c r="E63" s="470"/>
      <c r="G63" s="38"/>
      <c r="H63" s="38"/>
      <c r="I63" s="470"/>
      <c r="J63" s="470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</row>
    <row r="64" spans="2:27" ht="19.5" customHeight="1" x14ac:dyDescent="0.25">
      <c r="B64" s="38"/>
      <c r="C64" s="38"/>
      <c r="D64" s="470"/>
      <c r="E64" s="470"/>
      <c r="G64" s="38"/>
      <c r="H64" s="38"/>
      <c r="I64" s="470"/>
      <c r="J64" s="470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2:27" ht="19.5" customHeight="1" x14ac:dyDescent="0.25">
      <c r="B65" s="38"/>
      <c r="C65" s="38"/>
      <c r="D65" s="470"/>
      <c r="E65" s="470"/>
      <c r="G65" s="38"/>
      <c r="H65" s="38"/>
      <c r="I65" s="470"/>
      <c r="J65" s="470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2:27" ht="19.5" customHeight="1" x14ac:dyDescent="0.25">
      <c r="B66" s="38"/>
      <c r="C66" s="38"/>
      <c r="D66" s="470"/>
      <c r="E66" s="470"/>
      <c r="G66" s="38"/>
      <c r="H66" s="38"/>
      <c r="I66" s="470"/>
      <c r="J66" s="470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2:27" ht="19.5" customHeight="1" x14ac:dyDescent="0.25">
      <c r="B67" s="38"/>
      <c r="C67" s="38"/>
      <c r="D67" s="470"/>
      <c r="E67" s="470"/>
      <c r="G67" s="38"/>
      <c r="H67" s="38"/>
      <c r="I67" s="470"/>
      <c r="J67" s="470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</row>
    <row r="68" spans="2:27" ht="19.5" customHeight="1" x14ac:dyDescent="0.25">
      <c r="B68" s="38"/>
      <c r="C68" s="38"/>
      <c r="D68" s="470"/>
      <c r="E68" s="470"/>
      <c r="G68" s="38"/>
      <c r="H68" s="38"/>
      <c r="I68" s="470"/>
      <c r="J68" s="470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</row>
    <row r="69" spans="2:27" ht="19.5" customHeight="1" x14ac:dyDescent="0.25">
      <c r="B69" s="38"/>
      <c r="C69" s="38"/>
      <c r="D69" s="470"/>
      <c r="E69" s="470"/>
      <c r="G69" s="38"/>
      <c r="H69" s="38"/>
      <c r="I69" s="470"/>
      <c r="J69" s="470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</row>
    <row r="70" spans="2:27" ht="19.5" customHeight="1" x14ac:dyDescent="0.25">
      <c r="B70" s="38"/>
      <c r="C70" s="38"/>
      <c r="D70" s="470"/>
      <c r="E70" s="470"/>
      <c r="G70" s="38"/>
      <c r="H70" s="38"/>
      <c r="I70" s="470"/>
      <c r="J70" s="470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</row>
    <row r="71" spans="2:27" ht="19.5" customHeight="1" x14ac:dyDescent="0.25">
      <c r="B71" s="38"/>
      <c r="C71" s="38"/>
      <c r="D71" s="470"/>
      <c r="E71" s="470"/>
      <c r="G71" s="38"/>
      <c r="H71" s="38"/>
      <c r="I71" s="470"/>
      <c r="J71" s="470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</row>
    <row r="72" spans="2:27" ht="19.5" customHeight="1" x14ac:dyDescent="0.25">
      <c r="B72" s="38"/>
      <c r="C72" s="38"/>
      <c r="D72" s="470"/>
      <c r="E72" s="470"/>
      <c r="G72" s="38"/>
      <c r="H72" s="38"/>
      <c r="I72" s="470"/>
      <c r="J72" s="470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</row>
    <row r="73" spans="2:27" ht="19.5" customHeight="1" x14ac:dyDescent="0.25">
      <c r="B73" s="38"/>
      <c r="C73" s="38"/>
      <c r="D73" s="470"/>
      <c r="E73" s="470"/>
      <c r="G73" s="38"/>
      <c r="H73" s="38"/>
      <c r="I73" s="470"/>
      <c r="J73" s="470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</row>
    <row r="74" spans="2:27" ht="19.5" customHeight="1" x14ac:dyDescent="0.25">
      <c r="B74" s="38"/>
      <c r="C74" s="38"/>
      <c r="D74" s="470"/>
      <c r="E74" s="470"/>
      <c r="G74" s="38"/>
      <c r="H74" s="38"/>
      <c r="I74" s="470"/>
      <c r="J74" s="470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</row>
    <row r="75" spans="2:27" ht="19.5" customHeight="1" x14ac:dyDescent="0.25">
      <c r="B75" s="38"/>
      <c r="C75" s="38"/>
      <c r="D75" s="470"/>
      <c r="E75" s="470"/>
      <c r="G75" s="38"/>
      <c r="H75" s="38"/>
      <c r="I75" s="470"/>
      <c r="J75" s="470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</row>
    <row r="76" spans="2:27" ht="19.5" customHeight="1" x14ac:dyDescent="0.25">
      <c r="B76" s="38"/>
      <c r="C76" s="38"/>
      <c r="D76" s="470"/>
      <c r="E76" s="470"/>
      <c r="G76" s="38"/>
      <c r="H76" s="38"/>
      <c r="I76" s="470"/>
      <c r="J76" s="470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</row>
    <row r="77" spans="2:27" ht="19.5" customHeight="1" x14ac:dyDescent="0.25">
      <c r="B77" s="38"/>
      <c r="C77" s="38"/>
      <c r="D77" s="470"/>
      <c r="E77" s="470"/>
      <c r="G77" s="38"/>
      <c r="H77" s="38"/>
      <c r="I77" s="470"/>
      <c r="J77" s="470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</row>
    <row r="78" spans="2:27" ht="19.5" customHeight="1" x14ac:dyDescent="0.25">
      <c r="B78" s="38"/>
      <c r="C78" s="38"/>
      <c r="D78" s="470"/>
      <c r="E78" s="470"/>
      <c r="G78" s="38"/>
      <c r="H78" s="38"/>
      <c r="I78" s="470"/>
      <c r="J78" s="470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</row>
    <row r="79" spans="2:27" ht="19.5" customHeight="1" x14ac:dyDescent="0.25">
      <c r="B79" s="38"/>
      <c r="C79" s="38"/>
      <c r="D79" s="470"/>
      <c r="E79" s="470"/>
      <c r="G79" s="38"/>
      <c r="H79" s="38"/>
      <c r="I79" s="470"/>
      <c r="J79" s="470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</row>
    <row r="80" spans="2:27" ht="19.5" customHeight="1" x14ac:dyDescent="0.25">
      <c r="B80" s="38"/>
      <c r="C80" s="38"/>
      <c r="D80" s="470"/>
      <c r="E80" s="470"/>
      <c r="G80" s="38"/>
      <c r="H80" s="38"/>
      <c r="I80" s="470"/>
      <c r="J80" s="470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</row>
    <row r="81" spans="2:27" ht="19.5" customHeight="1" x14ac:dyDescent="0.25">
      <c r="B81" s="38"/>
      <c r="C81" s="38"/>
      <c r="D81" s="470"/>
      <c r="E81" s="470"/>
      <c r="G81" s="38"/>
      <c r="H81" s="38"/>
      <c r="I81" s="470"/>
      <c r="J81" s="470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</row>
    <row r="82" spans="2:27" ht="19.5" customHeight="1" x14ac:dyDescent="0.25">
      <c r="B82" s="38"/>
      <c r="C82" s="38"/>
      <c r="D82" s="470"/>
      <c r="E82" s="470"/>
      <c r="G82" s="38"/>
      <c r="H82" s="38"/>
      <c r="I82" s="470"/>
      <c r="J82" s="470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</row>
    <row r="83" spans="2:27" ht="19.5" customHeight="1" x14ac:dyDescent="0.25">
      <c r="B83" s="38"/>
      <c r="C83" s="38"/>
      <c r="D83" s="470"/>
      <c r="E83" s="470"/>
      <c r="G83" s="38"/>
      <c r="H83" s="38"/>
      <c r="I83" s="470"/>
      <c r="J83" s="470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</row>
    <row r="84" spans="2:27" ht="19.5" customHeight="1" x14ac:dyDescent="0.25">
      <c r="B84" s="38"/>
      <c r="C84" s="38"/>
      <c r="D84" s="470"/>
      <c r="E84" s="470"/>
      <c r="G84" s="38"/>
      <c r="H84" s="38"/>
      <c r="I84" s="470"/>
      <c r="J84" s="470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</row>
    <row r="85" spans="2:27" ht="19.5" customHeight="1" x14ac:dyDescent="0.25">
      <c r="B85" s="38"/>
      <c r="C85" s="38"/>
      <c r="D85" s="470"/>
      <c r="E85" s="470"/>
      <c r="G85" s="38"/>
      <c r="H85" s="38"/>
      <c r="I85" s="470"/>
      <c r="J85" s="470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</row>
    <row r="86" spans="2:27" ht="19.5" customHeight="1" x14ac:dyDescent="0.25">
      <c r="B86" s="38"/>
      <c r="C86" s="38"/>
      <c r="D86" s="470"/>
      <c r="E86" s="470"/>
      <c r="G86" s="38"/>
      <c r="H86" s="38"/>
      <c r="I86" s="470"/>
      <c r="J86" s="470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</row>
    <row r="87" spans="2:27" ht="19.5" customHeight="1" x14ac:dyDescent="0.25">
      <c r="B87" s="38"/>
      <c r="C87" s="38"/>
      <c r="D87" s="470"/>
      <c r="E87" s="470"/>
      <c r="G87" s="38"/>
      <c r="H87" s="38"/>
      <c r="I87" s="470"/>
      <c r="J87" s="470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</row>
    <row r="88" spans="2:27" ht="19.5" customHeight="1" x14ac:dyDescent="0.25">
      <c r="B88" s="38"/>
      <c r="C88" s="38"/>
      <c r="D88" s="470"/>
      <c r="E88" s="470"/>
      <c r="G88" s="38"/>
      <c r="H88" s="38"/>
      <c r="I88" s="470"/>
      <c r="J88" s="470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</row>
    <row r="89" spans="2:27" ht="19.5" customHeight="1" x14ac:dyDescent="0.25">
      <c r="B89" s="38"/>
      <c r="C89" s="38"/>
      <c r="D89" s="470"/>
      <c r="E89" s="470"/>
      <c r="G89" s="38"/>
      <c r="H89" s="38"/>
      <c r="I89" s="470"/>
      <c r="J89" s="470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</row>
    <row r="90" spans="2:27" ht="19.5" customHeight="1" x14ac:dyDescent="0.25">
      <c r="B90" s="38"/>
      <c r="C90" s="38"/>
      <c r="D90" s="470"/>
      <c r="E90" s="470"/>
      <c r="G90" s="38"/>
      <c r="H90" s="38"/>
      <c r="I90" s="470"/>
      <c r="J90" s="470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</row>
    <row r="91" spans="2:27" ht="19.5" customHeight="1" x14ac:dyDescent="0.25">
      <c r="B91" s="38"/>
      <c r="C91" s="38"/>
      <c r="D91" s="470"/>
      <c r="E91" s="470"/>
      <c r="G91" s="38"/>
      <c r="H91" s="38"/>
      <c r="I91" s="470"/>
      <c r="J91" s="470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</row>
    <row r="92" spans="2:27" ht="19.5" customHeight="1" x14ac:dyDescent="0.25">
      <c r="B92" s="38"/>
      <c r="C92" s="38"/>
      <c r="D92" s="470"/>
      <c r="E92" s="470"/>
      <c r="G92" s="38"/>
      <c r="H92" s="38"/>
      <c r="I92" s="470"/>
      <c r="J92" s="470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</row>
    <row r="93" spans="2:27" ht="19.5" customHeight="1" x14ac:dyDescent="0.25">
      <c r="B93" s="38"/>
      <c r="C93" s="38"/>
      <c r="D93" s="470"/>
      <c r="E93" s="470"/>
      <c r="G93" s="38"/>
      <c r="H93" s="38"/>
      <c r="I93" s="470"/>
      <c r="J93" s="470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</row>
    <row r="94" spans="2:27" ht="19.5" customHeight="1" x14ac:dyDescent="0.25">
      <c r="B94" s="38"/>
      <c r="C94" s="38"/>
      <c r="D94" s="470"/>
      <c r="E94" s="470"/>
      <c r="G94" s="38"/>
      <c r="H94" s="38"/>
      <c r="I94" s="470"/>
      <c r="J94" s="470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</row>
    <row r="95" spans="2:27" ht="19.5" customHeight="1" x14ac:dyDescent="0.25">
      <c r="B95" s="38"/>
      <c r="C95" s="38"/>
      <c r="D95" s="470"/>
      <c r="E95" s="470"/>
      <c r="G95" s="38"/>
      <c r="H95" s="38"/>
      <c r="I95" s="470"/>
      <c r="J95" s="470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</row>
    <row r="96" spans="2:27" ht="19.5" customHeight="1" x14ac:dyDescent="0.25">
      <c r="B96" s="38"/>
      <c r="C96" s="38"/>
      <c r="D96" s="470"/>
      <c r="E96" s="470"/>
      <c r="G96" s="38"/>
      <c r="H96" s="38"/>
      <c r="I96" s="470"/>
      <c r="J96" s="470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</row>
    <row r="97" spans="2:27" ht="19.5" customHeight="1" x14ac:dyDescent="0.25">
      <c r="B97" s="38"/>
      <c r="C97" s="38"/>
      <c r="D97" s="470"/>
      <c r="E97" s="470"/>
      <c r="G97" s="38"/>
      <c r="H97" s="38"/>
      <c r="I97" s="470"/>
      <c r="J97" s="470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</row>
    <row r="98" spans="2:27" ht="19.5" customHeight="1" x14ac:dyDescent="0.25">
      <c r="B98" s="38"/>
      <c r="C98" s="38"/>
      <c r="D98" s="470"/>
      <c r="E98" s="470"/>
      <c r="G98" s="38"/>
      <c r="H98" s="38"/>
      <c r="I98" s="470"/>
      <c r="J98" s="470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</row>
    <row r="99" spans="2:27" ht="19.5" customHeight="1" x14ac:dyDescent="0.25">
      <c r="B99" s="38"/>
      <c r="C99" s="38"/>
      <c r="D99" s="470"/>
      <c r="E99" s="470"/>
      <c r="G99" s="38"/>
      <c r="H99" s="38"/>
      <c r="I99" s="470"/>
      <c r="J99" s="470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</row>
    <row r="100" spans="2:27" ht="19.5" customHeight="1" x14ac:dyDescent="0.25">
      <c r="B100" s="38"/>
      <c r="C100" s="38"/>
      <c r="D100" s="470"/>
      <c r="E100" s="470"/>
      <c r="G100" s="38"/>
      <c r="H100" s="38"/>
      <c r="I100" s="470"/>
      <c r="J100" s="470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</row>
    <row r="101" spans="2:27" ht="19.5" customHeight="1" x14ac:dyDescent="0.25">
      <c r="B101" s="38"/>
      <c r="C101" s="38"/>
      <c r="D101" s="470"/>
      <c r="E101" s="470"/>
      <c r="G101" s="38"/>
      <c r="H101" s="38"/>
      <c r="I101" s="470"/>
      <c r="J101" s="470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</row>
    <row r="102" spans="2:27" ht="19.5" customHeight="1" x14ac:dyDescent="0.25">
      <c r="B102" s="38"/>
      <c r="C102" s="38"/>
      <c r="D102" s="470"/>
      <c r="E102" s="470"/>
      <c r="G102" s="38"/>
      <c r="H102" s="38"/>
      <c r="I102" s="470"/>
      <c r="J102" s="470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</row>
    <row r="103" spans="2:27" ht="19.5" customHeight="1" x14ac:dyDescent="0.25">
      <c r="B103" s="38"/>
      <c r="C103" s="38"/>
      <c r="D103" s="470"/>
      <c r="E103" s="470"/>
      <c r="G103" s="38"/>
      <c r="H103" s="38"/>
      <c r="I103" s="470"/>
      <c r="J103" s="470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</row>
    <row r="104" spans="2:27" ht="19.5" customHeight="1" x14ac:dyDescent="0.25">
      <c r="B104" s="38"/>
      <c r="C104" s="38"/>
      <c r="D104" s="470"/>
      <c r="E104" s="470"/>
      <c r="G104" s="38"/>
      <c r="H104" s="38"/>
      <c r="I104" s="470"/>
      <c r="J104" s="470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</row>
    <row r="105" spans="2:27" ht="19.5" customHeight="1" x14ac:dyDescent="0.25">
      <c r="B105" s="38"/>
      <c r="C105" s="38"/>
      <c r="D105" s="470"/>
      <c r="E105" s="470"/>
      <c r="G105" s="38"/>
      <c r="H105" s="38"/>
      <c r="I105" s="470"/>
      <c r="J105" s="470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</row>
    <row r="106" spans="2:27" ht="19.5" customHeight="1" x14ac:dyDescent="0.25">
      <c r="B106" s="38"/>
      <c r="C106" s="38"/>
      <c r="D106" s="470"/>
      <c r="E106" s="470"/>
      <c r="G106" s="38"/>
      <c r="H106" s="38"/>
      <c r="I106" s="470"/>
      <c r="J106" s="470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</row>
    <row r="107" spans="2:27" ht="19.5" customHeight="1" x14ac:dyDescent="0.25">
      <c r="B107" s="38"/>
      <c r="C107" s="38"/>
      <c r="D107" s="470"/>
      <c r="E107" s="470"/>
      <c r="G107" s="38"/>
      <c r="H107" s="38"/>
      <c r="I107" s="470"/>
      <c r="J107" s="470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</row>
    <row r="108" spans="2:27" ht="19.5" customHeight="1" x14ac:dyDescent="0.25">
      <c r="B108" s="38"/>
      <c r="C108" s="38"/>
      <c r="D108" s="470"/>
      <c r="E108" s="470"/>
      <c r="G108" s="38"/>
      <c r="H108" s="38"/>
      <c r="I108" s="470"/>
      <c r="J108" s="470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</row>
    <row r="109" spans="2:27" ht="19.5" customHeight="1" x14ac:dyDescent="0.25">
      <c r="B109" s="38"/>
      <c r="C109" s="38"/>
      <c r="D109" s="470"/>
      <c r="E109" s="470"/>
      <c r="G109" s="38"/>
      <c r="H109" s="38"/>
      <c r="I109" s="470"/>
      <c r="J109" s="470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</row>
    <row r="110" spans="2:27" ht="19.5" customHeight="1" x14ac:dyDescent="0.25">
      <c r="B110" s="38"/>
      <c r="C110" s="38"/>
      <c r="D110" s="470"/>
      <c r="E110" s="470"/>
      <c r="G110" s="38"/>
      <c r="H110" s="38"/>
      <c r="I110" s="470"/>
      <c r="J110" s="470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</row>
    <row r="111" spans="2:27" ht="19.5" customHeight="1" x14ac:dyDescent="0.25">
      <c r="B111" s="38"/>
      <c r="C111" s="38"/>
      <c r="D111" s="470"/>
      <c r="E111" s="470"/>
      <c r="G111" s="38"/>
      <c r="H111" s="38"/>
      <c r="I111" s="470"/>
      <c r="J111" s="470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</row>
    <row r="112" spans="2:27" ht="19.5" customHeight="1" x14ac:dyDescent="0.25">
      <c r="B112" s="38"/>
      <c r="C112" s="38"/>
      <c r="D112" s="470"/>
      <c r="E112" s="470"/>
      <c r="G112" s="38"/>
      <c r="H112" s="38"/>
      <c r="I112" s="470"/>
      <c r="J112" s="470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</row>
    <row r="113" spans="2:27" ht="19.5" customHeight="1" x14ac:dyDescent="0.25">
      <c r="B113" s="38"/>
      <c r="C113" s="38"/>
      <c r="D113" s="470"/>
      <c r="E113" s="470"/>
      <c r="G113" s="38"/>
      <c r="H113" s="38"/>
      <c r="I113" s="470"/>
      <c r="J113" s="470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</row>
    <row r="114" spans="2:27" ht="19.5" customHeight="1" x14ac:dyDescent="0.25">
      <c r="B114" s="38"/>
      <c r="C114" s="38"/>
      <c r="D114" s="470"/>
      <c r="E114" s="470"/>
      <c r="G114" s="38"/>
      <c r="H114" s="38"/>
      <c r="I114" s="470"/>
      <c r="J114" s="470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</row>
    <row r="115" spans="2:27" ht="19.5" customHeight="1" x14ac:dyDescent="0.25">
      <c r="B115" s="38"/>
      <c r="C115" s="38"/>
      <c r="D115" s="470"/>
      <c r="E115" s="470"/>
      <c r="G115" s="38"/>
      <c r="H115" s="38"/>
      <c r="I115" s="470"/>
      <c r="J115" s="470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</row>
    <row r="116" spans="2:27" ht="19.5" customHeight="1" x14ac:dyDescent="0.25">
      <c r="B116" s="38"/>
      <c r="C116" s="38"/>
      <c r="D116" s="470"/>
      <c r="E116" s="470"/>
      <c r="G116" s="38"/>
      <c r="H116" s="38"/>
      <c r="I116" s="470"/>
      <c r="J116" s="470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</row>
    <row r="117" spans="2:27" ht="19.5" customHeight="1" x14ac:dyDescent="0.25">
      <c r="B117" s="38"/>
      <c r="C117" s="38"/>
      <c r="D117" s="470"/>
      <c r="E117" s="470"/>
      <c r="G117" s="38"/>
      <c r="H117" s="38"/>
      <c r="I117" s="470"/>
      <c r="J117" s="470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</row>
    <row r="118" spans="2:27" ht="19.5" customHeight="1" x14ac:dyDescent="0.25">
      <c r="B118" s="38"/>
      <c r="C118" s="38"/>
      <c r="D118" s="470"/>
      <c r="E118" s="470"/>
      <c r="G118" s="38"/>
      <c r="H118" s="38"/>
      <c r="I118" s="470"/>
      <c r="J118" s="470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</row>
    <row r="119" spans="2:27" ht="19.5" customHeight="1" x14ac:dyDescent="0.25">
      <c r="B119" s="38"/>
      <c r="C119" s="38"/>
      <c r="D119" s="470"/>
      <c r="E119" s="470"/>
      <c r="G119" s="38"/>
      <c r="H119" s="38"/>
      <c r="I119" s="470"/>
      <c r="J119" s="470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</row>
    <row r="120" spans="2:27" ht="19.5" customHeight="1" x14ac:dyDescent="0.25">
      <c r="B120" s="38"/>
      <c r="C120" s="38"/>
      <c r="D120" s="470"/>
      <c r="E120" s="470"/>
      <c r="G120" s="38"/>
      <c r="H120" s="38"/>
      <c r="I120" s="470"/>
      <c r="J120" s="470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</row>
    <row r="121" spans="2:27" ht="19.5" customHeight="1" x14ac:dyDescent="0.25">
      <c r="B121" s="38"/>
      <c r="C121" s="38"/>
      <c r="D121" s="470"/>
      <c r="E121" s="470"/>
      <c r="G121" s="38"/>
      <c r="H121" s="38"/>
      <c r="I121" s="470"/>
      <c r="J121" s="470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</row>
    <row r="122" spans="2:27" ht="19.5" customHeight="1" x14ac:dyDescent="0.25">
      <c r="B122" s="38"/>
      <c r="C122" s="38"/>
      <c r="D122" s="470"/>
      <c r="E122" s="470"/>
      <c r="G122" s="38"/>
      <c r="H122" s="38"/>
      <c r="I122" s="470"/>
      <c r="J122" s="470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</row>
    <row r="123" spans="2:27" ht="19.5" customHeight="1" x14ac:dyDescent="0.25">
      <c r="B123" s="38"/>
      <c r="C123" s="38"/>
      <c r="D123" s="470"/>
      <c r="E123" s="470"/>
      <c r="G123" s="38"/>
      <c r="H123" s="38"/>
      <c r="I123" s="470"/>
      <c r="J123" s="470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</row>
    <row r="124" spans="2:27" ht="19.5" customHeight="1" x14ac:dyDescent="0.25">
      <c r="B124" s="38"/>
      <c r="C124" s="38"/>
      <c r="D124" s="470"/>
      <c r="E124" s="470"/>
      <c r="G124" s="38"/>
      <c r="H124" s="38"/>
      <c r="I124" s="470"/>
      <c r="J124" s="470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</row>
    <row r="125" spans="2:27" ht="19.5" customHeight="1" x14ac:dyDescent="0.25">
      <c r="B125" s="38"/>
      <c r="C125" s="38"/>
      <c r="D125" s="470"/>
      <c r="E125" s="470"/>
      <c r="G125" s="38"/>
      <c r="H125" s="38"/>
      <c r="I125" s="470"/>
      <c r="J125" s="470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</row>
    <row r="126" spans="2:27" ht="19.5" customHeight="1" x14ac:dyDescent="0.25">
      <c r="B126" s="38"/>
      <c r="C126" s="38"/>
      <c r="D126" s="470"/>
      <c r="E126" s="470"/>
      <c r="G126" s="38"/>
      <c r="H126" s="38"/>
      <c r="I126" s="470"/>
      <c r="J126" s="470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</row>
    <row r="127" spans="2:27" ht="19.5" customHeight="1" x14ac:dyDescent="0.25">
      <c r="B127" s="38"/>
      <c r="C127" s="38"/>
      <c r="D127" s="470"/>
      <c r="E127" s="470"/>
      <c r="G127" s="38"/>
      <c r="H127" s="38"/>
      <c r="I127" s="470"/>
      <c r="J127" s="470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</row>
    <row r="128" spans="2:27" ht="19.5" customHeight="1" x14ac:dyDescent="0.25">
      <c r="B128" s="38"/>
      <c r="C128" s="38"/>
      <c r="D128" s="470"/>
      <c r="E128" s="470"/>
      <c r="G128" s="38"/>
      <c r="H128" s="38"/>
      <c r="I128" s="470"/>
      <c r="J128" s="470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</row>
    <row r="129" spans="2:27" ht="19.5" customHeight="1" x14ac:dyDescent="0.25">
      <c r="B129" s="38"/>
      <c r="C129" s="38"/>
      <c r="D129" s="470"/>
      <c r="E129" s="470"/>
      <c r="G129" s="38"/>
      <c r="H129" s="38"/>
      <c r="I129" s="470"/>
      <c r="J129" s="470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</row>
    <row r="130" spans="2:27" ht="19.5" customHeight="1" x14ac:dyDescent="0.25">
      <c r="B130" s="38"/>
      <c r="C130" s="38"/>
      <c r="D130" s="470"/>
      <c r="E130" s="470"/>
      <c r="G130" s="38"/>
      <c r="H130" s="38"/>
      <c r="I130" s="470"/>
      <c r="J130" s="470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</row>
    <row r="131" spans="2:27" ht="19.5" customHeight="1" x14ac:dyDescent="0.25">
      <c r="B131" s="38"/>
      <c r="C131" s="38"/>
      <c r="D131" s="470"/>
      <c r="E131" s="470"/>
      <c r="G131" s="38"/>
      <c r="H131" s="38"/>
      <c r="I131" s="470"/>
      <c r="J131" s="470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</row>
    <row r="132" spans="2:27" ht="19.5" customHeight="1" x14ac:dyDescent="0.25">
      <c r="B132" s="38"/>
      <c r="C132" s="38"/>
      <c r="D132" s="470"/>
      <c r="E132" s="470"/>
      <c r="G132" s="38"/>
      <c r="H132" s="38"/>
      <c r="I132" s="470"/>
      <c r="J132" s="470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</row>
    <row r="133" spans="2:27" ht="19.5" customHeight="1" x14ac:dyDescent="0.25">
      <c r="B133" s="38"/>
      <c r="C133" s="38"/>
      <c r="D133" s="470"/>
      <c r="E133" s="470"/>
      <c r="G133" s="38"/>
      <c r="H133" s="38"/>
      <c r="I133" s="470"/>
      <c r="J133" s="470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</row>
    <row r="134" spans="2:27" ht="19.5" customHeight="1" x14ac:dyDescent="0.25">
      <c r="B134" s="38"/>
      <c r="C134" s="38"/>
      <c r="D134" s="470"/>
      <c r="E134" s="470"/>
      <c r="G134" s="38"/>
      <c r="H134" s="38"/>
      <c r="I134" s="470"/>
      <c r="J134" s="470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</row>
    <row r="135" spans="2:27" ht="19.5" customHeight="1" x14ac:dyDescent="0.25">
      <c r="B135" s="38"/>
      <c r="C135" s="38"/>
      <c r="D135" s="470"/>
      <c r="E135" s="470"/>
      <c r="G135" s="38"/>
      <c r="H135" s="38"/>
      <c r="I135" s="470"/>
      <c r="J135" s="470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</row>
    <row r="136" spans="2:27" ht="19.5" customHeight="1" x14ac:dyDescent="0.25">
      <c r="B136" s="38"/>
      <c r="C136" s="38"/>
      <c r="D136" s="470"/>
      <c r="E136" s="470"/>
      <c r="G136" s="38"/>
      <c r="H136" s="38"/>
      <c r="I136" s="470"/>
      <c r="J136" s="470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</row>
    <row r="137" spans="2:27" ht="19.5" customHeight="1" x14ac:dyDescent="0.25">
      <c r="B137" s="38"/>
      <c r="C137" s="38"/>
      <c r="D137" s="470"/>
      <c r="E137" s="470"/>
      <c r="G137" s="38"/>
      <c r="H137" s="38"/>
      <c r="I137" s="470"/>
      <c r="J137" s="470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</row>
    <row r="138" spans="2:27" ht="19.5" customHeight="1" x14ac:dyDescent="0.25">
      <c r="B138" s="38"/>
      <c r="C138" s="38"/>
      <c r="D138" s="470"/>
      <c r="E138" s="470"/>
      <c r="G138" s="38"/>
      <c r="H138" s="38"/>
      <c r="I138" s="470"/>
      <c r="J138" s="470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</row>
    <row r="139" spans="2:27" ht="19.5" customHeight="1" x14ac:dyDescent="0.25">
      <c r="B139" s="38"/>
      <c r="C139" s="38"/>
      <c r="D139" s="470"/>
      <c r="E139" s="470"/>
      <c r="G139" s="38"/>
      <c r="H139" s="38"/>
      <c r="I139" s="470"/>
      <c r="J139" s="470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</row>
    <row r="140" spans="2:27" ht="19.5" customHeight="1" x14ac:dyDescent="0.25">
      <c r="B140" s="38"/>
      <c r="C140" s="38"/>
      <c r="D140" s="470"/>
      <c r="E140" s="470"/>
      <c r="G140" s="38"/>
      <c r="H140" s="38"/>
      <c r="I140" s="470"/>
      <c r="J140" s="470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</row>
    <row r="141" spans="2:27" ht="19.5" customHeight="1" x14ac:dyDescent="0.25">
      <c r="B141" s="38"/>
      <c r="C141" s="38"/>
      <c r="D141" s="470"/>
      <c r="E141" s="470"/>
      <c r="G141" s="38"/>
      <c r="H141" s="38"/>
      <c r="I141" s="470"/>
      <c r="J141" s="470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</row>
    <row r="142" spans="2:27" ht="19.5" customHeight="1" x14ac:dyDescent="0.25">
      <c r="B142" s="38"/>
      <c r="C142" s="38"/>
      <c r="D142" s="470"/>
      <c r="E142" s="470"/>
      <c r="G142" s="38"/>
      <c r="H142" s="38"/>
      <c r="I142" s="470"/>
      <c r="J142" s="470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</row>
    <row r="143" spans="2:27" ht="19.5" customHeight="1" x14ac:dyDescent="0.25">
      <c r="B143" s="38"/>
      <c r="C143" s="38"/>
      <c r="D143" s="470"/>
      <c r="E143" s="470"/>
      <c r="G143" s="38"/>
      <c r="H143" s="38"/>
      <c r="I143" s="470"/>
      <c r="J143" s="470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</row>
    <row r="144" spans="2:27" ht="19.5" customHeight="1" x14ac:dyDescent="0.25">
      <c r="B144" s="38"/>
      <c r="C144" s="38"/>
      <c r="D144" s="470"/>
      <c r="E144" s="470"/>
      <c r="G144" s="38"/>
      <c r="H144" s="38"/>
      <c r="I144" s="470"/>
      <c r="J144" s="470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</row>
    <row r="145" spans="2:27" ht="19.5" customHeight="1" x14ac:dyDescent="0.25">
      <c r="B145" s="38"/>
      <c r="C145" s="38"/>
      <c r="D145" s="470"/>
      <c r="E145" s="470"/>
      <c r="G145" s="38"/>
      <c r="H145" s="38"/>
      <c r="I145" s="470"/>
      <c r="J145" s="470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</row>
    <row r="146" spans="2:27" ht="19.5" customHeight="1" x14ac:dyDescent="0.25">
      <c r="B146" s="38"/>
      <c r="C146" s="38"/>
      <c r="D146" s="470"/>
      <c r="E146" s="470"/>
      <c r="G146" s="38"/>
      <c r="H146" s="38"/>
      <c r="I146" s="470"/>
      <c r="J146" s="470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</row>
    <row r="147" spans="2:27" ht="19.5" customHeight="1" x14ac:dyDescent="0.25">
      <c r="B147" s="38"/>
      <c r="C147" s="38"/>
      <c r="D147" s="470"/>
      <c r="E147" s="470"/>
      <c r="G147" s="38"/>
      <c r="H147" s="38"/>
      <c r="I147" s="470"/>
      <c r="J147" s="470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</row>
    <row r="148" spans="2:27" ht="19.5" customHeight="1" x14ac:dyDescent="0.25">
      <c r="B148" s="38"/>
      <c r="C148" s="38"/>
      <c r="D148" s="470"/>
      <c r="E148" s="470"/>
      <c r="G148" s="38"/>
      <c r="H148" s="38"/>
      <c r="I148" s="470"/>
      <c r="J148" s="470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</row>
    <row r="149" spans="2:27" ht="19.5" customHeight="1" x14ac:dyDescent="0.25">
      <c r="B149" s="38"/>
      <c r="C149" s="38"/>
      <c r="D149" s="470"/>
      <c r="E149" s="470"/>
      <c r="G149" s="38"/>
      <c r="H149" s="38"/>
      <c r="I149" s="470"/>
      <c r="J149" s="470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</row>
    <row r="150" spans="2:27" ht="19.5" customHeight="1" x14ac:dyDescent="0.25">
      <c r="B150" s="38"/>
      <c r="C150" s="38"/>
      <c r="D150" s="470"/>
      <c r="E150" s="470"/>
      <c r="G150" s="38"/>
      <c r="H150" s="38"/>
      <c r="I150" s="470"/>
      <c r="J150" s="470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</row>
    <row r="151" spans="2:27" ht="19.5" customHeight="1" x14ac:dyDescent="0.25">
      <c r="B151" s="38"/>
      <c r="C151" s="38"/>
      <c r="D151" s="470"/>
      <c r="E151" s="470"/>
      <c r="G151" s="38"/>
      <c r="H151" s="38"/>
      <c r="I151" s="470"/>
      <c r="J151" s="470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</row>
    <row r="152" spans="2:27" ht="19.5" customHeight="1" x14ac:dyDescent="0.25">
      <c r="B152" s="38"/>
      <c r="C152" s="38"/>
      <c r="D152" s="470"/>
      <c r="E152" s="470"/>
      <c r="G152" s="38"/>
      <c r="H152" s="38"/>
      <c r="I152" s="470"/>
      <c r="J152" s="470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</row>
    <row r="153" spans="2:27" ht="19.5" customHeight="1" x14ac:dyDescent="0.25">
      <c r="B153" s="38"/>
      <c r="C153" s="38"/>
      <c r="D153" s="470"/>
      <c r="E153" s="470"/>
      <c r="G153" s="38"/>
      <c r="H153" s="38"/>
      <c r="I153" s="470"/>
      <c r="J153" s="470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</row>
    <row r="154" spans="2:27" ht="19.5" customHeight="1" x14ac:dyDescent="0.25">
      <c r="B154" s="38"/>
      <c r="C154" s="38"/>
      <c r="D154" s="470"/>
      <c r="E154" s="470"/>
      <c r="G154" s="38"/>
      <c r="H154" s="38"/>
      <c r="I154" s="470"/>
      <c r="J154" s="470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</row>
    <row r="155" spans="2:27" ht="19.5" customHeight="1" x14ac:dyDescent="0.25">
      <c r="B155" s="38"/>
      <c r="C155" s="38"/>
      <c r="D155" s="470"/>
      <c r="E155" s="470"/>
      <c r="G155" s="38"/>
      <c r="H155" s="38"/>
      <c r="I155" s="470"/>
      <c r="J155" s="470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</row>
    <row r="156" spans="2:27" ht="19.5" customHeight="1" x14ac:dyDescent="0.25">
      <c r="B156" s="38"/>
      <c r="C156" s="38"/>
      <c r="D156" s="470"/>
      <c r="E156" s="470"/>
      <c r="G156" s="38"/>
      <c r="H156" s="38"/>
      <c r="I156" s="470"/>
      <c r="J156" s="470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</row>
    <row r="157" spans="2:27" ht="19.5" customHeight="1" x14ac:dyDescent="0.25">
      <c r="B157" s="38"/>
      <c r="C157" s="38"/>
      <c r="D157" s="470"/>
      <c r="E157" s="470"/>
      <c r="G157" s="38"/>
      <c r="H157" s="38"/>
      <c r="I157" s="470"/>
      <c r="J157" s="470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</row>
    <row r="158" spans="2:27" ht="19.5" customHeight="1" x14ac:dyDescent="0.25">
      <c r="B158" s="38"/>
      <c r="C158" s="38"/>
      <c r="D158" s="470"/>
      <c r="E158" s="470"/>
      <c r="G158" s="38"/>
      <c r="H158" s="38"/>
      <c r="I158" s="470"/>
      <c r="J158" s="470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</row>
    <row r="159" spans="2:27" ht="19.5" customHeight="1" x14ac:dyDescent="0.25">
      <c r="B159" s="38"/>
      <c r="C159" s="38"/>
      <c r="D159" s="470"/>
      <c r="E159" s="470"/>
      <c r="G159" s="38"/>
      <c r="H159" s="38"/>
      <c r="I159" s="470"/>
      <c r="J159" s="470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</row>
    <row r="160" spans="2:27" ht="19.5" customHeight="1" x14ac:dyDescent="0.25">
      <c r="B160" s="38"/>
      <c r="C160" s="38"/>
      <c r="D160" s="470"/>
      <c r="E160" s="470"/>
      <c r="G160" s="38"/>
      <c r="H160" s="38"/>
      <c r="I160" s="470"/>
      <c r="J160" s="470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</row>
    <row r="161" spans="2:27" ht="19.5" customHeight="1" x14ac:dyDescent="0.25">
      <c r="B161" s="38"/>
      <c r="C161" s="38"/>
      <c r="D161" s="470"/>
      <c r="E161" s="470"/>
      <c r="G161" s="38"/>
      <c r="H161" s="38"/>
      <c r="I161" s="470"/>
      <c r="J161" s="470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</row>
    <row r="162" spans="2:27" ht="19.5" customHeight="1" x14ac:dyDescent="0.25">
      <c r="B162" s="38"/>
      <c r="C162" s="38"/>
      <c r="D162" s="470"/>
      <c r="E162" s="470"/>
      <c r="G162" s="38"/>
      <c r="H162" s="38"/>
      <c r="I162" s="470"/>
      <c r="J162" s="470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</row>
    <row r="163" spans="2:27" ht="19.5" customHeight="1" x14ac:dyDescent="0.25">
      <c r="B163" s="38"/>
      <c r="C163" s="38"/>
      <c r="D163" s="470"/>
      <c r="E163" s="470"/>
      <c r="G163" s="38"/>
      <c r="H163" s="38"/>
      <c r="I163" s="470"/>
      <c r="J163" s="470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</row>
    <row r="164" spans="2:27" ht="19.5" customHeight="1" x14ac:dyDescent="0.25">
      <c r="B164" s="38"/>
      <c r="C164" s="38"/>
      <c r="D164" s="470"/>
      <c r="E164" s="470"/>
      <c r="G164" s="38"/>
      <c r="H164" s="38"/>
      <c r="I164" s="470"/>
      <c r="J164" s="470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</row>
    <row r="165" spans="2:27" ht="19.5" customHeight="1" x14ac:dyDescent="0.25">
      <c r="B165" s="38"/>
      <c r="C165" s="38"/>
      <c r="D165" s="470"/>
      <c r="E165" s="470"/>
      <c r="G165" s="38"/>
      <c r="H165" s="38"/>
      <c r="I165" s="470"/>
      <c r="J165" s="470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</row>
    <row r="166" spans="2:27" ht="19.5" customHeight="1" x14ac:dyDescent="0.25">
      <c r="B166" s="38"/>
      <c r="C166" s="38"/>
      <c r="D166" s="470"/>
      <c r="E166" s="470"/>
      <c r="G166" s="38"/>
      <c r="H166" s="38"/>
      <c r="I166" s="470"/>
      <c r="J166" s="470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</row>
    <row r="167" spans="2:27" ht="19.5" customHeight="1" x14ac:dyDescent="0.25">
      <c r="B167" s="38"/>
      <c r="C167" s="38"/>
      <c r="D167" s="470"/>
      <c r="E167" s="470"/>
      <c r="G167" s="38"/>
      <c r="H167" s="38"/>
      <c r="I167" s="470"/>
      <c r="J167" s="470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</row>
    <row r="168" spans="2:27" ht="19.5" customHeight="1" x14ac:dyDescent="0.25">
      <c r="B168" s="38"/>
      <c r="C168" s="38"/>
      <c r="D168" s="470"/>
      <c r="E168" s="470"/>
      <c r="G168" s="38"/>
      <c r="H168" s="38"/>
      <c r="I168" s="470"/>
      <c r="J168" s="470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</row>
    <row r="169" spans="2:27" ht="19.5" customHeight="1" x14ac:dyDescent="0.25">
      <c r="B169" s="38"/>
      <c r="C169" s="38"/>
      <c r="D169" s="470"/>
      <c r="E169" s="470"/>
      <c r="G169" s="38"/>
      <c r="H169" s="38"/>
      <c r="I169" s="470"/>
      <c r="J169" s="470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</row>
    <row r="170" spans="2:27" ht="19.5" customHeight="1" x14ac:dyDescent="0.25">
      <c r="B170" s="38"/>
      <c r="C170" s="38"/>
      <c r="D170" s="470"/>
      <c r="E170" s="470"/>
      <c r="G170" s="38"/>
      <c r="H170" s="38"/>
      <c r="I170" s="470"/>
      <c r="J170" s="470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</row>
    <row r="171" spans="2:27" ht="19.5" customHeight="1" x14ac:dyDescent="0.25">
      <c r="B171" s="38"/>
      <c r="C171" s="38"/>
      <c r="D171" s="470"/>
      <c r="E171" s="470"/>
      <c r="G171" s="38"/>
      <c r="H171" s="38"/>
      <c r="I171" s="470"/>
      <c r="J171" s="470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</row>
    <row r="172" spans="2:27" ht="19.5" customHeight="1" x14ac:dyDescent="0.25">
      <c r="B172" s="38"/>
      <c r="C172" s="38"/>
      <c r="D172" s="470"/>
      <c r="E172" s="470"/>
      <c r="G172" s="38"/>
      <c r="H172" s="38"/>
      <c r="I172" s="470"/>
      <c r="J172" s="470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</row>
    <row r="173" spans="2:27" ht="19.5" customHeight="1" x14ac:dyDescent="0.25">
      <c r="B173" s="38"/>
      <c r="C173" s="38"/>
      <c r="D173" s="470"/>
      <c r="E173" s="470"/>
      <c r="G173" s="38"/>
      <c r="H173" s="38"/>
      <c r="I173" s="470"/>
      <c r="J173" s="470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</row>
    <row r="174" spans="2:27" ht="19.5" customHeight="1" x14ac:dyDescent="0.25">
      <c r="B174" s="38"/>
      <c r="C174" s="38"/>
      <c r="D174" s="470"/>
      <c r="E174" s="470"/>
      <c r="G174" s="38"/>
      <c r="H174" s="38"/>
      <c r="I174" s="470"/>
      <c r="J174" s="470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</row>
    <row r="175" spans="2:27" ht="19.5" customHeight="1" x14ac:dyDescent="0.25">
      <c r="B175" s="38"/>
      <c r="C175" s="38"/>
      <c r="D175" s="470"/>
      <c r="E175" s="470"/>
      <c r="G175" s="38"/>
      <c r="H175" s="38"/>
      <c r="I175" s="470"/>
      <c r="J175" s="470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</row>
    <row r="176" spans="2:27" ht="19.5" customHeight="1" x14ac:dyDescent="0.25">
      <c r="B176" s="38"/>
      <c r="C176" s="38"/>
      <c r="D176" s="470"/>
      <c r="E176" s="470"/>
      <c r="G176" s="38"/>
      <c r="H176" s="38"/>
      <c r="I176" s="470"/>
      <c r="J176" s="470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</row>
    <row r="177" spans="2:27" ht="19.5" customHeight="1" x14ac:dyDescent="0.25">
      <c r="B177" s="38"/>
      <c r="C177" s="38"/>
      <c r="D177" s="470"/>
      <c r="E177" s="470"/>
      <c r="G177" s="38"/>
      <c r="H177" s="38"/>
      <c r="I177" s="470"/>
      <c r="J177" s="470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</row>
    <row r="178" spans="2:27" ht="19.5" customHeight="1" x14ac:dyDescent="0.25">
      <c r="B178" s="38"/>
      <c r="C178" s="38"/>
      <c r="D178" s="470"/>
      <c r="E178" s="470"/>
      <c r="G178" s="38"/>
      <c r="H178" s="38"/>
      <c r="I178" s="470"/>
      <c r="J178" s="470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</row>
    <row r="179" spans="2:27" ht="19.5" customHeight="1" x14ac:dyDescent="0.25">
      <c r="B179" s="38"/>
      <c r="C179" s="38"/>
      <c r="D179" s="470"/>
      <c r="E179" s="470"/>
      <c r="G179" s="38"/>
      <c r="H179" s="38"/>
      <c r="I179" s="470"/>
      <c r="J179" s="470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</row>
    <row r="180" spans="2:27" ht="19.5" customHeight="1" x14ac:dyDescent="0.25">
      <c r="B180" s="38"/>
      <c r="C180" s="38"/>
      <c r="D180" s="470"/>
      <c r="E180" s="470"/>
      <c r="G180" s="38"/>
      <c r="H180" s="38"/>
      <c r="I180" s="470"/>
      <c r="J180" s="470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</row>
    <row r="181" spans="2:27" ht="19.5" customHeight="1" x14ac:dyDescent="0.25">
      <c r="B181" s="38"/>
      <c r="C181" s="38"/>
      <c r="D181" s="470"/>
      <c r="E181" s="470"/>
      <c r="G181" s="38"/>
      <c r="H181" s="38"/>
      <c r="I181" s="470"/>
      <c r="J181" s="470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</row>
    <row r="182" spans="2:27" ht="19.5" customHeight="1" x14ac:dyDescent="0.25">
      <c r="B182" s="38"/>
      <c r="C182" s="38"/>
      <c r="D182" s="470"/>
      <c r="E182" s="470"/>
      <c r="G182" s="38"/>
      <c r="H182" s="38"/>
      <c r="I182" s="470"/>
      <c r="J182" s="470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</row>
    <row r="183" spans="2:27" ht="19.5" customHeight="1" x14ac:dyDescent="0.25">
      <c r="B183" s="38"/>
      <c r="C183" s="38"/>
      <c r="D183" s="470"/>
      <c r="E183" s="470"/>
      <c r="G183" s="38"/>
      <c r="H183" s="38"/>
      <c r="I183" s="470"/>
      <c r="J183" s="470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</row>
    <row r="184" spans="2:27" ht="19.5" customHeight="1" x14ac:dyDescent="0.25">
      <c r="B184" s="38"/>
      <c r="C184" s="38"/>
      <c r="D184" s="470"/>
      <c r="E184" s="470"/>
      <c r="G184" s="38"/>
      <c r="H184" s="38"/>
      <c r="I184" s="470"/>
      <c r="J184" s="470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</row>
    <row r="185" spans="2:27" ht="19.5" customHeight="1" x14ac:dyDescent="0.25">
      <c r="B185" s="38"/>
      <c r="C185" s="38"/>
      <c r="D185" s="470"/>
      <c r="E185" s="470"/>
      <c r="G185" s="38"/>
      <c r="H185" s="38"/>
      <c r="I185" s="470"/>
      <c r="J185" s="470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</row>
    <row r="186" spans="2:27" ht="19.5" customHeight="1" x14ac:dyDescent="0.25">
      <c r="B186" s="38"/>
      <c r="C186" s="38"/>
      <c r="D186" s="470"/>
      <c r="E186" s="470"/>
      <c r="G186" s="38"/>
      <c r="H186" s="38"/>
      <c r="I186" s="470"/>
      <c r="J186" s="470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</row>
    <row r="187" spans="2:27" ht="19.5" customHeight="1" x14ac:dyDescent="0.25">
      <c r="B187" s="38"/>
      <c r="C187" s="38"/>
      <c r="D187" s="470"/>
      <c r="E187" s="470"/>
      <c r="G187" s="38"/>
      <c r="H187" s="38"/>
      <c r="I187" s="470"/>
      <c r="J187" s="470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</row>
    <row r="188" spans="2:27" ht="19.5" customHeight="1" x14ac:dyDescent="0.25">
      <c r="B188" s="38"/>
      <c r="C188" s="38"/>
      <c r="D188" s="470"/>
      <c r="E188" s="470"/>
      <c r="G188" s="38"/>
      <c r="H188" s="38"/>
      <c r="I188" s="470"/>
      <c r="J188" s="470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</row>
    <row r="189" spans="2:27" ht="19.5" customHeight="1" x14ac:dyDescent="0.25">
      <c r="B189" s="38"/>
      <c r="C189" s="38"/>
      <c r="D189" s="470"/>
      <c r="E189" s="470"/>
      <c r="G189" s="38"/>
      <c r="H189" s="38"/>
      <c r="I189" s="470"/>
      <c r="J189" s="470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</row>
    <row r="190" spans="2:27" ht="19.5" customHeight="1" x14ac:dyDescent="0.25">
      <c r="B190" s="38"/>
      <c r="C190" s="38"/>
      <c r="D190" s="470"/>
      <c r="E190" s="470"/>
      <c r="G190" s="38"/>
      <c r="H190" s="38"/>
      <c r="I190" s="470"/>
      <c r="J190" s="470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</row>
    <row r="191" spans="2:27" ht="19.5" customHeight="1" x14ac:dyDescent="0.25">
      <c r="B191" s="38"/>
      <c r="C191" s="38"/>
      <c r="D191" s="470"/>
      <c r="E191" s="470"/>
      <c r="G191" s="38"/>
      <c r="H191" s="38"/>
      <c r="I191" s="470"/>
      <c r="J191" s="470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</row>
    <row r="192" spans="2:27" ht="19.5" customHeight="1" x14ac:dyDescent="0.25">
      <c r="B192" s="38"/>
      <c r="C192" s="38"/>
      <c r="D192" s="470"/>
      <c r="E192" s="470"/>
      <c r="G192" s="38"/>
      <c r="H192" s="38"/>
      <c r="I192" s="470"/>
      <c r="J192" s="470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</row>
    <row r="193" spans="2:27" ht="19.5" customHeight="1" x14ac:dyDescent="0.25">
      <c r="B193" s="38"/>
      <c r="C193" s="38"/>
      <c r="D193" s="470"/>
      <c r="E193" s="470"/>
      <c r="G193" s="38"/>
      <c r="H193" s="38"/>
      <c r="I193" s="470"/>
      <c r="J193" s="470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</row>
    <row r="194" spans="2:27" ht="19.5" customHeight="1" x14ac:dyDescent="0.25">
      <c r="B194" s="38"/>
      <c r="C194" s="38"/>
      <c r="D194" s="470"/>
      <c r="E194" s="470"/>
      <c r="G194" s="38"/>
      <c r="H194" s="38"/>
      <c r="I194" s="470"/>
      <c r="J194" s="470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</row>
    <row r="195" spans="2:27" ht="19.5" customHeight="1" x14ac:dyDescent="0.25">
      <c r="B195" s="38"/>
      <c r="C195" s="38"/>
      <c r="D195" s="470"/>
      <c r="E195" s="470"/>
      <c r="G195" s="38"/>
      <c r="H195" s="38"/>
      <c r="I195" s="470"/>
      <c r="J195" s="470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</row>
    <row r="196" spans="2:27" ht="19.5" customHeight="1" x14ac:dyDescent="0.25">
      <c r="B196" s="38"/>
      <c r="C196" s="38"/>
      <c r="D196" s="470"/>
      <c r="E196" s="470"/>
      <c r="G196" s="38"/>
      <c r="H196" s="38"/>
      <c r="I196" s="470"/>
      <c r="J196" s="470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</row>
    <row r="197" spans="2:27" ht="19.5" customHeight="1" x14ac:dyDescent="0.25">
      <c r="B197" s="38"/>
      <c r="C197" s="38"/>
      <c r="D197" s="470"/>
      <c r="E197" s="470"/>
      <c r="G197" s="38"/>
      <c r="H197" s="38"/>
      <c r="I197" s="470"/>
      <c r="J197" s="470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</row>
    <row r="198" spans="2:27" ht="19.5" customHeight="1" x14ac:dyDescent="0.25">
      <c r="B198" s="38"/>
      <c r="C198" s="38"/>
      <c r="D198" s="470"/>
      <c r="E198" s="470"/>
      <c r="G198" s="38"/>
      <c r="H198" s="38"/>
      <c r="I198" s="470"/>
      <c r="J198" s="470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</row>
    <row r="199" spans="2:27" ht="19.5" customHeight="1" x14ac:dyDescent="0.25">
      <c r="B199" s="38"/>
      <c r="C199" s="38"/>
      <c r="D199" s="470"/>
      <c r="E199" s="470"/>
      <c r="G199" s="38"/>
      <c r="H199" s="38"/>
      <c r="I199" s="470"/>
      <c r="J199" s="470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</row>
    <row r="200" spans="2:27" ht="19.5" customHeight="1" x14ac:dyDescent="0.25">
      <c r="B200" s="38"/>
      <c r="C200" s="38"/>
      <c r="D200" s="470"/>
      <c r="E200" s="470"/>
      <c r="G200" s="38"/>
      <c r="H200" s="38"/>
      <c r="I200" s="470"/>
      <c r="J200" s="470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</row>
    <row r="201" spans="2:27" ht="19.5" customHeight="1" x14ac:dyDescent="0.25">
      <c r="B201" s="38"/>
      <c r="C201" s="38"/>
      <c r="D201" s="470"/>
      <c r="E201" s="470"/>
      <c r="G201" s="38"/>
      <c r="H201" s="38"/>
      <c r="I201" s="470"/>
      <c r="J201" s="470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</row>
    <row r="202" spans="2:27" ht="19.5" customHeight="1" x14ac:dyDescent="0.25">
      <c r="B202" s="38"/>
      <c r="C202" s="38"/>
      <c r="D202" s="470"/>
      <c r="E202" s="470"/>
      <c r="G202" s="38"/>
      <c r="H202" s="38"/>
      <c r="I202" s="470"/>
      <c r="J202" s="470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</row>
    <row r="203" spans="2:27" ht="19.5" customHeight="1" x14ac:dyDescent="0.25">
      <c r="B203" s="38"/>
      <c r="C203" s="38"/>
      <c r="D203" s="470"/>
      <c r="E203" s="470"/>
      <c r="G203" s="38"/>
      <c r="H203" s="38"/>
      <c r="I203" s="470"/>
      <c r="J203" s="470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</row>
    <row r="204" spans="2:27" ht="19.5" customHeight="1" x14ac:dyDescent="0.25">
      <c r="B204" s="38"/>
      <c r="C204" s="38"/>
      <c r="D204" s="470"/>
      <c r="E204" s="470"/>
      <c r="G204" s="38"/>
      <c r="H204" s="38"/>
      <c r="I204" s="470"/>
      <c r="J204" s="470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</row>
    <row r="205" spans="2:27" ht="19.5" customHeight="1" x14ac:dyDescent="0.25">
      <c r="B205" s="38"/>
      <c r="C205" s="38"/>
      <c r="D205" s="470"/>
      <c r="E205" s="470"/>
      <c r="G205" s="38"/>
      <c r="H205" s="38"/>
      <c r="I205" s="470"/>
      <c r="J205" s="470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</row>
    <row r="206" spans="2:27" ht="19.5" customHeight="1" x14ac:dyDescent="0.25">
      <c r="B206" s="38"/>
      <c r="C206" s="38"/>
      <c r="D206" s="470"/>
      <c r="E206" s="470"/>
      <c r="G206" s="38"/>
      <c r="H206" s="38"/>
      <c r="I206" s="470"/>
      <c r="J206" s="470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</row>
    <row r="207" spans="2:27" ht="19.5" customHeight="1" x14ac:dyDescent="0.25">
      <c r="B207" s="38"/>
      <c r="C207" s="38"/>
      <c r="D207" s="470"/>
      <c r="E207" s="470"/>
      <c r="G207" s="38"/>
      <c r="H207" s="38"/>
      <c r="I207" s="470"/>
      <c r="J207" s="470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</row>
    <row r="208" spans="2:27" ht="19.5" customHeight="1" x14ac:dyDescent="0.25">
      <c r="B208" s="38"/>
      <c r="C208" s="38"/>
      <c r="D208" s="470"/>
      <c r="E208" s="470"/>
      <c r="G208" s="38"/>
      <c r="H208" s="38"/>
      <c r="I208" s="470"/>
      <c r="J208" s="470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</row>
    <row r="209" spans="2:27" ht="19.5" customHeight="1" x14ac:dyDescent="0.25">
      <c r="B209" s="38"/>
      <c r="C209" s="38"/>
      <c r="D209" s="470"/>
      <c r="E209" s="470"/>
      <c r="G209" s="38"/>
      <c r="H209" s="38"/>
      <c r="I209" s="470"/>
      <c r="J209" s="470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</row>
    <row r="210" spans="2:27" ht="19.5" customHeight="1" x14ac:dyDescent="0.25">
      <c r="B210" s="38"/>
      <c r="C210" s="38"/>
      <c r="D210" s="470"/>
      <c r="E210" s="470"/>
      <c r="G210" s="38"/>
      <c r="H210" s="38"/>
      <c r="I210" s="470"/>
      <c r="J210" s="470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</row>
    <row r="211" spans="2:27" ht="19.5" customHeight="1" x14ac:dyDescent="0.25">
      <c r="B211" s="38"/>
      <c r="C211" s="38"/>
      <c r="D211" s="470"/>
      <c r="E211" s="470"/>
      <c r="G211" s="38"/>
      <c r="H211" s="38"/>
      <c r="I211" s="470"/>
      <c r="J211" s="470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</row>
    <row r="212" spans="2:27" ht="19.5" customHeight="1" x14ac:dyDescent="0.25">
      <c r="B212" s="38"/>
      <c r="C212" s="38"/>
      <c r="D212" s="470"/>
      <c r="E212" s="470"/>
      <c r="G212" s="38"/>
      <c r="H212" s="38"/>
      <c r="I212" s="470"/>
      <c r="J212" s="470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</row>
    <row r="213" spans="2:27" ht="19.5" customHeight="1" x14ac:dyDescent="0.25">
      <c r="B213" s="38"/>
      <c r="C213" s="38"/>
      <c r="D213" s="470"/>
      <c r="E213" s="470"/>
      <c r="G213" s="38"/>
      <c r="H213" s="38"/>
      <c r="I213" s="470"/>
      <c r="J213" s="470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</row>
    <row r="214" spans="2:27" ht="19.5" customHeight="1" x14ac:dyDescent="0.25">
      <c r="B214" s="38"/>
      <c r="C214" s="38"/>
      <c r="D214" s="470"/>
      <c r="E214" s="470"/>
      <c r="G214" s="38"/>
      <c r="H214" s="38"/>
      <c r="I214" s="470"/>
      <c r="J214" s="470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</row>
    <row r="215" spans="2:27" ht="19.5" customHeight="1" x14ac:dyDescent="0.25">
      <c r="B215" s="38"/>
      <c r="C215" s="38"/>
      <c r="D215" s="470"/>
      <c r="E215" s="470"/>
      <c r="G215" s="38"/>
      <c r="H215" s="38"/>
      <c r="I215" s="470"/>
      <c r="J215" s="470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</row>
    <row r="216" spans="2:27" ht="19.5" customHeight="1" x14ac:dyDescent="0.25">
      <c r="B216" s="38"/>
      <c r="C216" s="38"/>
      <c r="D216" s="470"/>
      <c r="E216" s="470"/>
      <c r="G216" s="38"/>
      <c r="H216" s="38"/>
      <c r="I216" s="470"/>
      <c r="J216" s="470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</row>
    <row r="217" spans="2:27" ht="19.5" customHeight="1" x14ac:dyDescent="0.25">
      <c r="B217" s="38"/>
      <c r="C217" s="38"/>
      <c r="D217" s="470"/>
      <c r="E217" s="470"/>
      <c r="G217" s="38"/>
      <c r="H217" s="38"/>
      <c r="I217" s="470"/>
      <c r="J217" s="470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</row>
    <row r="218" spans="2:27" ht="19.5" customHeight="1" x14ac:dyDescent="0.25">
      <c r="B218" s="38"/>
      <c r="C218" s="38"/>
      <c r="D218" s="470"/>
      <c r="E218" s="470"/>
      <c r="G218" s="38"/>
      <c r="H218" s="38"/>
      <c r="I218" s="470"/>
      <c r="J218" s="470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</row>
    <row r="219" spans="2:27" ht="19.5" customHeight="1" x14ac:dyDescent="0.25">
      <c r="B219" s="38"/>
      <c r="C219" s="38"/>
      <c r="D219" s="470"/>
      <c r="E219" s="470"/>
      <c r="G219" s="38"/>
      <c r="H219" s="38"/>
      <c r="I219" s="470"/>
      <c r="J219" s="470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</row>
    <row r="220" spans="2:27" ht="19.5" customHeight="1" x14ac:dyDescent="0.25">
      <c r="B220" s="38"/>
      <c r="C220" s="38"/>
      <c r="D220" s="470"/>
      <c r="E220" s="470"/>
      <c r="G220" s="38"/>
      <c r="H220" s="38"/>
      <c r="I220" s="470"/>
      <c r="J220" s="470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</row>
    <row r="221" spans="2:27" ht="19.5" customHeight="1" x14ac:dyDescent="0.25">
      <c r="B221" s="38"/>
      <c r="C221" s="38"/>
      <c r="D221" s="470"/>
      <c r="E221" s="470"/>
      <c r="G221" s="38"/>
      <c r="H221" s="38"/>
      <c r="I221" s="470"/>
      <c r="J221" s="470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</row>
    <row r="222" spans="2:27" ht="19.5" customHeight="1" x14ac:dyDescent="0.25">
      <c r="B222" s="38"/>
      <c r="C222" s="38"/>
      <c r="D222" s="470"/>
      <c r="E222" s="470"/>
      <c r="G222" s="38"/>
      <c r="H222" s="38"/>
      <c r="I222" s="470"/>
      <c r="J222" s="470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</row>
    <row r="223" spans="2:27" ht="19.5" customHeight="1" x14ac:dyDescent="0.25">
      <c r="B223" s="38"/>
      <c r="C223" s="38"/>
      <c r="D223" s="470"/>
      <c r="E223" s="470"/>
      <c r="G223" s="38"/>
      <c r="H223" s="38"/>
      <c r="I223" s="470"/>
      <c r="J223" s="470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</row>
    <row r="224" spans="2:27" ht="19.5" customHeight="1" x14ac:dyDescent="0.25">
      <c r="B224" s="38"/>
      <c r="C224" s="38"/>
      <c r="D224" s="470"/>
      <c r="E224" s="470"/>
      <c r="G224" s="38"/>
      <c r="H224" s="38"/>
      <c r="I224" s="470"/>
      <c r="J224" s="470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</row>
    <row r="225" spans="2:27" ht="19.5" customHeight="1" x14ac:dyDescent="0.25">
      <c r="B225" s="38"/>
      <c r="C225" s="38"/>
      <c r="D225" s="470"/>
      <c r="E225" s="470"/>
      <c r="G225" s="38"/>
      <c r="H225" s="38"/>
      <c r="I225" s="470"/>
      <c r="J225" s="470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</row>
    <row r="226" spans="2:27" ht="19.5" customHeight="1" x14ac:dyDescent="0.25">
      <c r="B226" s="38"/>
      <c r="C226" s="38"/>
      <c r="D226" s="470"/>
      <c r="E226" s="470"/>
      <c r="G226" s="38"/>
      <c r="H226" s="38"/>
      <c r="I226" s="470"/>
      <c r="J226" s="470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</row>
    <row r="227" spans="2:27" ht="19.5" customHeight="1" x14ac:dyDescent="0.25">
      <c r="B227" s="38"/>
      <c r="C227" s="38"/>
      <c r="D227" s="470"/>
      <c r="E227" s="470"/>
      <c r="G227" s="38"/>
      <c r="H227" s="38"/>
      <c r="I227" s="470"/>
      <c r="J227" s="470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</row>
    <row r="228" spans="2:27" ht="19.5" customHeight="1" x14ac:dyDescent="0.25">
      <c r="B228" s="38"/>
      <c r="C228" s="38"/>
      <c r="D228" s="470"/>
      <c r="E228" s="470"/>
      <c r="G228" s="38"/>
      <c r="H228" s="38"/>
      <c r="I228" s="470"/>
      <c r="J228" s="470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</row>
    <row r="229" spans="2:27" ht="19.5" customHeight="1" x14ac:dyDescent="0.25">
      <c r="B229" s="38"/>
      <c r="C229" s="38"/>
      <c r="D229" s="470"/>
      <c r="E229" s="470"/>
      <c r="G229" s="38"/>
      <c r="H229" s="38"/>
      <c r="I229" s="470"/>
      <c r="J229" s="470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</row>
    <row r="230" spans="2:27" ht="19.5" customHeight="1" x14ac:dyDescent="0.25">
      <c r="B230" s="38"/>
      <c r="C230" s="38"/>
      <c r="D230" s="470"/>
      <c r="E230" s="470"/>
      <c r="G230" s="38"/>
      <c r="H230" s="38"/>
      <c r="I230" s="470"/>
      <c r="J230" s="470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</row>
    <row r="231" spans="2:27" ht="19.5" customHeight="1" x14ac:dyDescent="0.25">
      <c r="B231" s="38"/>
      <c r="C231" s="38"/>
      <c r="D231" s="470"/>
      <c r="E231" s="470"/>
      <c r="G231" s="38"/>
      <c r="H231" s="38"/>
      <c r="I231" s="470"/>
      <c r="J231" s="470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</row>
    <row r="232" spans="2:27" ht="19.5" customHeight="1" x14ac:dyDescent="0.25">
      <c r="B232" s="38"/>
      <c r="C232" s="38"/>
      <c r="D232" s="470"/>
      <c r="E232" s="470"/>
      <c r="G232" s="38"/>
      <c r="H232" s="38"/>
      <c r="I232" s="470"/>
      <c r="J232" s="470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</row>
    <row r="233" spans="2:27" ht="19.5" customHeight="1" x14ac:dyDescent="0.25">
      <c r="B233" s="38"/>
      <c r="C233" s="38"/>
      <c r="D233" s="470"/>
      <c r="E233" s="470"/>
      <c r="G233" s="38"/>
      <c r="H233" s="38"/>
      <c r="I233" s="470"/>
      <c r="J233" s="470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</row>
    <row r="234" spans="2:27" ht="19.5" customHeight="1" x14ac:dyDescent="0.25">
      <c r="B234" s="38"/>
      <c r="C234" s="38"/>
      <c r="D234" s="470"/>
      <c r="E234" s="470"/>
      <c r="G234" s="38"/>
      <c r="H234" s="38"/>
      <c r="I234" s="470"/>
      <c r="J234" s="470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</row>
    <row r="235" spans="2:27" ht="19.5" customHeight="1" x14ac:dyDescent="0.25">
      <c r="B235" s="38"/>
      <c r="C235" s="38"/>
      <c r="D235" s="470"/>
      <c r="E235" s="470"/>
      <c r="G235" s="38"/>
      <c r="H235" s="38"/>
      <c r="I235" s="470"/>
      <c r="J235" s="470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</row>
    <row r="236" spans="2:27" ht="19.5" customHeight="1" x14ac:dyDescent="0.25">
      <c r="B236" s="38"/>
      <c r="C236" s="38"/>
      <c r="D236" s="470"/>
      <c r="E236" s="470"/>
      <c r="G236" s="38"/>
      <c r="H236" s="38"/>
      <c r="I236" s="470"/>
      <c r="J236" s="470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</row>
    <row r="237" spans="2:27" ht="19.5" customHeight="1" x14ac:dyDescent="0.25">
      <c r="B237" s="38"/>
      <c r="C237" s="38"/>
      <c r="D237" s="470"/>
      <c r="E237" s="470"/>
      <c r="G237" s="38"/>
      <c r="H237" s="38"/>
      <c r="I237" s="470"/>
      <c r="J237" s="470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</row>
    <row r="238" spans="2:27" ht="19.5" customHeight="1" x14ac:dyDescent="0.25">
      <c r="B238" s="38"/>
      <c r="C238" s="38"/>
      <c r="D238" s="470"/>
      <c r="E238" s="470"/>
      <c r="G238" s="38"/>
      <c r="H238" s="38"/>
      <c r="I238" s="470"/>
      <c r="J238" s="470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</row>
    <row r="239" spans="2:27" ht="19.5" customHeight="1" x14ac:dyDescent="0.25">
      <c r="B239" s="38"/>
      <c r="C239" s="38"/>
      <c r="D239" s="470"/>
      <c r="E239" s="470"/>
      <c r="G239" s="38"/>
      <c r="H239" s="38"/>
      <c r="I239" s="470"/>
      <c r="J239" s="470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</row>
    <row r="240" spans="2:27" ht="19.5" customHeight="1" x14ac:dyDescent="0.25">
      <c r="B240" s="38"/>
      <c r="C240" s="38"/>
      <c r="D240" s="470"/>
      <c r="E240" s="470"/>
      <c r="G240" s="38"/>
      <c r="H240" s="38"/>
      <c r="I240" s="470"/>
      <c r="J240" s="470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</row>
    <row r="241" spans="2:27" ht="19.5" customHeight="1" x14ac:dyDescent="0.25">
      <c r="B241" s="38"/>
      <c r="C241" s="38"/>
      <c r="D241" s="470"/>
      <c r="E241" s="470"/>
      <c r="G241" s="38"/>
      <c r="H241" s="38"/>
      <c r="I241" s="470"/>
      <c r="J241" s="470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</row>
    <row r="242" spans="2:27" ht="19.5" customHeight="1" x14ac:dyDescent="0.25">
      <c r="B242" s="38"/>
      <c r="C242" s="38"/>
      <c r="D242" s="470"/>
      <c r="E242" s="470"/>
      <c r="G242" s="38"/>
      <c r="H242" s="38"/>
      <c r="I242" s="470"/>
      <c r="J242" s="470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</row>
    <row r="243" spans="2:27" ht="19.5" customHeight="1" x14ac:dyDescent="0.25">
      <c r="B243" s="38"/>
      <c r="C243" s="38"/>
      <c r="D243" s="470"/>
      <c r="E243" s="470"/>
      <c r="G243" s="38"/>
      <c r="H243" s="38"/>
      <c r="I243" s="470"/>
      <c r="J243" s="470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</row>
    <row r="244" spans="2:27" ht="19.5" customHeight="1" x14ac:dyDescent="0.25">
      <c r="B244" s="38"/>
      <c r="C244" s="38"/>
      <c r="D244" s="470"/>
      <c r="E244" s="470"/>
      <c r="G244" s="38"/>
      <c r="H244" s="38"/>
      <c r="I244" s="470"/>
      <c r="J244" s="470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</row>
    <row r="245" spans="2:27" ht="19.5" customHeight="1" x14ac:dyDescent="0.25">
      <c r="B245" s="38"/>
      <c r="C245" s="38"/>
      <c r="D245" s="470"/>
      <c r="E245" s="470"/>
      <c r="G245" s="38"/>
      <c r="H245" s="38"/>
      <c r="I245" s="470"/>
      <c r="J245" s="470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</row>
    <row r="246" spans="2:27" ht="19.5" customHeight="1" x14ac:dyDescent="0.25">
      <c r="B246" s="38"/>
      <c r="C246" s="38"/>
      <c r="D246" s="470"/>
      <c r="E246" s="470"/>
      <c r="G246" s="38"/>
      <c r="H246" s="38"/>
      <c r="I246" s="470"/>
      <c r="J246" s="470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</row>
    <row r="247" spans="2:27" ht="19.5" customHeight="1" x14ac:dyDescent="0.25">
      <c r="B247" s="38"/>
      <c r="C247" s="38"/>
      <c r="D247" s="470"/>
      <c r="E247" s="470"/>
      <c r="G247" s="38"/>
      <c r="H247" s="38"/>
      <c r="I247" s="470"/>
      <c r="J247" s="470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</row>
    <row r="248" spans="2:27" ht="19.5" customHeight="1" x14ac:dyDescent="0.25">
      <c r="B248" s="38"/>
      <c r="C248" s="38"/>
      <c r="D248" s="470"/>
      <c r="E248" s="470"/>
      <c r="G248" s="38"/>
      <c r="H248" s="38"/>
      <c r="I248" s="470"/>
      <c r="J248" s="470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</row>
    <row r="249" spans="2:27" ht="19.5" customHeight="1" x14ac:dyDescent="0.25">
      <c r="B249" s="38"/>
      <c r="C249" s="38"/>
      <c r="D249" s="470"/>
      <c r="E249" s="470"/>
      <c r="G249" s="38"/>
      <c r="H249" s="38"/>
      <c r="I249" s="470"/>
      <c r="J249" s="470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</row>
    <row r="250" spans="2:27" ht="19.5" customHeight="1" x14ac:dyDescent="0.25">
      <c r="B250" s="38"/>
      <c r="C250" s="38"/>
      <c r="D250" s="470"/>
      <c r="E250" s="470"/>
      <c r="G250" s="38"/>
      <c r="H250" s="38"/>
      <c r="I250" s="470"/>
      <c r="J250" s="470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</row>
    <row r="251" spans="2:27" ht="19.5" customHeight="1" x14ac:dyDescent="0.25">
      <c r="B251" s="38"/>
      <c r="C251" s="38"/>
      <c r="D251" s="470"/>
      <c r="E251" s="470"/>
      <c r="G251" s="38"/>
      <c r="H251" s="38"/>
      <c r="I251" s="470"/>
      <c r="J251" s="470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</row>
    <row r="252" spans="2:27" ht="19.5" customHeight="1" x14ac:dyDescent="0.25">
      <c r="B252" s="38"/>
      <c r="C252" s="38"/>
      <c r="D252" s="470"/>
      <c r="E252" s="470"/>
      <c r="G252" s="38"/>
      <c r="H252" s="38"/>
      <c r="I252" s="470"/>
      <c r="J252" s="470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</row>
    <row r="253" spans="2:27" ht="19.5" customHeight="1" x14ac:dyDescent="0.25">
      <c r="B253" s="38"/>
      <c r="C253" s="38"/>
      <c r="D253" s="470"/>
      <c r="E253" s="470"/>
      <c r="G253" s="38"/>
      <c r="H253" s="38"/>
      <c r="I253" s="470"/>
      <c r="J253" s="470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</row>
    <row r="254" spans="2:27" ht="19.5" customHeight="1" x14ac:dyDescent="0.25">
      <c r="B254" s="38"/>
      <c r="C254" s="38"/>
      <c r="D254" s="470"/>
      <c r="E254" s="470"/>
      <c r="G254" s="38"/>
      <c r="H254" s="38"/>
      <c r="I254" s="470"/>
      <c r="J254" s="470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</row>
    <row r="255" spans="2:27" ht="19.5" customHeight="1" x14ac:dyDescent="0.25">
      <c r="B255" s="38"/>
      <c r="C255" s="38"/>
      <c r="D255" s="470"/>
      <c r="E255" s="470"/>
      <c r="G255" s="38"/>
      <c r="H255" s="38"/>
      <c r="I255" s="470"/>
      <c r="J255" s="470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</row>
    <row r="256" spans="2:27" ht="19.5" customHeight="1" x14ac:dyDescent="0.25">
      <c r="B256" s="38"/>
      <c r="C256" s="38"/>
      <c r="D256" s="470"/>
      <c r="E256" s="470"/>
      <c r="G256" s="38"/>
      <c r="H256" s="38"/>
      <c r="I256" s="470"/>
      <c r="J256" s="470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</row>
    <row r="257" spans="2:27" ht="19.5" customHeight="1" x14ac:dyDescent="0.25">
      <c r="B257" s="38"/>
      <c r="C257" s="38"/>
      <c r="D257" s="470"/>
      <c r="E257" s="470"/>
      <c r="G257" s="38"/>
      <c r="H257" s="38"/>
      <c r="I257" s="470"/>
      <c r="J257" s="470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</row>
    <row r="258" spans="2:27" ht="19.5" customHeight="1" x14ac:dyDescent="0.25">
      <c r="B258" s="38"/>
      <c r="C258" s="38"/>
      <c r="D258" s="470"/>
      <c r="E258" s="470"/>
      <c r="G258" s="38"/>
      <c r="H258" s="38"/>
      <c r="I258" s="470"/>
      <c r="J258" s="470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</row>
    <row r="259" spans="2:27" ht="19.5" customHeight="1" x14ac:dyDescent="0.25">
      <c r="B259" s="38"/>
      <c r="C259" s="38"/>
      <c r="D259" s="470"/>
      <c r="E259" s="470"/>
      <c r="G259" s="38"/>
      <c r="H259" s="38"/>
      <c r="I259" s="470"/>
      <c r="J259" s="470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</row>
    <row r="260" spans="2:27" ht="19.5" customHeight="1" x14ac:dyDescent="0.25">
      <c r="B260" s="38"/>
      <c r="C260" s="38"/>
      <c r="D260" s="470"/>
      <c r="E260" s="470"/>
      <c r="G260" s="38"/>
      <c r="H260" s="38"/>
      <c r="I260" s="470"/>
      <c r="J260" s="470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</row>
    <row r="261" spans="2:27" ht="19.5" customHeight="1" x14ac:dyDescent="0.25">
      <c r="B261" s="38"/>
      <c r="C261" s="38"/>
      <c r="D261" s="470"/>
      <c r="E261" s="470"/>
      <c r="G261" s="38"/>
      <c r="H261" s="38"/>
      <c r="I261" s="470"/>
      <c r="J261" s="470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</row>
    <row r="262" spans="2:27" ht="19.5" customHeight="1" x14ac:dyDescent="0.25">
      <c r="B262" s="38"/>
      <c r="C262" s="38"/>
      <c r="D262" s="470"/>
      <c r="E262" s="470"/>
      <c r="G262" s="38"/>
      <c r="H262" s="38"/>
      <c r="I262" s="470"/>
      <c r="J262" s="470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</row>
    <row r="263" spans="2:27" ht="19.5" customHeight="1" x14ac:dyDescent="0.25">
      <c r="B263" s="38"/>
      <c r="C263" s="38"/>
      <c r="D263" s="470"/>
      <c r="E263" s="470"/>
      <c r="G263" s="38"/>
      <c r="H263" s="38"/>
      <c r="I263" s="470"/>
      <c r="J263" s="470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</row>
    <row r="264" spans="2:27" ht="19.5" customHeight="1" x14ac:dyDescent="0.25">
      <c r="B264" s="38"/>
      <c r="C264" s="38"/>
      <c r="D264" s="470"/>
      <c r="E264" s="470"/>
      <c r="G264" s="38"/>
      <c r="H264" s="38"/>
      <c r="I264" s="470"/>
      <c r="J264" s="470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</row>
    <row r="265" spans="2:27" ht="19.5" customHeight="1" x14ac:dyDescent="0.25">
      <c r="B265" s="38"/>
      <c r="C265" s="38"/>
      <c r="D265" s="470"/>
      <c r="E265" s="470"/>
      <c r="G265" s="38"/>
      <c r="H265" s="38"/>
      <c r="I265" s="470"/>
      <c r="J265" s="470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</row>
    <row r="266" spans="2:27" ht="19.5" customHeight="1" x14ac:dyDescent="0.25">
      <c r="B266" s="38"/>
      <c r="C266" s="38"/>
      <c r="D266" s="470"/>
      <c r="E266" s="470"/>
      <c r="G266" s="38"/>
      <c r="H266" s="38"/>
      <c r="I266" s="470"/>
      <c r="J266" s="470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</row>
    <row r="267" spans="2:27" ht="19.5" customHeight="1" x14ac:dyDescent="0.25">
      <c r="B267" s="38"/>
      <c r="C267" s="38"/>
      <c r="D267" s="470"/>
      <c r="E267" s="470"/>
      <c r="G267" s="38"/>
      <c r="H267" s="38"/>
      <c r="I267" s="470"/>
      <c r="J267" s="470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</row>
    <row r="268" spans="2:27" ht="19.5" customHeight="1" x14ac:dyDescent="0.25">
      <c r="B268" s="38"/>
      <c r="C268" s="38"/>
      <c r="D268" s="470"/>
      <c r="E268" s="470"/>
      <c r="G268" s="38"/>
      <c r="H268" s="38"/>
      <c r="I268" s="470"/>
      <c r="J268" s="470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</row>
    <row r="269" spans="2:27" ht="19.5" customHeight="1" x14ac:dyDescent="0.25">
      <c r="B269" s="38"/>
      <c r="C269" s="38"/>
      <c r="D269" s="470"/>
      <c r="E269" s="470"/>
      <c r="G269" s="38"/>
      <c r="H269" s="38"/>
      <c r="I269" s="470"/>
      <c r="J269" s="470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</row>
    <row r="270" spans="2:27" ht="19.5" customHeight="1" x14ac:dyDescent="0.25">
      <c r="B270" s="38"/>
      <c r="C270" s="38"/>
      <c r="D270" s="470"/>
      <c r="E270" s="470"/>
      <c r="G270" s="38"/>
      <c r="H270" s="38"/>
      <c r="I270" s="470"/>
      <c r="J270" s="470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</row>
    <row r="271" spans="2:27" ht="19.5" customHeight="1" x14ac:dyDescent="0.25">
      <c r="B271" s="38"/>
      <c r="C271" s="38"/>
      <c r="D271" s="470"/>
      <c r="E271" s="470"/>
      <c r="G271" s="38"/>
      <c r="H271" s="38"/>
      <c r="I271" s="470"/>
      <c r="J271" s="470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</row>
    <row r="272" spans="2:27" ht="19.5" customHeight="1" x14ac:dyDescent="0.25">
      <c r="B272" s="38"/>
      <c r="C272" s="38"/>
      <c r="D272" s="470"/>
      <c r="E272" s="470"/>
      <c r="G272" s="38"/>
      <c r="H272" s="38"/>
      <c r="I272" s="470"/>
      <c r="J272" s="470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</row>
    <row r="273" spans="2:27" ht="19.5" customHeight="1" x14ac:dyDescent="0.25">
      <c r="B273" s="38"/>
      <c r="C273" s="38"/>
      <c r="D273" s="470"/>
      <c r="E273" s="470"/>
      <c r="G273" s="38"/>
      <c r="H273" s="38"/>
      <c r="I273" s="470"/>
      <c r="J273" s="470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</row>
    <row r="274" spans="2:27" ht="19.5" customHeight="1" x14ac:dyDescent="0.25">
      <c r="B274" s="38"/>
      <c r="C274" s="38"/>
      <c r="D274" s="470"/>
      <c r="E274" s="470"/>
      <c r="G274" s="38"/>
      <c r="H274" s="38"/>
      <c r="I274" s="470"/>
      <c r="J274" s="470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</row>
    <row r="275" spans="2:27" ht="19.5" customHeight="1" x14ac:dyDescent="0.25">
      <c r="B275" s="38"/>
      <c r="C275" s="38"/>
      <c r="D275" s="470"/>
      <c r="E275" s="470"/>
      <c r="G275" s="38"/>
      <c r="H275" s="38"/>
      <c r="I275" s="470"/>
      <c r="J275" s="470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</row>
    <row r="276" spans="2:27" ht="19.5" customHeight="1" x14ac:dyDescent="0.25">
      <c r="B276" s="38"/>
      <c r="C276" s="38"/>
      <c r="D276" s="470"/>
      <c r="E276" s="470"/>
      <c r="G276" s="38"/>
      <c r="H276" s="38"/>
      <c r="I276" s="470"/>
      <c r="J276" s="470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</row>
    <row r="277" spans="2:27" ht="19.5" customHeight="1" x14ac:dyDescent="0.25">
      <c r="B277" s="38"/>
      <c r="C277" s="38"/>
      <c r="D277" s="470"/>
      <c r="E277" s="470"/>
      <c r="G277" s="38"/>
      <c r="H277" s="38"/>
      <c r="I277" s="470"/>
      <c r="J277" s="470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</row>
    <row r="278" spans="2:27" ht="19.5" customHeight="1" x14ac:dyDescent="0.25">
      <c r="B278" s="38"/>
      <c r="C278" s="38"/>
      <c r="D278" s="470"/>
      <c r="E278" s="470"/>
      <c r="G278" s="38"/>
      <c r="H278" s="38"/>
      <c r="I278" s="470"/>
      <c r="J278" s="470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</row>
    <row r="279" spans="2:27" ht="19.5" customHeight="1" x14ac:dyDescent="0.25">
      <c r="B279" s="38"/>
      <c r="C279" s="38"/>
      <c r="D279" s="470"/>
      <c r="E279" s="470"/>
      <c r="G279" s="38"/>
      <c r="H279" s="38"/>
      <c r="I279" s="470"/>
      <c r="J279" s="470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</row>
    <row r="280" spans="2:27" ht="19.5" customHeight="1" x14ac:dyDescent="0.25">
      <c r="B280" s="38"/>
      <c r="C280" s="38"/>
      <c r="D280" s="470"/>
      <c r="E280" s="470"/>
      <c r="G280" s="38"/>
      <c r="H280" s="38"/>
      <c r="I280" s="470"/>
      <c r="J280" s="470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</row>
    <row r="281" spans="2:27" ht="19.5" customHeight="1" x14ac:dyDescent="0.25">
      <c r="B281" s="38"/>
      <c r="C281" s="38"/>
      <c r="D281" s="470"/>
      <c r="E281" s="470"/>
      <c r="G281" s="38"/>
      <c r="H281" s="38"/>
      <c r="I281" s="470"/>
      <c r="J281" s="470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</row>
    <row r="282" spans="2:27" ht="19.5" customHeight="1" x14ac:dyDescent="0.25">
      <c r="B282" s="38"/>
      <c r="C282" s="38"/>
      <c r="D282" s="470"/>
      <c r="E282" s="470"/>
      <c r="G282" s="38"/>
      <c r="H282" s="38"/>
      <c r="I282" s="470"/>
      <c r="J282" s="470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</row>
    <row r="283" spans="2:27" ht="19.5" customHeight="1" x14ac:dyDescent="0.25">
      <c r="B283" s="38"/>
      <c r="C283" s="38"/>
      <c r="D283" s="470"/>
      <c r="E283" s="470"/>
      <c r="G283" s="38"/>
      <c r="H283" s="38"/>
      <c r="I283" s="470"/>
      <c r="J283" s="470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</row>
    <row r="284" spans="2:27" ht="19.5" customHeight="1" x14ac:dyDescent="0.25">
      <c r="B284" s="38"/>
      <c r="C284" s="38"/>
      <c r="D284" s="470"/>
      <c r="E284" s="470"/>
      <c r="G284" s="38"/>
      <c r="H284" s="38"/>
      <c r="I284" s="470"/>
      <c r="J284" s="470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</row>
    <row r="285" spans="2:27" ht="19.5" customHeight="1" x14ac:dyDescent="0.25">
      <c r="B285" s="38"/>
      <c r="C285" s="38"/>
      <c r="D285" s="470"/>
      <c r="E285" s="470"/>
      <c r="G285" s="38"/>
      <c r="H285" s="38"/>
      <c r="I285" s="470"/>
      <c r="J285" s="470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</row>
    <row r="286" spans="2:27" ht="19.5" customHeight="1" x14ac:dyDescent="0.25">
      <c r="B286" s="38"/>
      <c r="C286" s="38"/>
      <c r="D286" s="470"/>
      <c r="E286" s="470"/>
      <c r="G286" s="38"/>
      <c r="H286" s="38"/>
      <c r="I286" s="470"/>
      <c r="J286" s="470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</row>
    <row r="287" spans="2:27" ht="19.5" customHeight="1" x14ac:dyDescent="0.25">
      <c r="B287" s="38"/>
      <c r="C287" s="38"/>
      <c r="D287" s="470"/>
      <c r="E287" s="470"/>
      <c r="G287" s="38"/>
      <c r="H287" s="38"/>
      <c r="I287" s="470"/>
      <c r="J287" s="470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</row>
    <row r="288" spans="2:27" ht="19.5" customHeight="1" x14ac:dyDescent="0.25">
      <c r="B288" s="38"/>
      <c r="C288" s="38"/>
      <c r="D288" s="470"/>
      <c r="E288" s="470"/>
      <c r="G288" s="38"/>
      <c r="H288" s="38"/>
      <c r="I288" s="470"/>
      <c r="J288" s="470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</row>
    <row r="289" spans="2:27" ht="19.5" customHeight="1" x14ac:dyDescent="0.25">
      <c r="B289" s="38"/>
      <c r="C289" s="38"/>
      <c r="D289" s="470"/>
      <c r="E289" s="470"/>
      <c r="G289" s="38"/>
      <c r="H289" s="38"/>
      <c r="I289" s="470"/>
      <c r="J289" s="470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</row>
    <row r="290" spans="2:27" ht="19.5" customHeight="1" x14ac:dyDescent="0.25">
      <c r="B290" s="38"/>
      <c r="C290" s="38"/>
      <c r="D290" s="470"/>
      <c r="E290" s="470"/>
      <c r="G290" s="38"/>
      <c r="H290" s="38"/>
      <c r="I290" s="470"/>
      <c r="J290" s="470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</row>
    <row r="291" spans="2:27" ht="19.5" customHeight="1" x14ac:dyDescent="0.25">
      <c r="B291" s="38"/>
      <c r="C291" s="38"/>
      <c r="D291" s="470"/>
      <c r="E291" s="470"/>
      <c r="G291" s="38"/>
      <c r="H291" s="38"/>
      <c r="I291" s="470"/>
      <c r="J291" s="470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</row>
    <row r="292" spans="2:27" ht="19.5" customHeight="1" x14ac:dyDescent="0.25">
      <c r="B292" s="38"/>
      <c r="C292" s="38"/>
      <c r="D292" s="470"/>
      <c r="E292" s="470"/>
      <c r="G292" s="38"/>
      <c r="H292" s="38"/>
      <c r="I292" s="470"/>
      <c r="J292" s="470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</row>
    <row r="293" spans="2:27" ht="19.5" customHeight="1" x14ac:dyDescent="0.25">
      <c r="B293" s="38"/>
      <c r="C293" s="38"/>
      <c r="D293" s="470"/>
      <c r="E293" s="470"/>
      <c r="G293" s="38"/>
      <c r="H293" s="38"/>
      <c r="I293" s="470"/>
      <c r="J293" s="470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</row>
    <row r="294" spans="2:27" ht="19.5" customHeight="1" x14ac:dyDescent="0.25">
      <c r="B294" s="38"/>
      <c r="C294" s="38"/>
      <c r="D294" s="470"/>
      <c r="E294" s="470"/>
      <c r="G294" s="38"/>
      <c r="H294" s="38"/>
      <c r="I294" s="470"/>
      <c r="J294" s="470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</row>
    <row r="295" spans="2:27" ht="19.5" customHeight="1" x14ac:dyDescent="0.25">
      <c r="B295" s="38"/>
      <c r="C295" s="38"/>
      <c r="D295" s="470"/>
      <c r="E295" s="470"/>
      <c r="G295" s="38"/>
      <c r="H295" s="38"/>
      <c r="I295" s="470"/>
      <c r="J295" s="470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</row>
    <row r="296" spans="2:27" ht="19.5" customHeight="1" x14ac:dyDescent="0.25">
      <c r="B296" s="38"/>
      <c r="C296" s="38"/>
      <c r="D296" s="470"/>
      <c r="E296" s="470"/>
      <c r="G296" s="38"/>
      <c r="H296" s="38"/>
      <c r="I296" s="470"/>
      <c r="J296" s="470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</row>
    <row r="297" spans="2:27" ht="19.5" customHeight="1" x14ac:dyDescent="0.25">
      <c r="B297" s="38"/>
      <c r="C297" s="38"/>
      <c r="D297" s="470"/>
      <c r="E297" s="470"/>
      <c r="G297" s="38"/>
      <c r="H297" s="38"/>
      <c r="I297" s="470"/>
      <c r="J297" s="470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</row>
    <row r="298" spans="2:27" ht="19.5" customHeight="1" x14ac:dyDescent="0.25">
      <c r="B298" s="38"/>
      <c r="C298" s="38"/>
      <c r="D298" s="470"/>
      <c r="E298" s="470"/>
      <c r="G298" s="38"/>
      <c r="H298" s="38"/>
      <c r="I298" s="470"/>
      <c r="J298" s="470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</row>
    <row r="299" spans="2:27" ht="19.5" customHeight="1" x14ac:dyDescent="0.25">
      <c r="B299" s="38"/>
      <c r="C299" s="38"/>
      <c r="D299" s="470"/>
      <c r="E299" s="470"/>
      <c r="G299" s="38"/>
      <c r="H299" s="38"/>
      <c r="I299" s="470"/>
      <c r="J299" s="470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</row>
    <row r="300" spans="2:27" ht="19.5" customHeight="1" x14ac:dyDescent="0.25">
      <c r="B300" s="38"/>
      <c r="C300" s="38"/>
      <c r="D300" s="470"/>
      <c r="E300" s="470"/>
      <c r="G300" s="38"/>
      <c r="H300" s="38"/>
      <c r="I300" s="470"/>
      <c r="J300" s="470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</row>
    <row r="301" spans="2:27" ht="19.5" customHeight="1" x14ac:dyDescent="0.25">
      <c r="B301" s="38"/>
      <c r="C301" s="38"/>
      <c r="D301" s="470"/>
      <c r="E301" s="470"/>
      <c r="G301" s="38"/>
      <c r="H301" s="38"/>
      <c r="I301" s="470"/>
      <c r="J301" s="470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</row>
    <row r="302" spans="2:27" ht="19.5" customHeight="1" x14ac:dyDescent="0.25">
      <c r="B302" s="38"/>
      <c r="C302" s="38"/>
      <c r="D302" s="470"/>
      <c r="E302" s="470"/>
      <c r="G302" s="38"/>
      <c r="H302" s="38"/>
      <c r="I302" s="470"/>
      <c r="J302" s="470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</row>
    <row r="303" spans="2:27" ht="19.5" customHeight="1" x14ac:dyDescent="0.25">
      <c r="B303" s="38"/>
      <c r="C303" s="38"/>
      <c r="D303" s="470"/>
      <c r="E303" s="470"/>
      <c r="G303" s="38"/>
      <c r="H303" s="38"/>
      <c r="I303" s="470"/>
      <c r="J303" s="470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</row>
    <row r="304" spans="2:27" ht="19.5" customHeight="1" x14ac:dyDescent="0.25">
      <c r="B304" s="38"/>
      <c r="C304" s="38"/>
      <c r="D304" s="470"/>
      <c r="E304" s="470"/>
      <c r="G304" s="38"/>
      <c r="H304" s="38"/>
      <c r="I304" s="470"/>
      <c r="J304" s="470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</row>
    <row r="305" spans="2:27" ht="19.5" customHeight="1" x14ac:dyDescent="0.25">
      <c r="B305" s="38"/>
      <c r="C305" s="38"/>
      <c r="D305" s="470"/>
      <c r="E305" s="470"/>
      <c r="G305" s="38"/>
      <c r="H305" s="38"/>
      <c r="I305" s="470"/>
      <c r="J305" s="470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</row>
    <row r="306" spans="2:27" ht="19.5" customHeight="1" x14ac:dyDescent="0.25">
      <c r="B306" s="38"/>
      <c r="C306" s="38"/>
      <c r="D306" s="470"/>
      <c r="E306" s="470"/>
      <c r="G306" s="38"/>
      <c r="H306" s="38"/>
      <c r="I306" s="470"/>
      <c r="J306" s="470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</row>
    <row r="307" spans="2:27" ht="19.5" customHeight="1" x14ac:dyDescent="0.25">
      <c r="B307" s="38"/>
      <c r="C307" s="38"/>
      <c r="D307" s="470"/>
      <c r="E307" s="470"/>
      <c r="G307" s="38"/>
      <c r="H307" s="38"/>
      <c r="I307" s="470"/>
      <c r="J307" s="470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</row>
    <row r="308" spans="2:27" ht="19.5" customHeight="1" x14ac:dyDescent="0.25">
      <c r="B308" s="38"/>
      <c r="C308" s="38"/>
      <c r="D308" s="470"/>
      <c r="E308" s="470"/>
      <c r="G308" s="38"/>
      <c r="H308" s="38"/>
      <c r="I308" s="470"/>
      <c r="J308" s="470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</row>
    <row r="309" spans="2:27" ht="19.5" customHeight="1" x14ac:dyDescent="0.25">
      <c r="B309" s="38"/>
      <c r="C309" s="38"/>
      <c r="D309" s="470"/>
      <c r="E309" s="470"/>
      <c r="G309" s="38"/>
      <c r="H309" s="38"/>
      <c r="I309" s="470"/>
      <c r="J309" s="470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</row>
    <row r="310" spans="2:27" ht="19.5" customHeight="1" x14ac:dyDescent="0.25">
      <c r="B310" s="38"/>
      <c r="C310" s="38"/>
      <c r="D310" s="470"/>
      <c r="E310" s="470"/>
      <c r="G310" s="38"/>
      <c r="H310" s="38"/>
      <c r="I310" s="470"/>
      <c r="J310" s="470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</row>
    <row r="311" spans="2:27" ht="19.5" customHeight="1" x14ac:dyDescent="0.25">
      <c r="B311" s="38"/>
      <c r="C311" s="38"/>
      <c r="D311" s="470"/>
      <c r="E311" s="470"/>
      <c r="G311" s="38"/>
      <c r="H311" s="38"/>
      <c r="I311" s="470"/>
      <c r="J311" s="470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</row>
    <row r="312" spans="2:27" ht="19.5" customHeight="1" x14ac:dyDescent="0.25">
      <c r="B312" s="38"/>
      <c r="C312" s="38"/>
      <c r="D312" s="470"/>
      <c r="E312" s="470"/>
      <c r="G312" s="38"/>
      <c r="H312" s="38"/>
      <c r="I312" s="470"/>
      <c r="J312" s="470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</row>
    <row r="313" spans="2:27" ht="19.5" customHeight="1" x14ac:dyDescent="0.25">
      <c r="B313" s="38"/>
      <c r="C313" s="38"/>
      <c r="D313" s="470"/>
      <c r="E313" s="470"/>
      <c r="G313" s="38"/>
      <c r="H313" s="38"/>
      <c r="I313" s="470"/>
      <c r="J313" s="470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</row>
    <row r="314" spans="2:27" ht="19.5" customHeight="1" x14ac:dyDescent="0.25">
      <c r="B314" s="38"/>
      <c r="C314" s="38"/>
      <c r="D314" s="470"/>
      <c r="E314" s="470"/>
      <c r="G314" s="38"/>
      <c r="H314" s="38"/>
      <c r="I314" s="470"/>
      <c r="J314" s="470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</row>
    <row r="315" spans="2:27" ht="19.5" customHeight="1" x14ac:dyDescent="0.25">
      <c r="B315" s="38"/>
      <c r="C315" s="38"/>
      <c r="D315" s="470"/>
      <c r="E315" s="470"/>
      <c r="G315" s="38"/>
      <c r="H315" s="38"/>
      <c r="I315" s="470"/>
      <c r="J315" s="470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</row>
    <row r="316" spans="2:27" ht="19.5" customHeight="1" x14ac:dyDescent="0.25">
      <c r="B316" s="38"/>
      <c r="C316" s="38"/>
      <c r="D316" s="470"/>
      <c r="E316" s="470"/>
      <c r="G316" s="38"/>
      <c r="H316" s="38"/>
      <c r="I316" s="470"/>
      <c r="J316" s="470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</row>
    <row r="317" spans="2:27" ht="19.5" customHeight="1" x14ac:dyDescent="0.25">
      <c r="B317" s="38"/>
      <c r="C317" s="38"/>
      <c r="D317" s="470"/>
      <c r="E317" s="470"/>
      <c r="G317" s="38"/>
      <c r="H317" s="38"/>
      <c r="I317" s="470"/>
      <c r="J317" s="470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</row>
    <row r="318" spans="2:27" ht="19.5" customHeight="1" x14ac:dyDescent="0.25">
      <c r="B318" s="38"/>
      <c r="C318" s="38"/>
      <c r="D318" s="470"/>
      <c r="E318" s="470"/>
      <c r="G318" s="38"/>
      <c r="H318" s="38"/>
      <c r="I318" s="470"/>
      <c r="J318" s="470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</row>
    <row r="319" spans="2:27" ht="19.5" customHeight="1" x14ac:dyDescent="0.25">
      <c r="B319" s="38"/>
      <c r="C319" s="38"/>
      <c r="D319" s="470"/>
      <c r="E319" s="470"/>
      <c r="G319" s="38"/>
      <c r="H319" s="38"/>
      <c r="I319" s="470"/>
      <c r="J319" s="470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</row>
    <row r="320" spans="2:27" ht="19.5" customHeight="1" x14ac:dyDescent="0.25">
      <c r="B320" s="38"/>
      <c r="C320" s="38"/>
      <c r="D320" s="470"/>
      <c r="E320" s="470"/>
      <c r="G320" s="38"/>
      <c r="H320" s="38"/>
      <c r="I320" s="470"/>
      <c r="J320" s="470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</row>
    <row r="321" spans="2:27" ht="19.5" customHeight="1" x14ac:dyDescent="0.25">
      <c r="B321" s="38"/>
      <c r="C321" s="38"/>
      <c r="D321" s="470"/>
      <c r="E321" s="470"/>
      <c r="G321" s="38"/>
      <c r="H321" s="38"/>
      <c r="I321" s="470"/>
      <c r="J321" s="470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</row>
    <row r="322" spans="2:27" ht="19.5" customHeight="1" x14ac:dyDescent="0.25">
      <c r="B322" s="38"/>
      <c r="C322" s="38"/>
      <c r="D322" s="470"/>
      <c r="E322" s="470"/>
      <c r="G322" s="38"/>
      <c r="H322" s="38"/>
      <c r="I322" s="470"/>
      <c r="J322" s="470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</row>
    <row r="323" spans="2:27" ht="19.5" customHeight="1" x14ac:dyDescent="0.25">
      <c r="B323" s="38"/>
      <c r="C323" s="38"/>
      <c r="D323" s="470"/>
      <c r="E323" s="470"/>
      <c r="G323" s="38"/>
      <c r="H323" s="38"/>
      <c r="I323" s="470"/>
      <c r="J323" s="470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</row>
    <row r="324" spans="2:27" ht="19.5" customHeight="1" x14ac:dyDescent="0.25">
      <c r="B324" s="38"/>
      <c r="C324" s="38"/>
      <c r="D324" s="470"/>
      <c r="E324" s="470"/>
      <c r="G324" s="38"/>
      <c r="H324" s="38"/>
      <c r="I324" s="470"/>
      <c r="J324" s="470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</row>
    <row r="325" spans="2:27" ht="19.5" customHeight="1" x14ac:dyDescent="0.25">
      <c r="B325" s="38"/>
      <c r="C325" s="38"/>
      <c r="D325" s="470"/>
      <c r="E325" s="470"/>
      <c r="G325" s="38"/>
      <c r="H325" s="38"/>
      <c r="I325" s="470"/>
      <c r="J325" s="470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</row>
    <row r="326" spans="2:27" ht="19.5" customHeight="1" x14ac:dyDescent="0.25">
      <c r="B326" s="38"/>
      <c r="C326" s="38"/>
      <c r="D326" s="470"/>
      <c r="E326" s="470"/>
      <c r="G326" s="38"/>
      <c r="H326" s="38"/>
      <c r="I326" s="470"/>
      <c r="J326" s="470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</row>
    <row r="327" spans="2:27" ht="19.5" customHeight="1" x14ac:dyDescent="0.25">
      <c r="B327" s="38"/>
      <c r="C327" s="38"/>
      <c r="D327" s="470"/>
      <c r="E327" s="470"/>
      <c r="G327" s="38"/>
      <c r="H327" s="38"/>
      <c r="I327" s="470"/>
      <c r="J327" s="470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</row>
    <row r="328" spans="2:27" ht="19.5" customHeight="1" x14ac:dyDescent="0.25">
      <c r="B328" s="38"/>
      <c r="C328" s="38"/>
      <c r="D328" s="470"/>
      <c r="E328" s="470"/>
      <c r="G328" s="38"/>
      <c r="H328" s="38"/>
      <c r="I328" s="470"/>
      <c r="J328" s="470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</row>
    <row r="329" spans="2:27" ht="19.5" customHeight="1" x14ac:dyDescent="0.25">
      <c r="B329" s="38"/>
      <c r="C329" s="38"/>
      <c r="D329" s="470"/>
      <c r="E329" s="470"/>
      <c r="G329" s="38"/>
      <c r="H329" s="38"/>
      <c r="I329" s="470"/>
      <c r="J329" s="470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</row>
    <row r="330" spans="2:27" ht="19.5" customHeight="1" x14ac:dyDescent="0.25">
      <c r="B330" s="38"/>
      <c r="C330" s="38"/>
      <c r="D330" s="470"/>
      <c r="E330" s="470"/>
      <c r="G330" s="38"/>
      <c r="H330" s="38"/>
      <c r="I330" s="470"/>
      <c r="J330" s="470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</row>
    <row r="331" spans="2:27" ht="19.5" customHeight="1" x14ac:dyDescent="0.25">
      <c r="B331" s="38"/>
      <c r="C331" s="38"/>
      <c r="D331" s="470"/>
      <c r="E331" s="470"/>
      <c r="G331" s="38"/>
      <c r="H331" s="38"/>
      <c r="I331" s="470"/>
      <c r="J331" s="470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</row>
    <row r="332" spans="2:27" ht="19.5" customHeight="1" x14ac:dyDescent="0.25">
      <c r="B332" s="38"/>
      <c r="C332" s="38"/>
      <c r="D332" s="470"/>
      <c r="E332" s="470"/>
      <c r="G332" s="38"/>
      <c r="H332" s="38"/>
      <c r="I332" s="470"/>
      <c r="J332" s="470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</row>
    <row r="333" spans="2:27" ht="19.5" customHeight="1" x14ac:dyDescent="0.25">
      <c r="B333" s="38"/>
      <c r="C333" s="38"/>
      <c r="D333" s="470"/>
      <c r="E333" s="470"/>
      <c r="G333" s="38"/>
      <c r="H333" s="38"/>
      <c r="I333" s="470"/>
      <c r="J333" s="470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</row>
    <row r="334" spans="2:27" ht="19.5" customHeight="1" x14ac:dyDescent="0.25">
      <c r="B334" s="38"/>
      <c r="C334" s="38"/>
      <c r="D334" s="470"/>
      <c r="E334" s="470"/>
      <c r="G334" s="38"/>
      <c r="H334" s="38"/>
      <c r="I334" s="470"/>
      <c r="J334" s="470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</row>
    <row r="335" spans="2:27" ht="19.5" customHeight="1" x14ac:dyDescent="0.25">
      <c r="B335" s="38"/>
      <c r="C335" s="38"/>
      <c r="D335" s="470"/>
      <c r="E335" s="470"/>
      <c r="G335" s="38"/>
      <c r="H335" s="38"/>
      <c r="I335" s="470"/>
      <c r="J335" s="470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</row>
    <row r="336" spans="2:27" ht="19.5" customHeight="1" x14ac:dyDescent="0.25">
      <c r="B336" s="38"/>
      <c r="C336" s="38"/>
      <c r="D336" s="470"/>
      <c r="E336" s="470"/>
      <c r="G336" s="38"/>
      <c r="H336" s="38"/>
      <c r="I336" s="470"/>
      <c r="J336" s="470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</row>
    <row r="337" spans="2:27" ht="19.5" customHeight="1" x14ac:dyDescent="0.25">
      <c r="B337" s="38"/>
      <c r="C337" s="38"/>
      <c r="D337" s="470"/>
      <c r="E337" s="470"/>
      <c r="G337" s="38"/>
      <c r="H337" s="38"/>
      <c r="I337" s="470"/>
      <c r="J337" s="470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</row>
    <row r="338" spans="2:27" ht="19.5" customHeight="1" x14ac:dyDescent="0.25">
      <c r="B338" s="38"/>
      <c r="C338" s="38"/>
      <c r="D338" s="470"/>
      <c r="E338" s="470"/>
      <c r="G338" s="38"/>
      <c r="H338" s="38"/>
      <c r="I338" s="470"/>
      <c r="J338" s="470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</row>
    <row r="339" spans="2:27" ht="19.5" customHeight="1" x14ac:dyDescent="0.25">
      <c r="B339" s="38"/>
      <c r="C339" s="38"/>
      <c r="D339" s="470"/>
      <c r="E339" s="470"/>
      <c r="G339" s="38"/>
      <c r="H339" s="38"/>
      <c r="I339" s="470"/>
      <c r="J339" s="470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</row>
    <row r="340" spans="2:27" ht="19.5" customHeight="1" x14ac:dyDescent="0.25">
      <c r="B340" s="38"/>
      <c r="C340" s="38"/>
      <c r="D340" s="470"/>
      <c r="E340" s="470"/>
      <c r="G340" s="38"/>
      <c r="H340" s="38"/>
      <c r="I340" s="470"/>
      <c r="J340" s="470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</row>
    <row r="341" spans="2:27" ht="19.5" customHeight="1" x14ac:dyDescent="0.25">
      <c r="B341" s="38"/>
      <c r="C341" s="38"/>
      <c r="D341" s="470"/>
      <c r="E341" s="470"/>
      <c r="G341" s="38"/>
      <c r="H341" s="38"/>
      <c r="I341" s="470"/>
      <c r="J341" s="470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</row>
    <row r="342" spans="2:27" ht="19.5" customHeight="1" x14ac:dyDescent="0.25">
      <c r="B342" s="38"/>
      <c r="C342" s="38"/>
      <c r="D342" s="470"/>
      <c r="E342" s="470"/>
      <c r="G342" s="38"/>
      <c r="H342" s="38"/>
      <c r="I342" s="470"/>
      <c r="J342" s="470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</row>
    <row r="343" spans="2:27" ht="19.5" customHeight="1" x14ac:dyDescent="0.25">
      <c r="B343" s="38"/>
      <c r="C343" s="38"/>
      <c r="D343" s="470"/>
      <c r="E343" s="470"/>
      <c r="G343" s="38"/>
      <c r="H343" s="38"/>
      <c r="I343" s="470"/>
      <c r="J343" s="470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</row>
    <row r="344" spans="2:27" ht="19.5" customHeight="1" x14ac:dyDescent="0.25">
      <c r="B344" s="38"/>
      <c r="C344" s="38"/>
      <c r="D344" s="470"/>
      <c r="E344" s="470"/>
      <c r="G344" s="38"/>
      <c r="H344" s="38"/>
      <c r="I344" s="470"/>
      <c r="J344" s="470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</row>
    <row r="345" spans="2:27" ht="19.5" customHeight="1" x14ac:dyDescent="0.25">
      <c r="B345" s="38"/>
      <c r="C345" s="38"/>
      <c r="D345" s="470"/>
      <c r="E345" s="470"/>
      <c r="G345" s="38"/>
      <c r="H345" s="38"/>
      <c r="I345" s="470"/>
      <c r="J345" s="470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</row>
    <row r="346" spans="2:27" ht="19.5" customHeight="1" x14ac:dyDescent="0.25">
      <c r="B346" s="38"/>
      <c r="C346" s="38"/>
      <c r="D346" s="470"/>
      <c r="E346" s="470"/>
      <c r="G346" s="38"/>
      <c r="H346" s="38"/>
      <c r="I346" s="470"/>
      <c r="J346" s="470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</row>
    <row r="347" spans="2:27" ht="19.5" customHeight="1" x14ac:dyDescent="0.25">
      <c r="B347" s="38"/>
      <c r="C347" s="38"/>
      <c r="D347" s="470"/>
      <c r="E347" s="470"/>
      <c r="G347" s="38"/>
      <c r="H347" s="38"/>
      <c r="I347" s="470"/>
      <c r="J347" s="470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</row>
    <row r="348" spans="2:27" ht="19.5" customHeight="1" x14ac:dyDescent="0.25">
      <c r="B348" s="38"/>
      <c r="C348" s="38"/>
      <c r="D348" s="470"/>
      <c r="E348" s="470"/>
      <c r="G348" s="38"/>
      <c r="H348" s="38"/>
      <c r="I348" s="470"/>
      <c r="J348" s="470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</row>
    <row r="349" spans="2:27" ht="19.5" customHeight="1" x14ac:dyDescent="0.25">
      <c r="B349" s="38"/>
      <c r="C349" s="38"/>
      <c r="D349" s="470"/>
      <c r="E349" s="470"/>
      <c r="G349" s="38"/>
      <c r="H349" s="38"/>
      <c r="I349" s="470"/>
      <c r="J349" s="470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</row>
    <row r="350" spans="2:27" ht="19.5" customHeight="1" x14ac:dyDescent="0.25">
      <c r="B350" s="38"/>
      <c r="C350" s="38"/>
      <c r="D350" s="470"/>
      <c r="E350" s="470"/>
      <c r="G350" s="38"/>
      <c r="H350" s="38"/>
      <c r="I350" s="470"/>
      <c r="J350" s="470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</row>
    <row r="351" spans="2:27" ht="19.5" customHeight="1" x14ac:dyDescent="0.25">
      <c r="B351" s="38"/>
      <c r="C351" s="38"/>
      <c r="D351" s="470"/>
      <c r="E351" s="470"/>
      <c r="G351" s="38"/>
      <c r="H351" s="38"/>
      <c r="I351" s="470"/>
      <c r="J351" s="470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</row>
    <row r="352" spans="2:27" ht="19.5" customHeight="1" x14ac:dyDescent="0.25">
      <c r="B352" s="38"/>
      <c r="C352" s="38"/>
      <c r="D352" s="470"/>
      <c r="E352" s="470"/>
      <c r="G352" s="38"/>
      <c r="H352" s="38"/>
      <c r="I352" s="470"/>
      <c r="J352" s="470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</row>
    <row r="353" spans="2:27" ht="19.5" customHeight="1" x14ac:dyDescent="0.25">
      <c r="B353" s="38"/>
      <c r="C353" s="38"/>
      <c r="D353" s="470"/>
      <c r="E353" s="470"/>
      <c r="G353" s="38"/>
      <c r="H353" s="38"/>
      <c r="I353" s="470"/>
      <c r="J353" s="470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</row>
    <row r="354" spans="2:27" ht="19.5" customHeight="1" x14ac:dyDescent="0.25">
      <c r="B354" s="38"/>
      <c r="C354" s="38"/>
      <c r="D354" s="470"/>
      <c r="E354" s="470"/>
      <c r="G354" s="38"/>
      <c r="H354" s="38"/>
      <c r="I354" s="470"/>
      <c r="J354" s="470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</row>
    <row r="355" spans="2:27" ht="19.5" customHeight="1" x14ac:dyDescent="0.25">
      <c r="B355" s="38"/>
      <c r="C355" s="38"/>
      <c r="D355" s="470"/>
      <c r="E355" s="470"/>
      <c r="G355" s="38"/>
      <c r="H355" s="38"/>
      <c r="I355" s="470"/>
      <c r="J355" s="470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</row>
    <row r="356" spans="2:27" ht="19.5" customHeight="1" x14ac:dyDescent="0.25">
      <c r="B356" s="38"/>
      <c r="C356" s="38"/>
      <c r="D356" s="470"/>
      <c r="E356" s="470"/>
      <c r="G356" s="38"/>
      <c r="H356" s="38"/>
      <c r="I356" s="470"/>
      <c r="J356" s="470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</row>
    <row r="357" spans="2:27" ht="19.5" customHeight="1" x14ac:dyDescent="0.25">
      <c r="B357" s="38"/>
      <c r="C357" s="38"/>
      <c r="D357" s="470"/>
      <c r="E357" s="470"/>
      <c r="G357" s="38"/>
      <c r="H357" s="38"/>
      <c r="I357" s="470"/>
      <c r="J357" s="470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</row>
    <row r="358" spans="2:27" ht="19.5" customHeight="1" x14ac:dyDescent="0.25">
      <c r="B358" s="38"/>
      <c r="C358" s="38"/>
      <c r="D358" s="470"/>
      <c r="E358" s="470"/>
      <c r="G358" s="38"/>
      <c r="H358" s="38"/>
      <c r="I358" s="470"/>
      <c r="J358" s="470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</row>
    <row r="359" spans="2:27" ht="19.5" customHeight="1" x14ac:dyDescent="0.25">
      <c r="B359" s="38"/>
      <c r="C359" s="38"/>
      <c r="D359" s="470"/>
      <c r="E359" s="470"/>
      <c r="G359" s="38"/>
      <c r="H359" s="38"/>
      <c r="I359" s="470"/>
      <c r="J359" s="470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</row>
    <row r="360" spans="2:27" ht="19.5" customHeight="1" x14ac:dyDescent="0.25">
      <c r="B360" s="38"/>
      <c r="C360" s="38"/>
      <c r="D360" s="470"/>
      <c r="E360" s="470"/>
      <c r="G360" s="38"/>
      <c r="H360" s="38"/>
      <c r="I360" s="470"/>
      <c r="J360" s="470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</row>
    <row r="361" spans="2:27" ht="19.5" customHeight="1" x14ac:dyDescent="0.25">
      <c r="B361" s="38"/>
      <c r="C361" s="38"/>
      <c r="D361" s="470"/>
      <c r="E361" s="470"/>
      <c r="G361" s="38"/>
      <c r="H361" s="38"/>
      <c r="I361" s="470"/>
      <c r="J361" s="470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</row>
    <row r="362" spans="2:27" ht="19.5" customHeight="1" x14ac:dyDescent="0.25">
      <c r="B362" s="38"/>
      <c r="C362" s="38"/>
      <c r="D362" s="470"/>
      <c r="E362" s="470"/>
      <c r="G362" s="38"/>
      <c r="H362" s="38"/>
      <c r="I362" s="470"/>
      <c r="J362" s="470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</row>
    <row r="363" spans="2:27" ht="19.5" customHeight="1" x14ac:dyDescent="0.25">
      <c r="B363" s="38"/>
      <c r="C363" s="38"/>
      <c r="D363" s="470"/>
      <c r="E363" s="470"/>
      <c r="G363" s="38"/>
      <c r="H363" s="38"/>
      <c r="I363" s="470"/>
      <c r="J363" s="470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</row>
    <row r="364" spans="2:27" ht="19.5" customHeight="1" x14ac:dyDescent="0.25">
      <c r="B364" s="38"/>
      <c r="C364" s="38"/>
      <c r="D364" s="470"/>
      <c r="E364" s="470"/>
      <c r="G364" s="38"/>
      <c r="H364" s="38"/>
      <c r="I364" s="470"/>
      <c r="J364" s="470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</row>
    <row r="365" spans="2:27" ht="19.5" customHeight="1" x14ac:dyDescent="0.25">
      <c r="B365" s="38"/>
      <c r="C365" s="38"/>
      <c r="D365" s="470"/>
      <c r="E365" s="470"/>
      <c r="G365" s="38"/>
      <c r="H365" s="38"/>
      <c r="I365" s="470"/>
      <c r="J365" s="470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</row>
    <row r="366" spans="2:27" ht="19.5" customHeight="1" x14ac:dyDescent="0.25">
      <c r="B366" s="38"/>
      <c r="C366" s="38"/>
      <c r="D366" s="470"/>
      <c r="E366" s="470"/>
      <c r="G366" s="38"/>
      <c r="H366" s="38"/>
      <c r="I366" s="470"/>
      <c r="J366" s="470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</row>
    <row r="367" spans="2:27" ht="19.5" customHeight="1" x14ac:dyDescent="0.25">
      <c r="B367" s="38"/>
      <c r="C367" s="38"/>
      <c r="D367" s="470"/>
      <c r="E367" s="470"/>
      <c r="G367" s="38"/>
      <c r="H367" s="38"/>
      <c r="I367" s="470"/>
      <c r="J367" s="470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</row>
    <row r="368" spans="2:27" ht="19.5" customHeight="1" x14ac:dyDescent="0.25">
      <c r="B368" s="38"/>
      <c r="C368" s="38"/>
      <c r="D368" s="470"/>
      <c r="E368" s="470"/>
      <c r="G368" s="38"/>
      <c r="H368" s="38"/>
      <c r="I368" s="470"/>
      <c r="J368" s="470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</row>
    <row r="369" spans="2:27" ht="19.5" customHeight="1" x14ac:dyDescent="0.25">
      <c r="B369" s="38"/>
      <c r="C369" s="38"/>
      <c r="D369" s="470"/>
      <c r="E369" s="470"/>
      <c r="G369" s="38"/>
      <c r="H369" s="38"/>
      <c r="I369" s="470"/>
      <c r="J369" s="470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</row>
    <row r="370" spans="2:27" ht="19.5" customHeight="1" x14ac:dyDescent="0.25">
      <c r="B370" s="38"/>
      <c r="C370" s="38"/>
      <c r="D370" s="470"/>
      <c r="E370" s="470"/>
      <c r="G370" s="38"/>
      <c r="H370" s="38"/>
      <c r="I370" s="470"/>
      <c r="J370" s="470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</row>
    <row r="371" spans="2:27" ht="19.5" customHeight="1" x14ac:dyDescent="0.25">
      <c r="B371" s="38"/>
      <c r="C371" s="38"/>
      <c r="D371" s="470"/>
      <c r="E371" s="470"/>
      <c r="G371" s="38"/>
      <c r="H371" s="38"/>
      <c r="I371" s="470"/>
      <c r="J371" s="470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</row>
    <row r="372" spans="2:27" ht="19.5" customHeight="1" x14ac:dyDescent="0.25">
      <c r="B372" s="38"/>
      <c r="C372" s="38"/>
      <c r="D372" s="470"/>
      <c r="E372" s="470"/>
      <c r="G372" s="38"/>
      <c r="H372" s="38"/>
      <c r="I372" s="470"/>
      <c r="J372" s="470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</row>
    <row r="373" spans="2:27" ht="19.5" customHeight="1" x14ac:dyDescent="0.25">
      <c r="B373" s="38"/>
      <c r="C373" s="38"/>
      <c r="D373" s="470"/>
      <c r="E373" s="470"/>
      <c r="G373" s="38"/>
      <c r="H373" s="38"/>
      <c r="I373" s="470"/>
      <c r="J373" s="470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</row>
    <row r="374" spans="2:27" ht="19.5" customHeight="1" x14ac:dyDescent="0.25">
      <c r="B374" s="38"/>
      <c r="C374" s="38"/>
      <c r="D374" s="470"/>
      <c r="E374" s="470"/>
      <c r="G374" s="38"/>
      <c r="H374" s="38"/>
      <c r="I374" s="470"/>
      <c r="J374" s="470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</row>
    <row r="375" spans="2:27" ht="19.5" customHeight="1" x14ac:dyDescent="0.25">
      <c r="B375" s="38"/>
      <c r="C375" s="38"/>
      <c r="D375" s="470"/>
      <c r="E375" s="470"/>
      <c r="G375" s="38"/>
      <c r="H375" s="38"/>
      <c r="I375" s="470"/>
      <c r="J375" s="470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</row>
    <row r="376" spans="2:27" ht="19.5" customHeight="1" x14ac:dyDescent="0.25">
      <c r="B376" s="38"/>
      <c r="C376" s="38"/>
      <c r="D376" s="470"/>
      <c r="E376" s="470"/>
      <c r="G376" s="38"/>
      <c r="H376" s="38"/>
      <c r="I376" s="470"/>
      <c r="J376" s="470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</row>
    <row r="377" spans="2:27" ht="19.5" customHeight="1" x14ac:dyDescent="0.25">
      <c r="B377" s="38"/>
      <c r="C377" s="38"/>
      <c r="D377" s="470"/>
      <c r="E377" s="470"/>
      <c r="G377" s="38"/>
      <c r="H377" s="38"/>
      <c r="I377" s="470"/>
      <c r="J377" s="470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</row>
    <row r="378" spans="2:27" ht="19.5" customHeight="1" x14ac:dyDescent="0.25">
      <c r="B378" s="38"/>
      <c r="C378" s="38"/>
      <c r="D378" s="470"/>
      <c r="E378" s="470"/>
      <c r="G378" s="38"/>
      <c r="H378" s="38"/>
      <c r="I378" s="470"/>
      <c r="J378" s="470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</row>
    <row r="379" spans="2:27" ht="19.5" customHeight="1" x14ac:dyDescent="0.25">
      <c r="B379" s="38"/>
      <c r="C379" s="38"/>
      <c r="D379" s="470"/>
      <c r="E379" s="470"/>
      <c r="G379" s="38"/>
      <c r="H379" s="38"/>
      <c r="I379" s="470"/>
      <c r="J379" s="470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</row>
    <row r="380" spans="2:27" ht="19.5" customHeight="1" x14ac:dyDescent="0.25">
      <c r="B380" s="38"/>
      <c r="C380" s="38"/>
      <c r="D380" s="470"/>
      <c r="E380" s="470"/>
      <c r="G380" s="38"/>
      <c r="H380" s="38"/>
      <c r="I380" s="470"/>
      <c r="J380" s="470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</row>
    <row r="381" spans="2:27" ht="19.5" customHeight="1" x14ac:dyDescent="0.25">
      <c r="B381" s="38"/>
      <c r="C381" s="38"/>
      <c r="D381" s="470"/>
      <c r="E381" s="470"/>
      <c r="G381" s="38"/>
      <c r="H381" s="38"/>
      <c r="I381" s="470"/>
      <c r="J381" s="470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</row>
    <row r="382" spans="2:27" ht="19.5" customHeight="1" x14ac:dyDescent="0.25">
      <c r="B382" s="38"/>
      <c r="C382" s="38"/>
      <c r="D382" s="470"/>
      <c r="E382" s="470"/>
      <c r="G382" s="38"/>
      <c r="H382" s="38"/>
      <c r="I382" s="470"/>
      <c r="J382" s="470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</row>
    <row r="383" spans="2:27" ht="19.5" customHeight="1" x14ac:dyDescent="0.25">
      <c r="B383" s="38"/>
      <c r="C383" s="38"/>
      <c r="D383" s="470"/>
      <c r="E383" s="470"/>
      <c r="G383" s="38"/>
      <c r="H383" s="38"/>
      <c r="I383" s="470"/>
      <c r="J383" s="470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</row>
    <row r="384" spans="2:27" ht="19.5" customHeight="1" x14ac:dyDescent="0.25">
      <c r="B384" s="38"/>
      <c r="C384" s="38"/>
      <c r="D384" s="470"/>
      <c r="E384" s="470"/>
      <c r="G384" s="38"/>
      <c r="H384" s="38"/>
      <c r="I384" s="470"/>
      <c r="J384" s="470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</row>
    <row r="385" spans="2:27" ht="19.5" customHeight="1" x14ac:dyDescent="0.25">
      <c r="B385" s="38"/>
      <c r="C385" s="38"/>
      <c r="D385" s="470"/>
      <c r="E385" s="470"/>
      <c r="G385" s="38"/>
      <c r="H385" s="38"/>
      <c r="I385" s="470"/>
      <c r="J385" s="470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</row>
    <row r="386" spans="2:27" ht="19.5" customHeight="1" x14ac:dyDescent="0.25">
      <c r="B386" s="38"/>
      <c r="C386" s="38"/>
      <c r="D386" s="470"/>
      <c r="E386" s="470"/>
      <c r="G386" s="38"/>
      <c r="H386" s="38"/>
      <c r="I386" s="470"/>
      <c r="J386" s="470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</row>
    <row r="387" spans="2:27" ht="19.5" customHeight="1" x14ac:dyDescent="0.25">
      <c r="B387" s="38"/>
      <c r="C387" s="38"/>
      <c r="D387" s="470"/>
      <c r="E387" s="470"/>
      <c r="G387" s="38"/>
      <c r="H387" s="38"/>
      <c r="I387" s="470"/>
      <c r="J387" s="470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</row>
    <row r="388" spans="2:27" ht="19.5" customHeight="1" x14ac:dyDescent="0.25">
      <c r="B388" s="38"/>
      <c r="C388" s="38"/>
      <c r="D388" s="470"/>
      <c r="E388" s="470"/>
      <c r="G388" s="38"/>
      <c r="H388" s="38"/>
      <c r="I388" s="470"/>
      <c r="J388" s="470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</row>
    <row r="389" spans="2:27" ht="19.5" customHeight="1" x14ac:dyDescent="0.25">
      <c r="B389" s="38"/>
      <c r="C389" s="38"/>
      <c r="D389" s="470"/>
      <c r="E389" s="470"/>
      <c r="G389" s="38"/>
      <c r="H389" s="38"/>
      <c r="I389" s="470"/>
      <c r="J389" s="470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</row>
    <row r="390" spans="2:27" ht="19.5" customHeight="1" x14ac:dyDescent="0.25">
      <c r="B390" s="38"/>
      <c r="C390" s="38"/>
      <c r="D390" s="470"/>
      <c r="E390" s="470"/>
      <c r="G390" s="38"/>
      <c r="H390" s="38"/>
      <c r="I390" s="470"/>
      <c r="J390" s="470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</row>
    <row r="391" spans="2:27" ht="19.5" customHeight="1" x14ac:dyDescent="0.25">
      <c r="B391" s="38"/>
      <c r="C391" s="38"/>
      <c r="D391" s="470"/>
      <c r="E391" s="470"/>
      <c r="G391" s="38"/>
      <c r="H391" s="38"/>
      <c r="I391" s="470"/>
      <c r="J391" s="470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</row>
    <row r="392" spans="2:27" ht="19.5" customHeight="1" x14ac:dyDescent="0.25">
      <c r="B392" s="38"/>
      <c r="C392" s="38"/>
      <c r="D392" s="470"/>
      <c r="E392" s="470"/>
      <c r="G392" s="38"/>
      <c r="H392" s="38"/>
      <c r="I392" s="470"/>
      <c r="J392" s="470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</row>
    <row r="393" spans="2:27" ht="19.5" customHeight="1" x14ac:dyDescent="0.25">
      <c r="B393" s="38"/>
      <c r="C393" s="38"/>
      <c r="D393" s="470"/>
      <c r="E393" s="470"/>
      <c r="G393" s="38"/>
      <c r="H393" s="38"/>
      <c r="I393" s="470"/>
      <c r="J393" s="470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</row>
    <row r="394" spans="2:27" ht="19.5" customHeight="1" x14ac:dyDescent="0.25">
      <c r="B394" s="38"/>
      <c r="C394" s="38"/>
      <c r="D394" s="470"/>
      <c r="E394" s="470"/>
      <c r="G394" s="38"/>
      <c r="H394" s="38"/>
      <c r="I394" s="470"/>
      <c r="J394" s="470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</row>
    <row r="395" spans="2:27" ht="19.5" customHeight="1" x14ac:dyDescent="0.25">
      <c r="B395" s="38"/>
      <c r="C395" s="38"/>
      <c r="D395" s="470"/>
      <c r="E395" s="470"/>
      <c r="G395" s="38"/>
      <c r="H395" s="38"/>
      <c r="I395" s="470"/>
      <c r="J395" s="470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</row>
    <row r="396" spans="2:27" ht="19.5" customHeight="1" x14ac:dyDescent="0.25">
      <c r="B396" s="38"/>
      <c r="C396" s="38"/>
      <c r="D396" s="470"/>
      <c r="E396" s="470"/>
      <c r="G396" s="38"/>
      <c r="H396" s="38"/>
      <c r="I396" s="470"/>
      <c r="J396" s="470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</row>
    <row r="397" spans="2:27" ht="19.5" customHeight="1" x14ac:dyDescent="0.25">
      <c r="B397" s="38"/>
      <c r="C397" s="38"/>
      <c r="D397" s="470"/>
      <c r="E397" s="470"/>
      <c r="G397" s="38"/>
      <c r="H397" s="38"/>
      <c r="I397" s="470"/>
      <c r="J397" s="470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</row>
    <row r="398" spans="2:27" ht="19.5" customHeight="1" x14ac:dyDescent="0.25">
      <c r="B398" s="38"/>
      <c r="C398" s="38"/>
      <c r="D398" s="470"/>
      <c r="E398" s="470"/>
      <c r="G398" s="38"/>
      <c r="H398" s="38"/>
      <c r="I398" s="470"/>
      <c r="J398" s="470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</row>
    <row r="399" spans="2:27" ht="19.5" customHeight="1" x14ac:dyDescent="0.25">
      <c r="B399" s="38"/>
      <c r="C399" s="38"/>
      <c r="D399" s="470"/>
      <c r="E399" s="470"/>
      <c r="G399" s="38"/>
      <c r="H399" s="38"/>
      <c r="I399" s="470"/>
      <c r="J399" s="470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</row>
    <row r="400" spans="2:27" ht="19.5" customHeight="1" x14ac:dyDescent="0.25">
      <c r="B400" s="38"/>
      <c r="C400" s="38"/>
      <c r="D400" s="470"/>
      <c r="E400" s="470"/>
      <c r="G400" s="38"/>
      <c r="H400" s="38"/>
      <c r="I400" s="470"/>
      <c r="J400" s="470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</row>
    <row r="401" spans="2:27" ht="19.5" customHeight="1" x14ac:dyDescent="0.25">
      <c r="B401" s="38"/>
      <c r="C401" s="38"/>
      <c r="D401" s="470"/>
      <c r="E401" s="470"/>
      <c r="G401" s="38"/>
      <c r="H401" s="38"/>
      <c r="I401" s="470"/>
      <c r="J401" s="470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</row>
    <row r="402" spans="2:27" ht="19.5" customHeight="1" x14ac:dyDescent="0.25">
      <c r="B402" s="38"/>
      <c r="C402" s="38"/>
      <c r="D402" s="470"/>
      <c r="E402" s="470"/>
      <c r="G402" s="38"/>
      <c r="H402" s="38"/>
      <c r="I402" s="470"/>
      <c r="J402" s="470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</row>
    <row r="403" spans="2:27" ht="19.5" customHeight="1" x14ac:dyDescent="0.25">
      <c r="B403" s="38"/>
      <c r="C403" s="38"/>
      <c r="D403" s="470"/>
      <c r="E403" s="470"/>
      <c r="G403" s="38"/>
      <c r="H403" s="38"/>
      <c r="I403" s="470"/>
      <c r="J403" s="470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</row>
    <row r="404" spans="2:27" ht="19.5" customHeight="1" x14ac:dyDescent="0.25">
      <c r="B404" s="38"/>
      <c r="C404" s="38"/>
      <c r="D404" s="470"/>
      <c r="E404" s="470"/>
      <c r="G404" s="38"/>
      <c r="H404" s="38"/>
      <c r="I404" s="470"/>
      <c r="J404" s="470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</row>
    <row r="405" spans="2:27" ht="19.5" customHeight="1" x14ac:dyDescent="0.25">
      <c r="B405" s="38"/>
      <c r="C405" s="38"/>
      <c r="D405" s="470"/>
      <c r="E405" s="470"/>
      <c r="G405" s="38"/>
      <c r="H405" s="38"/>
      <c r="I405" s="470"/>
      <c r="J405" s="470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</row>
    <row r="406" spans="2:27" ht="19.5" customHeight="1" x14ac:dyDescent="0.25">
      <c r="B406" s="38"/>
      <c r="C406" s="38"/>
      <c r="D406" s="470"/>
      <c r="E406" s="470"/>
      <c r="G406" s="38"/>
      <c r="H406" s="38"/>
      <c r="I406" s="470"/>
      <c r="J406" s="470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</row>
    <row r="407" spans="2:27" ht="19.5" customHeight="1" x14ac:dyDescent="0.25">
      <c r="B407" s="38"/>
      <c r="C407" s="38"/>
      <c r="D407" s="470"/>
      <c r="E407" s="470"/>
      <c r="G407" s="38"/>
      <c r="H407" s="38"/>
      <c r="I407" s="470"/>
      <c r="J407" s="470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</row>
    <row r="408" spans="2:27" ht="19.5" customHeight="1" x14ac:dyDescent="0.25">
      <c r="B408" s="38"/>
      <c r="C408" s="38"/>
      <c r="D408" s="470"/>
      <c r="E408" s="470"/>
      <c r="G408" s="38"/>
      <c r="H408" s="38"/>
      <c r="I408" s="470"/>
      <c r="J408" s="470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</row>
    <row r="409" spans="2:27" ht="19.5" customHeight="1" x14ac:dyDescent="0.25">
      <c r="B409" s="38"/>
      <c r="C409" s="38"/>
      <c r="D409" s="470"/>
      <c r="E409" s="470"/>
      <c r="G409" s="38"/>
      <c r="H409" s="38"/>
      <c r="I409" s="470"/>
      <c r="J409" s="470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</row>
    <row r="410" spans="2:27" ht="19.5" customHeight="1" x14ac:dyDescent="0.25">
      <c r="B410" s="38"/>
      <c r="C410" s="38"/>
      <c r="D410" s="470"/>
      <c r="E410" s="470"/>
      <c r="G410" s="38"/>
      <c r="H410" s="38"/>
      <c r="I410" s="470"/>
      <c r="J410" s="470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</row>
    <row r="411" spans="2:27" ht="19.5" customHeight="1" x14ac:dyDescent="0.25">
      <c r="B411" s="38"/>
      <c r="C411" s="38"/>
      <c r="D411" s="470"/>
      <c r="E411" s="470"/>
      <c r="G411" s="38"/>
      <c r="H411" s="38"/>
      <c r="I411" s="470"/>
      <c r="J411" s="470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</row>
    <row r="412" spans="2:27" ht="19.5" customHeight="1" x14ac:dyDescent="0.25">
      <c r="B412" s="38"/>
      <c r="C412" s="38"/>
      <c r="D412" s="470"/>
      <c r="E412" s="470"/>
      <c r="G412" s="38"/>
      <c r="H412" s="38"/>
      <c r="I412" s="470"/>
      <c r="J412" s="470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</row>
    <row r="413" spans="2:27" ht="19.5" customHeight="1" x14ac:dyDescent="0.25">
      <c r="B413" s="38"/>
      <c r="C413" s="38"/>
      <c r="D413" s="470"/>
      <c r="E413" s="470"/>
      <c r="G413" s="38"/>
      <c r="H413" s="38"/>
      <c r="I413" s="470"/>
      <c r="J413" s="470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</row>
    <row r="414" spans="2:27" ht="19.5" customHeight="1" x14ac:dyDescent="0.25">
      <c r="B414" s="38"/>
      <c r="C414" s="38"/>
      <c r="D414" s="470"/>
      <c r="E414" s="470"/>
      <c r="G414" s="38"/>
      <c r="H414" s="38"/>
      <c r="I414" s="470"/>
      <c r="J414" s="470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</row>
    <row r="415" spans="2:27" ht="19.5" customHeight="1" x14ac:dyDescent="0.25">
      <c r="B415" s="38"/>
      <c r="C415" s="38"/>
      <c r="D415" s="470"/>
      <c r="E415" s="470"/>
      <c r="G415" s="38"/>
      <c r="H415" s="38"/>
      <c r="I415" s="470"/>
      <c r="J415" s="470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</row>
    <row r="416" spans="2:27" ht="19.5" customHeight="1" x14ac:dyDescent="0.25">
      <c r="B416" s="38"/>
      <c r="C416" s="38"/>
      <c r="D416" s="470"/>
      <c r="E416" s="470"/>
      <c r="G416" s="38"/>
      <c r="H416" s="38"/>
      <c r="I416" s="470"/>
      <c r="J416" s="470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</row>
    <row r="417" spans="2:27" ht="19.5" customHeight="1" x14ac:dyDescent="0.25">
      <c r="B417" s="38"/>
      <c r="C417" s="38"/>
      <c r="D417" s="470"/>
      <c r="E417" s="470"/>
      <c r="G417" s="38"/>
      <c r="H417" s="38"/>
      <c r="I417" s="470"/>
      <c r="J417" s="470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</row>
    <row r="418" spans="2:27" ht="19.5" customHeight="1" x14ac:dyDescent="0.25">
      <c r="B418" s="38"/>
      <c r="C418" s="38"/>
      <c r="D418" s="470"/>
      <c r="E418" s="470"/>
      <c r="G418" s="38"/>
      <c r="H418" s="38"/>
      <c r="I418" s="470"/>
      <c r="J418" s="470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</row>
    <row r="419" spans="2:27" ht="19.5" customHeight="1" x14ac:dyDescent="0.25">
      <c r="B419" s="38"/>
      <c r="C419" s="38"/>
      <c r="D419" s="470"/>
      <c r="E419" s="470"/>
      <c r="G419" s="38"/>
      <c r="H419" s="38"/>
      <c r="I419" s="470"/>
      <c r="J419" s="470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</row>
    <row r="420" spans="2:27" ht="19.5" customHeight="1" x14ac:dyDescent="0.25">
      <c r="B420" s="38"/>
      <c r="C420" s="38"/>
      <c r="D420" s="470"/>
      <c r="E420" s="470"/>
      <c r="G420" s="38"/>
      <c r="H420" s="38"/>
      <c r="I420" s="470"/>
      <c r="J420" s="470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</row>
    <row r="421" spans="2:27" ht="19.5" customHeight="1" x14ac:dyDescent="0.25">
      <c r="B421" s="38"/>
      <c r="C421" s="38"/>
      <c r="D421" s="470"/>
      <c r="E421" s="470"/>
      <c r="G421" s="38"/>
      <c r="H421" s="38"/>
      <c r="I421" s="470"/>
      <c r="J421" s="470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</row>
    <row r="422" spans="2:27" ht="19.5" customHeight="1" x14ac:dyDescent="0.25">
      <c r="B422" s="38"/>
      <c r="C422" s="38"/>
      <c r="D422" s="470"/>
      <c r="E422" s="470"/>
      <c r="G422" s="38"/>
      <c r="H422" s="38"/>
      <c r="I422" s="470"/>
      <c r="J422" s="470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</row>
    <row r="423" spans="2:27" ht="19.5" customHeight="1" x14ac:dyDescent="0.25">
      <c r="B423" s="38"/>
      <c r="C423" s="38"/>
      <c r="D423" s="470"/>
      <c r="E423" s="470"/>
      <c r="G423" s="38"/>
      <c r="H423" s="38"/>
      <c r="I423" s="470"/>
      <c r="J423" s="470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</row>
    <row r="424" spans="2:27" ht="19.5" customHeight="1" x14ac:dyDescent="0.25">
      <c r="B424" s="38"/>
      <c r="C424" s="38"/>
      <c r="D424" s="470"/>
      <c r="E424" s="470"/>
      <c r="G424" s="38"/>
      <c r="H424" s="38"/>
      <c r="I424" s="470"/>
      <c r="J424" s="470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</row>
    <row r="425" spans="2:27" ht="19.5" customHeight="1" x14ac:dyDescent="0.25">
      <c r="B425" s="38"/>
      <c r="C425" s="38"/>
      <c r="D425" s="470"/>
      <c r="E425" s="470"/>
      <c r="G425" s="38"/>
      <c r="H425" s="38"/>
      <c r="I425" s="470"/>
      <c r="J425" s="470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</row>
    <row r="426" spans="2:27" ht="19.5" customHeight="1" x14ac:dyDescent="0.25">
      <c r="B426" s="38"/>
      <c r="C426" s="38"/>
      <c r="D426" s="470"/>
      <c r="E426" s="470"/>
      <c r="G426" s="38"/>
      <c r="H426" s="38"/>
      <c r="I426" s="470"/>
      <c r="J426" s="470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</row>
    <row r="427" spans="2:27" ht="19.5" customHeight="1" x14ac:dyDescent="0.25">
      <c r="B427" s="38"/>
      <c r="C427" s="38"/>
      <c r="D427" s="470"/>
      <c r="E427" s="470"/>
      <c r="G427" s="38"/>
      <c r="H427" s="38"/>
      <c r="I427" s="470"/>
      <c r="J427" s="470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</row>
    <row r="428" spans="2:27" ht="19.5" customHeight="1" x14ac:dyDescent="0.25">
      <c r="B428" s="38"/>
      <c r="C428" s="38"/>
      <c r="D428" s="470"/>
      <c r="E428" s="470"/>
      <c r="G428" s="38"/>
      <c r="H428" s="38"/>
      <c r="I428" s="470"/>
      <c r="J428" s="470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</row>
    <row r="429" spans="2:27" ht="19.5" customHeight="1" x14ac:dyDescent="0.25">
      <c r="B429" s="38"/>
      <c r="C429" s="38"/>
      <c r="D429" s="470"/>
      <c r="E429" s="470"/>
      <c r="G429" s="38"/>
      <c r="H429" s="38"/>
      <c r="I429" s="470"/>
      <c r="J429" s="470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</row>
    <row r="430" spans="2:27" ht="19.5" customHeight="1" x14ac:dyDescent="0.25">
      <c r="B430" s="38"/>
      <c r="C430" s="38"/>
      <c r="D430" s="470"/>
      <c r="E430" s="470"/>
      <c r="G430" s="38"/>
      <c r="H430" s="38"/>
      <c r="I430" s="470"/>
      <c r="J430" s="470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</row>
    <row r="431" spans="2:27" ht="19.5" customHeight="1" x14ac:dyDescent="0.25">
      <c r="B431" s="38"/>
      <c r="C431" s="38"/>
      <c r="D431" s="470"/>
      <c r="E431" s="470"/>
      <c r="G431" s="38"/>
      <c r="H431" s="38"/>
      <c r="I431" s="470"/>
      <c r="J431" s="470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</row>
    <row r="432" spans="2:27" ht="19.5" customHeight="1" x14ac:dyDescent="0.25">
      <c r="B432" s="38"/>
      <c r="C432" s="38"/>
      <c r="D432" s="470"/>
      <c r="E432" s="470"/>
      <c r="G432" s="38"/>
      <c r="H432" s="38"/>
      <c r="I432" s="470"/>
      <c r="J432" s="470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</row>
    <row r="433" spans="2:27" ht="19.5" customHeight="1" x14ac:dyDescent="0.25">
      <c r="B433" s="38"/>
      <c r="C433" s="38"/>
      <c r="D433" s="470"/>
      <c r="E433" s="470"/>
      <c r="G433" s="38"/>
      <c r="H433" s="38"/>
      <c r="I433" s="470"/>
      <c r="J433" s="470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</row>
    <row r="434" spans="2:27" ht="19.5" customHeight="1" x14ac:dyDescent="0.25">
      <c r="B434" s="38"/>
      <c r="C434" s="38"/>
      <c r="D434" s="470"/>
      <c r="E434" s="470"/>
      <c r="G434" s="38"/>
      <c r="H434" s="38"/>
      <c r="I434" s="470"/>
      <c r="J434" s="470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</row>
    <row r="435" spans="2:27" ht="19.5" customHeight="1" x14ac:dyDescent="0.25">
      <c r="B435" s="38"/>
      <c r="C435" s="38"/>
      <c r="D435" s="470"/>
      <c r="E435" s="470"/>
      <c r="G435" s="38"/>
      <c r="H435" s="38"/>
      <c r="I435" s="470"/>
      <c r="J435" s="470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</row>
    <row r="436" spans="2:27" ht="19.5" customHeight="1" x14ac:dyDescent="0.25">
      <c r="B436" s="38"/>
      <c r="C436" s="38"/>
      <c r="D436" s="470"/>
      <c r="E436" s="470"/>
      <c r="G436" s="38"/>
      <c r="H436" s="38"/>
      <c r="I436" s="470"/>
      <c r="J436" s="470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</row>
    <row r="437" spans="2:27" ht="19.5" customHeight="1" x14ac:dyDescent="0.25">
      <c r="B437" s="38"/>
      <c r="C437" s="38"/>
      <c r="D437" s="470"/>
      <c r="E437" s="470"/>
      <c r="G437" s="38"/>
      <c r="H437" s="38"/>
      <c r="I437" s="470"/>
      <c r="J437" s="470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</row>
    <row r="438" spans="2:27" ht="19.5" customHeight="1" x14ac:dyDescent="0.25">
      <c r="B438" s="38"/>
      <c r="C438" s="38"/>
      <c r="D438" s="470"/>
      <c r="E438" s="470"/>
      <c r="G438" s="38"/>
      <c r="H438" s="38"/>
      <c r="I438" s="470"/>
      <c r="J438" s="470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</row>
    <row r="439" spans="2:27" ht="19.5" customHeight="1" x14ac:dyDescent="0.25">
      <c r="B439" s="38"/>
      <c r="C439" s="38"/>
      <c r="D439" s="470"/>
      <c r="E439" s="470"/>
      <c r="G439" s="38"/>
      <c r="H439" s="38"/>
      <c r="I439" s="470"/>
      <c r="J439" s="470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</row>
    <row r="440" spans="2:27" ht="19.5" customHeight="1" x14ac:dyDescent="0.25">
      <c r="B440" s="38"/>
      <c r="C440" s="38"/>
      <c r="D440" s="470"/>
      <c r="E440" s="470"/>
      <c r="G440" s="38"/>
      <c r="H440" s="38"/>
      <c r="I440" s="470"/>
      <c r="J440" s="470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</row>
    <row r="441" spans="2:27" ht="19.5" customHeight="1" x14ac:dyDescent="0.25">
      <c r="B441" s="38"/>
      <c r="C441" s="38"/>
      <c r="D441" s="470"/>
      <c r="E441" s="470"/>
      <c r="G441" s="38"/>
      <c r="H441" s="38"/>
      <c r="I441" s="470"/>
      <c r="J441" s="470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</row>
    <row r="442" spans="2:27" ht="19.5" customHeight="1" x14ac:dyDescent="0.25">
      <c r="B442" s="38"/>
      <c r="C442" s="38"/>
      <c r="D442" s="470"/>
      <c r="E442" s="470"/>
      <c r="G442" s="38"/>
      <c r="H442" s="38"/>
      <c r="I442" s="470"/>
      <c r="J442" s="470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</row>
    <row r="443" spans="2:27" ht="19.5" customHeight="1" x14ac:dyDescent="0.25">
      <c r="B443" s="38"/>
      <c r="C443" s="38"/>
      <c r="D443" s="470"/>
      <c r="E443" s="470"/>
      <c r="G443" s="38"/>
      <c r="H443" s="38"/>
      <c r="I443" s="470"/>
      <c r="J443" s="470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</row>
    <row r="444" spans="2:27" ht="19.5" customHeight="1" x14ac:dyDescent="0.25">
      <c r="B444" s="38"/>
      <c r="C444" s="38"/>
      <c r="D444" s="470"/>
      <c r="E444" s="470"/>
      <c r="G444" s="38"/>
      <c r="H444" s="38"/>
      <c r="I444" s="470"/>
      <c r="J444" s="470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</row>
    <row r="445" spans="2:27" ht="19.5" customHeight="1" x14ac:dyDescent="0.25">
      <c r="B445" s="38"/>
      <c r="C445" s="38"/>
      <c r="D445" s="470"/>
      <c r="E445" s="470"/>
      <c r="G445" s="38"/>
      <c r="H445" s="38"/>
      <c r="I445" s="470"/>
      <c r="J445" s="470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</row>
    <row r="446" spans="2:27" ht="19.5" customHeight="1" x14ac:dyDescent="0.25">
      <c r="B446" s="38"/>
      <c r="C446" s="38"/>
      <c r="D446" s="470"/>
      <c r="E446" s="470"/>
      <c r="G446" s="38"/>
      <c r="H446" s="38"/>
      <c r="I446" s="470"/>
      <c r="J446" s="470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</row>
    <row r="447" spans="2:27" ht="19.5" customHeight="1" x14ac:dyDescent="0.25">
      <c r="B447" s="38"/>
      <c r="C447" s="38"/>
      <c r="D447" s="470"/>
      <c r="E447" s="470"/>
      <c r="G447" s="38"/>
      <c r="H447" s="38"/>
      <c r="I447" s="470"/>
      <c r="J447" s="470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</row>
    <row r="448" spans="2:27" ht="19.5" customHeight="1" x14ac:dyDescent="0.25">
      <c r="B448" s="38"/>
      <c r="C448" s="38"/>
      <c r="D448" s="470"/>
      <c r="E448" s="470"/>
      <c r="G448" s="38"/>
      <c r="H448" s="38"/>
      <c r="I448" s="470"/>
      <c r="J448" s="470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</row>
    <row r="449" spans="2:27" ht="19.5" customHeight="1" x14ac:dyDescent="0.25">
      <c r="B449" s="38"/>
      <c r="C449" s="38"/>
      <c r="D449" s="470"/>
      <c r="E449" s="470"/>
      <c r="G449" s="38"/>
      <c r="H449" s="38"/>
      <c r="I449" s="470"/>
      <c r="J449" s="470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</row>
    <row r="450" spans="2:27" ht="19.5" customHeight="1" x14ac:dyDescent="0.25">
      <c r="B450" s="38"/>
      <c r="C450" s="38"/>
      <c r="D450" s="470"/>
      <c r="E450" s="470"/>
      <c r="G450" s="38"/>
      <c r="H450" s="38"/>
      <c r="I450" s="470"/>
      <c r="J450" s="470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</row>
    <row r="451" spans="2:27" ht="19.5" customHeight="1" x14ac:dyDescent="0.25">
      <c r="B451" s="38"/>
      <c r="C451" s="38"/>
      <c r="D451" s="470"/>
      <c r="E451" s="470"/>
      <c r="G451" s="38"/>
      <c r="H451" s="38"/>
      <c r="I451" s="470"/>
      <c r="J451" s="470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</row>
    <row r="452" spans="2:27" ht="19.5" customHeight="1" x14ac:dyDescent="0.25">
      <c r="B452" s="38"/>
      <c r="C452" s="38"/>
      <c r="D452" s="470"/>
      <c r="E452" s="470"/>
      <c r="G452" s="38"/>
      <c r="H452" s="38"/>
      <c r="I452" s="470"/>
      <c r="J452" s="470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</row>
    <row r="453" spans="2:27" ht="19.5" customHeight="1" x14ac:dyDescent="0.25">
      <c r="B453" s="38"/>
      <c r="C453" s="38"/>
      <c r="D453" s="470"/>
      <c r="E453" s="470"/>
      <c r="G453" s="38"/>
      <c r="H453" s="38"/>
      <c r="I453" s="470"/>
      <c r="J453" s="470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</row>
    <row r="454" spans="2:27" ht="19.5" customHeight="1" x14ac:dyDescent="0.25">
      <c r="B454" s="38"/>
      <c r="C454" s="38"/>
      <c r="D454" s="470"/>
      <c r="E454" s="470"/>
      <c r="G454" s="38"/>
      <c r="H454" s="38"/>
      <c r="I454" s="470"/>
      <c r="J454" s="470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</row>
    <row r="455" spans="2:27" ht="19.5" customHeight="1" x14ac:dyDescent="0.25">
      <c r="B455" s="38"/>
      <c r="C455" s="38"/>
      <c r="D455" s="470"/>
      <c r="E455" s="470"/>
      <c r="G455" s="38"/>
      <c r="H455" s="38"/>
      <c r="I455" s="470"/>
      <c r="J455" s="470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</row>
    <row r="456" spans="2:27" ht="19.5" customHeight="1" x14ac:dyDescent="0.25">
      <c r="B456" s="38"/>
      <c r="C456" s="38"/>
      <c r="D456" s="470"/>
      <c r="E456" s="470"/>
      <c r="G456" s="38"/>
      <c r="H456" s="38"/>
      <c r="I456" s="470"/>
      <c r="J456" s="470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</row>
    <row r="457" spans="2:27" ht="19.5" customHeight="1" x14ac:dyDescent="0.25">
      <c r="B457" s="38"/>
      <c r="C457" s="38"/>
      <c r="D457" s="470"/>
      <c r="E457" s="470"/>
      <c r="G457" s="38"/>
      <c r="H457" s="38"/>
      <c r="I457" s="470"/>
      <c r="J457" s="470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</row>
    <row r="458" spans="2:27" ht="19.5" customHeight="1" x14ac:dyDescent="0.25">
      <c r="B458" s="38"/>
      <c r="C458" s="38"/>
      <c r="D458" s="470"/>
      <c r="E458" s="470"/>
      <c r="G458" s="38"/>
      <c r="H458" s="38"/>
      <c r="I458" s="470"/>
      <c r="J458" s="470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</row>
    <row r="459" spans="2:27" ht="19.5" customHeight="1" x14ac:dyDescent="0.25">
      <c r="B459" s="38"/>
      <c r="C459" s="38"/>
      <c r="D459" s="470"/>
      <c r="E459" s="470"/>
      <c r="G459" s="38"/>
      <c r="H459" s="38"/>
      <c r="I459" s="470"/>
      <c r="J459" s="470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</row>
    <row r="460" spans="2:27" ht="19.5" customHeight="1" x14ac:dyDescent="0.25">
      <c r="B460" s="38"/>
      <c r="C460" s="38"/>
      <c r="D460" s="470"/>
      <c r="E460" s="470"/>
      <c r="G460" s="38"/>
      <c r="H460" s="38"/>
      <c r="I460" s="470"/>
      <c r="J460" s="470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</row>
    <row r="461" spans="2:27" ht="19.5" customHeight="1" x14ac:dyDescent="0.25">
      <c r="B461" s="38"/>
      <c r="C461" s="38"/>
      <c r="D461" s="470"/>
      <c r="E461" s="470"/>
      <c r="G461" s="38"/>
      <c r="H461" s="38"/>
      <c r="I461" s="470"/>
      <c r="J461" s="470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</row>
    <row r="462" spans="2:27" ht="19.5" customHeight="1" x14ac:dyDescent="0.25">
      <c r="B462" s="38"/>
      <c r="C462" s="38"/>
      <c r="D462" s="470"/>
      <c r="E462" s="470"/>
      <c r="G462" s="38"/>
      <c r="H462" s="38"/>
      <c r="I462" s="470"/>
      <c r="J462" s="470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</row>
    <row r="463" spans="2:27" ht="19.5" customHeight="1" x14ac:dyDescent="0.25">
      <c r="B463" s="38"/>
      <c r="C463" s="38"/>
      <c r="D463" s="470"/>
      <c r="E463" s="470"/>
      <c r="G463" s="38"/>
      <c r="H463" s="38"/>
      <c r="I463" s="470"/>
      <c r="J463" s="470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</row>
    <row r="464" spans="2:27" ht="19.5" customHeight="1" x14ac:dyDescent="0.25">
      <c r="B464" s="38"/>
      <c r="C464" s="38"/>
      <c r="D464" s="470"/>
      <c r="E464" s="470"/>
      <c r="G464" s="38"/>
      <c r="H464" s="38"/>
      <c r="I464" s="470"/>
      <c r="J464" s="470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</row>
    <row r="465" spans="2:27" ht="19.5" customHeight="1" x14ac:dyDescent="0.25">
      <c r="B465" s="38"/>
      <c r="C465" s="38"/>
      <c r="D465" s="470"/>
      <c r="E465" s="470"/>
      <c r="G465" s="38"/>
      <c r="H465" s="38"/>
      <c r="I465" s="470"/>
      <c r="J465" s="470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</row>
    <row r="466" spans="2:27" ht="19.5" customHeight="1" x14ac:dyDescent="0.25">
      <c r="B466" s="38"/>
      <c r="C466" s="38"/>
      <c r="D466" s="470"/>
      <c r="E466" s="470"/>
      <c r="G466" s="38"/>
      <c r="H466" s="38"/>
      <c r="I466" s="470"/>
      <c r="J466" s="470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</row>
    <row r="467" spans="2:27" ht="19.5" customHeight="1" x14ac:dyDescent="0.25">
      <c r="B467" s="38"/>
      <c r="C467" s="38"/>
      <c r="D467" s="470"/>
      <c r="E467" s="470"/>
      <c r="G467" s="38"/>
      <c r="H467" s="38"/>
      <c r="I467" s="470"/>
      <c r="J467" s="470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</row>
    <row r="468" spans="2:27" ht="19.5" customHeight="1" x14ac:dyDescent="0.25">
      <c r="B468" s="38"/>
      <c r="C468" s="38"/>
      <c r="D468" s="470"/>
      <c r="E468" s="470"/>
      <c r="G468" s="38"/>
      <c r="H468" s="38"/>
      <c r="I468" s="470"/>
      <c r="J468" s="470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</row>
    <row r="469" spans="2:27" ht="19.5" customHeight="1" x14ac:dyDescent="0.25">
      <c r="B469" s="38"/>
      <c r="C469" s="38"/>
      <c r="D469" s="470"/>
      <c r="E469" s="470"/>
      <c r="G469" s="38"/>
      <c r="H469" s="38"/>
      <c r="I469" s="470"/>
      <c r="J469" s="470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</row>
    <row r="470" spans="2:27" ht="19.5" customHeight="1" x14ac:dyDescent="0.25">
      <c r="B470" s="38"/>
      <c r="C470" s="38"/>
      <c r="D470" s="470"/>
      <c r="E470" s="470"/>
      <c r="G470" s="38"/>
      <c r="H470" s="38"/>
      <c r="I470" s="470"/>
      <c r="J470" s="470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</row>
    <row r="471" spans="2:27" ht="19.5" customHeight="1" x14ac:dyDescent="0.25">
      <c r="B471" s="38"/>
      <c r="C471" s="38"/>
      <c r="D471" s="470"/>
      <c r="E471" s="470"/>
      <c r="G471" s="38"/>
      <c r="H471" s="38"/>
      <c r="I471" s="470"/>
      <c r="J471" s="470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</row>
    <row r="472" spans="2:27" ht="19.5" customHeight="1" x14ac:dyDescent="0.25">
      <c r="B472" s="38"/>
      <c r="C472" s="38"/>
      <c r="D472" s="470"/>
      <c r="E472" s="470"/>
      <c r="G472" s="38"/>
      <c r="H472" s="38"/>
      <c r="I472" s="470"/>
      <c r="J472" s="470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</row>
    <row r="473" spans="2:27" ht="19.5" customHeight="1" x14ac:dyDescent="0.25">
      <c r="B473" s="38"/>
      <c r="C473" s="38"/>
      <c r="D473" s="470"/>
      <c r="E473" s="470"/>
      <c r="G473" s="38"/>
      <c r="H473" s="38"/>
      <c r="I473" s="470"/>
      <c r="J473" s="470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</row>
    <row r="474" spans="2:27" ht="19.5" customHeight="1" x14ac:dyDescent="0.25">
      <c r="B474" s="38"/>
      <c r="C474" s="38"/>
      <c r="D474" s="470"/>
      <c r="E474" s="470"/>
      <c r="G474" s="38"/>
      <c r="H474" s="38"/>
      <c r="I474" s="470"/>
      <c r="J474" s="470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</row>
    <row r="475" spans="2:27" ht="19.5" customHeight="1" x14ac:dyDescent="0.25">
      <c r="B475" s="38"/>
      <c r="C475" s="38"/>
      <c r="D475" s="470"/>
      <c r="E475" s="470"/>
      <c r="G475" s="38"/>
      <c r="H475" s="38"/>
      <c r="I475" s="470"/>
      <c r="J475" s="470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</row>
    <row r="476" spans="2:27" ht="19.5" customHeight="1" x14ac:dyDescent="0.25">
      <c r="B476" s="38"/>
      <c r="C476" s="38"/>
      <c r="D476" s="470"/>
      <c r="E476" s="470"/>
      <c r="G476" s="38"/>
      <c r="H476" s="38"/>
      <c r="I476" s="470"/>
      <c r="J476" s="470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</row>
    <row r="477" spans="2:27" ht="19.5" customHeight="1" x14ac:dyDescent="0.25">
      <c r="B477" s="38"/>
      <c r="C477" s="38"/>
      <c r="D477" s="470"/>
      <c r="E477" s="470"/>
      <c r="G477" s="38"/>
      <c r="H477" s="38"/>
      <c r="I477" s="470"/>
      <c r="J477" s="470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</row>
    <row r="478" spans="2:27" ht="19.5" customHeight="1" x14ac:dyDescent="0.25">
      <c r="B478" s="38"/>
      <c r="C478" s="38"/>
      <c r="D478" s="470"/>
      <c r="E478" s="470"/>
      <c r="G478" s="38"/>
      <c r="H478" s="38"/>
      <c r="I478" s="470"/>
      <c r="J478" s="470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</row>
    <row r="479" spans="2:27" ht="19.5" customHeight="1" x14ac:dyDescent="0.25">
      <c r="B479" s="38"/>
      <c r="C479" s="38"/>
      <c r="D479" s="470"/>
      <c r="E479" s="470"/>
      <c r="G479" s="38"/>
      <c r="H479" s="38"/>
      <c r="I479" s="470"/>
      <c r="J479" s="470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</row>
    <row r="480" spans="2:27" ht="19.5" customHeight="1" x14ac:dyDescent="0.25">
      <c r="B480" s="38"/>
      <c r="C480" s="38"/>
      <c r="D480" s="470"/>
      <c r="E480" s="470"/>
      <c r="G480" s="38"/>
      <c r="H480" s="38"/>
      <c r="I480" s="470"/>
      <c r="J480" s="470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</row>
    <row r="481" spans="2:27" ht="19.5" customHeight="1" x14ac:dyDescent="0.25">
      <c r="B481" s="38"/>
      <c r="C481" s="38"/>
      <c r="D481" s="470"/>
      <c r="E481" s="470"/>
      <c r="G481" s="38"/>
      <c r="H481" s="38"/>
      <c r="I481" s="470"/>
      <c r="J481" s="470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</row>
    <row r="482" spans="2:27" ht="19.5" customHeight="1" x14ac:dyDescent="0.25">
      <c r="B482" s="38"/>
      <c r="C482" s="38"/>
      <c r="D482" s="470"/>
      <c r="E482" s="470"/>
      <c r="G482" s="38"/>
      <c r="H482" s="38"/>
      <c r="I482" s="470"/>
      <c r="J482" s="470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</row>
    <row r="483" spans="2:27" ht="19.5" customHeight="1" x14ac:dyDescent="0.25">
      <c r="B483" s="38"/>
      <c r="C483" s="38"/>
      <c r="D483" s="470"/>
      <c r="E483" s="470"/>
      <c r="G483" s="38"/>
      <c r="H483" s="38"/>
      <c r="I483" s="470"/>
      <c r="J483" s="470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</row>
    <row r="484" spans="2:27" ht="19.5" customHeight="1" x14ac:dyDescent="0.25">
      <c r="B484" s="38"/>
      <c r="C484" s="38"/>
      <c r="D484" s="470"/>
      <c r="E484" s="470"/>
      <c r="G484" s="38"/>
      <c r="H484" s="38"/>
      <c r="I484" s="470"/>
      <c r="J484" s="470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</row>
    <row r="485" spans="2:27" ht="19.5" customHeight="1" x14ac:dyDescent="0.25">
      <c r="B485" s="38"/>
      <c r="C485" s="38"/>
      <c r="D485" s="470"/>
      <c r="E485" s="470"/>
      <c r="G485" s="38"/>
      <c r="H485" s="38"/>
      <c r="I485" s="470"/>
      <c r="J485" s="470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</row>
    <row r="486" spans="2:27" ht="19.5" customHeight="1" x14ac:dyDescent="0.25">
      <c r="B486" s="38"/>
      <c r="C486" s="38"/>
      <c r="D486" s="470"/>
      <c r="E486" s="470"/>
      <c r="G486" s="38"/>
      <c r="H486" s="38"/>
      <c r="I486" s="470"/>
      <c r="J486" s="470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</row>
    <row r="487" spans="2:27" ht="19.5" customHeight="1" x14ac:dyDescent="0.25">
      <c r="B487" s="38"/>
      <c r="C487" s="38"/>
      <c r="D487" s="470"/>
      <c r="E487" s="470"/>
      <c r="G487" s="38"/>
      <c r="H487" s="38"/>
      <c r="I487" s="470"/>
      <c r="J487" s="470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</row>
    <row r="488" spans="2:27" ht="19.5" customHeight="1" x14ac:dyDescent="0.25">
      <c r="B488" s="38"/>
      <c r="C488" s="38"/>
      <c r="D488" s="470"/>
      <c r="E488" s="470"/>
      <c r="G488" s="38"/>
      <c r="H488" s="38"/>
      <c r="I488" s="470"/>
      <c r="J488" s="470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</row>
    <row r="489" spans="2:27" ht="19.5" customHeight="1" x14ac:dyDescent="0.25">
      <c r="B489" s="38"/>
      <c r="C489" s="38"/>
      <c r="D489" s="470"/>
      <c r="E489" s="470"/>
      <c r="G489" s="38"/>
      <c r="H489" s="38"/>
      <c r="I489" s="470"/>
      <c r="J489" s="470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</row>
    <row r="490" spans="2:27" ht="19.5" customHeight="1" x14ac:dyDescent="0.25">
      <c r="B490" s="38"/>
      <c r="C490" s="38"/>
      <c r="D490" s="470"/>
      <c r="E490" s="470"/>
      <c r="G490" s="38"/>
      <c r="H490" s="38"/>
      <c r="I490" s="470"/>
      <c r="J490" s="470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</row>
    <row r="491" spans="2:27" ht="19.5" customHeight="1" x14ac:dyDescent="0.25">
      <c r="B491" s="38"/>
      <c r="C491" s="38"/>
      <c r="D491" s="470"/>
      <c r="E491" s="470"/>
      <c r="G491" s="38"/>
      <c r="H491" s="38"/>
      <c r="I491" s="470"/>
      <c r="J491" s="470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</row>
    <row r="492" spans="2:27" ht="19.5" customHeight="1" x14ac:dyDescent="0.25">
      <c r="B492" s="38"/>
      <c r="C492" s="38"/>
      <c r="D492" s="470"/>
      <c r="E492" s="470"/>
      <c r="G492" s="38"/>
      <c r="H492" s="38"/>
      <c r="I492" s="470"/>
      <c r="J492" s="470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</row>
    <row r="493" spans="2:27" ht="19.5" customHeight="1" x14ac:dyDescent="0.25">
      <c r="B493" s="38"/>
      <c r="C493" s="38"/>
      <c r="D493" s="470"/>
      <c r="E493" s="470"/>
      <c r="G493" s="38"/>
      <c r="H493" s="38"/>
      <c r="I493" s="470"/>
      <c r="J493" s="470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</row>
    <row r="494" spans="2:27" ht="19.5" customHeight="1" x14ac:dyDescent="0.25">
      <c r="B494" s="38"/>
      <c r="C494" s="38"/>
      <c r="D494" s="470"/>
      <c r="E494" s="470"/>
      <c r="G494" s="38"/>
      <c r="H494" s="38"/>
      <c r="I494" s="470"/>
      <c r="J494" s="470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</row>
    <row r="495" spans="2:27" ht="19.5" customHeight="1" x14ac:dyDescent="0.25">
      <c r="B495" s="38"/>
      <c r="C495" s="38"/>
      <c r="D495" s="470"/>
      <c r="E495" s="470"/>
      <c r="G495" s="38"/>
      <c r="H495" s="38"/>
      <c r="I495" s="470"/>
      <c r="J495" s="470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</row>
    <row r="496" spans="2:27" ht="19.5" customHeight="1" x14ac:dyDescent="0.25">
      <c r="B496" s="38"/>
      <c r="C496" s="38"/>
      <c r="D496" s="470"/>
      <c r="E496" s="470"/>
      <c r="G496" s="38"/>
      <c r="H496" s="38"/>
      <c r="I496" s="470"/>
      <c r="J496" s="470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</row>
    <row r="497" spans="2:27" ht="19.5" customHeight="1" x14ac:dyDescent="0.25">
      <c r="B497" s="38"/>
      <c r="C497" s="38"/>
      <c r="D497" s="470"/>
      <c r="E497" s="470"/>
      <c r="G497" s="38"/>
      <c r="H497" s="38"/>
      <c r="I497" s="470"/>
      <c r="J497" s="470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</row>
    <row r="498" spans="2:27" ht="19.5" customHeight="1" x14ac:dyDescent="0.25">
      <c r="B498" s="38"/>
      <c r="C498" s="38"/>
      <c r="D498" s="470"/>
      <c r="E498" s="470"/>
      <c r="G498" s="38"/>
      <c r="H498" s="38"/>
      <c r="I498" s="470"/>
      <c r="J498" s="470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</row>
    <row r="499" spans="2:27" ht="19.5" customHeight="1" x14ac:dyDescent="0.25">
      <c r="B499" s="38"/>
      <c r="C499" s="38"/>
      <c r="D499" s="470"/>
      <c r="E499" s="470"/>
      <c r="G499" s="38"/>
      <c r="H499" s="38"/>
      <c r="I499" s="470"/>
      <c r="J499" s="470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</row>
    <row r="500" spans="2:27" ht="19.5" customHeight="1" x14ac:dyDescent="0.25">
      <c r="B500" s="38"/>
      <c r="C500" s="38"/>
      <c r="D500" s="470"/>
      <c r="E500" s="470"/>
      <c r="G500" s="38"/>
      <c r="H500" s="38"/>
      <c r="I500" s="470"/>
      <c r="J500" s="470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</row>
    <row r="501" spans="2:27" ht="19.5" customHeight="1" x14ac:dyDescent="0.25">
      <c r="B501" s="38"/>
      <c r="C501" s="38"/>
      <c r="D501" s="470"/>
      <c r="E501" s="470"/>
      <c r="G501" s="38"/>
      <c r="H501" s="38"/>
      <c r="I501" s="470"/>
      <c r="J501" s="470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</row>
    <row r="502" spans="2:27" ht="19.5" customHeight="1" x14ac:dyDescent="0.25">
      <c r="B502" s="38"/>
      <c r="C502" s="38"/>
      <c r="D502" s="470"/>
      <c r="E502" s="470"/>
      <c r="G502" s="38"/>
      <c r="H502" s="38"/>
      <c r="I502" s="470"/>
      <c r="J502" s="470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</row>
    <row r="503" spans="2:27" ht="19.5" customHeight="1" x14ac:dyDescent="0.25">
      <c r="B503" s="38"/>
      <c r="C503" s="38"/>
      <c r="D503" s="470"/>
      <c r="E503" s="470"/>
      <c r="G503" s="38"/>
      <c r="H503" s="38"/>
      <c r="I503" s="470"/>
      <c r="J503" s="470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</row>
    <row r="504" spans="2:27" ht="19.5" customHeight="1" x14ac:dyDescent="0.25">
      <c r="B504" s="38"/>
      <c r="C504" s="38"/>
      <c r="D504" s="470"/>
      <c r="E504" s="470"/>
      <c r="G504" s="38"/>
      <c r="H504" s="38"/>
      <c r="I504" s="470"/>
      <c r="J504" s="470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</row>
    <row r="505" spans="2:27" ht="19.5" customHeight="1" x14ac:dyDescent="0.25">
      <c r="B505" s="38"/>
      <c r="C505" s="38"/>
      <c r="D505" s="470"/>
      <c r="E505" s="470"/>
      <c r="G505" s="38"/>
      <c r="H505" s="38"/>
      <c r="I505" s="470"/>
      <c r="J505" s="470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</row>
    <row r="506" spans="2:27" ht="19.5" customHeight="1" x14ac:dyDescent="0.25">
      <c r="B506" s="38"/>
      <c r="C506" s="38"/>
      <c r="D506" s="470"/>
      <c r="E506" s="470"/>
      <c r="G506" s="38"/>
      <c r="H506" s="38"/>
      <c r="I506" s="470"/>
      <c r="J506" s="470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</row>
    <row r="507" spans="2:27" ht="19.5" customHeight="1" x14ac:dyDescent="0.25">
      <c r="B507" s="38"/>
      <c r="C507" s="38"/>
      <c r="D507" s="470"/>
      <c r="E507" s="470"/>
      <c r="G507" s="38"/>
      <c r="H507" s="38"/>
      <c r="I507" s="470"/>
      <c r="J507" s="470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</row>
    <row r="508" spans="2:27" ht="19.5" customHeight="1" x14ac:dyDescent="0.25">
      <c r="B508" s="38"/>
      <c r="C508" s="38"/>
      <c r="D508" s="470"/>
      <c r="E508" s="470"/>
      <c r="G508" s="38"/>
      <c r="H508" s="38"/>
      <c r="I508" s="470"/>
      <c r="J508" s="470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</row>
    <row r="509" spans="2:27" ht="19.5" customHeight="1" x14ac:dyDescent="0.25">
      <c r="B509" s="38"/>
      <c r="C509" s="38"/>
      <c r="D509" s="470"/>
      <c r="E509" s="470"/>
      <c r="G509" s="38"/>
      <c r="H509" s="38"/>
      <c r="I509" s="470"/>
      <c r="J509" s="470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</row>
    <row r="510" spans="2:27" ht="19.5" customHeight="1" x14ac:dyDescent="0.25">
      <c r="B510" s="38"/>
      <c r="C510" s="38"/>
      <c r="D510" s="470"/>
      <c r="E510" s="470"/>
      <c r="G510" s="38"/>
      <c r="H510" s="38"/>
      <c r="I510" s="470"/>
      <c r="J510" s="470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</row>
    <row r="511" spans="2:27" ht="19.5" customHeight="1" x14ac:dyDescent="0.25">
      <c r="B511" s="38"/>
      <c r="C511" s="38"/>
      <c r="D511" s="470"/>
      <c r="E511" s="470"/>
      <c r="G511" s="38"/>
      <c r="H511" s="38"/>
      <c r="I511" s="470"/>
      <c r="J511" s="470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</row>
    <row r="512" spans="2:27" ht="19.5" customHeight="1" x14ac:dyDescent="0.25">
      <c r="B512" s="38"/>
      <c r="C512" s="38"/>
      <c r="D512" s="470"/>
      <c r="E512" s="470"/>
      <c r="G512" s="38"/>
      <c r="H512" s="38"/>
      <c r="I512" s="470"/>
      <c r="J512" s="470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</row>
    <row r="513" spans="2:27" ht="19.5" customHeight="1" x14ac:dyDescent="0.25">
      <c r="B513" s="38"/>
      <c r="C513" s="38"/>
      <c r="D513" s="470"/>
      <c r="E513" s="470"/>
      <c r="G513" s="38"/>
      <c r="H513" s="38"/>
      <c r="I513" s="470"/>
      <c r="J513" s="470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</row>
    <row r="514" spans="2:27" ht="19.5" customHeight="1" x14ac:dyDescent="0.25">
      <c r="B514" s="38"/>
      <c r="C514" s="38"/>
      <c r="D514" s="470"/>
      <c r="E514" s="470"/>
      <c r="G514" s="38"/>
      <c r="H514" s="38"/>
      <c r="I514" s="470"/>
      <c r="J514" s="470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</row>
    <row r="515" spans="2:27" ht="19.5" customHeight="1" x14ac:dyDescent="0.25">
      <c r="B515" s="38"/>
      <c r="C515" s="38"/>
      <c r="D515" s="470"/>
      <c r="E515" s="470"/>
      <c r="G515" s="38"/>
      <c r="H515" s="38"/>
      <c r="I515" s="470"/>
      <c r="J515" s="470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</row>
    <row r="516" spans="2:27" ht="19.5" customHeight="1" x14ac:dyDescent="0.25">
      <c r="B516" s="38"/>
      <c r="C516" s="38"/>
      <c r="D516" s="470"/>
      <c r="E516" s="470"/>
      <c r="G516" s="38"/>
      <c r="H516" s="38"/>
      <c r="I516" s="470"/>
      <c r="J516" s="470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</row>
    <row r="517" spans="2:27" ht="19.5" customHeight="1" x14ac:dyDescent="0.25">
      <c r="B517" s="38"/>
      <c r="C517" s="38"/>
      <c r="D517" s="470"/>
      <c r="E517" s="470"/>
      <c r="G517" s="38"/>
      <c r="H517" s="38"/>
      <c r="I517" s="470"/>
      <c r="J517" s="470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</row>
    <row r="518" spans="2:27" ht="19.5" customHeight="1" x14ac:dyDescent="0.25">
      <c r="B518" s="38"/>
      <c r="C518" s="38"/>
      <c r="D518" s="470"/>
      <c r="E518" s="470"/>
      <c r="G518" s="38"/>
      <c r="H518" s="38"/>
      <c r="I518" s="470"/>
      <c r="J518" s="470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</row>
    <row r="519" spans="2:27" ht="19.5" customHeight="1" x14ac:dyDescent="0.25">
      <c r="B519" s="38"/>
      <c r="C519" s="38"/>
      <c r="D519" s="470"/>
      <c r="E519" s="470"/>
      <c r="G519" s="38"/>
      <c r="H519" s="38"/>
      <c r="I519" s="470"/>
      <c r="J519" s="470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</row>
    <row r="520" spans="2:27" ht="19.5" customHeight="1" x14ac:dyDescent="0.25">
      <c r="B520" s="38"/>
      <c r="C520" s="38"/>
      <c r="D520" s="470"/>
      <c r="E520" s="470"/>
      <c r="G520" s="38"/>
      <c r="H520" s="38"/>
      <c r="I520" s="470"/>
      <c r="J520" s="470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</row>
    <row r="521" spans="2:27" ht="19.5" customHeight="1" x14ac:dyDescent="0.25">
      <c r="B521" s="38"/>
      <c r="C521" s="38"/>
      <c r="D521" s="470"/>
      <c r="E521" s="470"/>
      <c r="G521" s="38"/>
      <c r="H521" s="38"/>
      <c r="I521" s="470"/>
      <c r="J521" s="470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</row>
    <row r="522" spans="2:27" ht="19.5" customHeight="1" x14ac:dyDescent="0.25">
      <c r="B522" s="38"/>
      <c r="C522" s="38"/>
      <c r="D522" s="470"/>
      <c r="E522" s="470"/>
      <c r="G522" s="38"/>
      <c r="H522" s="38"/>
      <c r="I522" s="470"/>
      <c r="J522" s="470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</row>
    <row r="523" spans="2:27" ht="19.5" customHeight="1" x14ac:dyDescent="0.25">
      <c r="B523" s="38"/>
      <c r="C523" s="38"/>
      <c r="D523" s="470"/>
      <c r="E523" s="470"/>
      <c r="G523" s="38"/>
      <c r="H523" s="38"/>
      <c r="I523" s="470"/>
      <c r="J523" s="470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</row>
    <row r="524" spans="2:27" ht="19.5" customHeight="1" x14ac:dyDescent="0.25">
      <c r="B524" s="38"/>
      <c r="C524" s="38"/>
      <c r="D524" s="470"/>
      <c r="E524" s="470"/>
      <c r="G524" s="38"/>
      <c r="H524" s="38"/>
      <c r="I524" s="470"/>
      <c r="J524" s="470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</row>
    <row r="525" spans="2:27" ht="19.5" customHeight="1" x14ac:dyDescent="0.25">
      <c r="B525" s="38"/>
      <c r="C525" s="38"/>
      <c r="D525" s="470"/>
      <c r="E525" s="470"/>
      <c r="G525" s="38"/>
      <c r="H525" s="38"/>
      <c r="I525" s="470"/>
      <c r="J525" s="470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</row>
    <row r="526" spans="2:27" ht="19.5" customHeight="1" x14ac:dyDescent="0.25">
      <c r="B526" s="38"/>
      <c r="C526" s="38"/>
      <c r="D526" s="470"/>
      <c r="E526" s="470"/>
      <c r="G526" s="38"/>
      <c r="H526" s="38"/>
      <c r="I526" s="470"/>
      <c r="J526" s="470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</row>
    <row r="527" spans="2:27" ht="19.5" customHeight="1" x14ac:dyDescent="0.25">
      <c r="B527" s="38"/>
      <c r="C527" s="38"/>
      <c r="D527" s="470"/>
      <c r="E527" s="470"/>
      <c r="G527" s="38"/>
      <c r="H527" s="38"/>
      <c r="I527" s="470"/>
      <c r="J527" s="470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</row>
    <row r="528" spans="2:27" ht="19.5" customHeight="1" x14ac:dyDescent="0.25">
      <c r="B528" s="38"/>
      <c r="C528" s="38"/>
      <c r="D528" s="470"/>
      <c r="E528" s="470"/>
      <c r="G528" s="38"/>
      <c r="H528" s="38"/>
      <c r="I528" s="470"/>
      <c r="J528" s="470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</row>
    <row r="529" spans="2:27" ht="19.5" customHeight="1" x14ac:dyDescent="0.25">
      <c r="B529" s="38"/>
      <c r="C529" s="38"/>
      <c r="D529" s="470"/>
      <c r="E529" s="470"/>
      <c r="G529" s="38"/>
      <c r="H529" s="38"/>
      <c r="I529" s="470"/>
      <c r="J529" s="470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</row>
    <row r="530" spans="2:27" ht="19.5" customHeight="1" x14ac:dyDescent="0.25">
      <c r="B530" s="38"/>
      <c r="C530" s="38"/>
      <c r="D530" s="470"/>
      <c r="E530" s="470"/>
      <c r="G530" s="38"/>
      <c r="H530" s="38"/>
      <c r="I530" s="470"/>
      <c r="J530" s="470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</row>
    <row r="531" spans="2:27" ht="19.5" customHeight="1" x14ac:dyDescent="0.25">
      <c r="B531" s="38"/>
      <c r="C531" s="38"/>
      <c r="D531" s="470"/>
      <c r="E531" s="470"/>
      <c r="G531" s="38"/>
      <c r="H531" s="38"/>
      <c r="I531" s="470"/>
      <c r="J531" s="470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</row>
    <row r="532" spans="2:27" ht="19.5" customHeight="1" x14ac:dyDescent="0.25">
      <c r="B532" s="38"/>
      <c r="C532" s="38"/>
      <c r="D532" s="470"/>
      <c r="E532" s="470"/>
      <c r="G532" s="38"/>
      <c r="H532" s="38"/>
      <c r="I532" s="470"/>
      <c r="J532" s="470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</row>
    <row r="533" spans="2:27" ht="19.5" customHeight="1" x14ac:dyDescent="0.25">
      <c r="B533" s="38"/>
      <c r="C533" s="38"/>
      <c r="D533" s="470"/>
      <c r="E533" s="470"/>
      <c r="G533" s="38"/>
      <c r="H533" s="38"/>
      <c r="I533" s="470"/>
      <c r="J533" s="470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</row>
    <row r="534" spans="2:27" ht="19.5" customHeight="1" x14ac:dyDescent="0.25">
      <c r="B534" s="38"/>
      <c r="C534" s="38"/>
      <c r="D534" s="470"/>
      <c r="E534" s="470"/>
      <c r="G534" s="38"/>
      <c r="H534" s="38"/>
      <c r="I534" s="470"/>
      <c r="J534" s="470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</row>
    <row r="535" spans="2:27" ht="19.5" customHeight="1" x14ac:dyDescent="0.25">
      <c r="B535" s="38"/>
      <c r="C535" s="38"/>
      <c r="D535" s="470"/>
      <c r="E535" s="470"/>
      <c r="G535" s="38"/>
      <c r="H535" s="38"/>
      <c r="I535" s="470"/>
      <c r="J535" s="470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</row>
    <row r="536" spans="2:27" ht="19.5" customHeight="1" x14ac:dyDescent="0.25">
      <c r="B536" s="38"/>
      <c r="C536" s="38"/>
      <c r="D536" s="470"/>
      <c r="E536" s="470"/>
      <c r="G536" s="38"/>
      <c r="H536" s="38"/>
      <c r="I536" s="470"/>
      <c r="J536" s="470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</row>
    <row r="537" spans="2:27" ht="19.5" customHeight="1" x14ac:dyDescent="0.25">
      <c r="B537" s="38"/>
      <c r="C537" s="38"/>
      <c r="D537" s="470"/>
      <c r="E537" s="470"/>
      <c r="G537" s="38"/>
      <c r="H537" s="38"/>
      <c r="I537" s="470"/>
      <c r="J537" s="470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</row>
    <row r="538" spans="2:27" ht="19.5" customHeight="1" x14ac:dyDescent="0.25">
      <c r="B538" s="38"/>
      <c r="C538" s="38"/>
      <c r="D538" s="470"/>
      <c r="E538" s="470"/>
      <c r="G538" s="38"/>
      <c r="H538" s="38"/>
      <c r="I538" s="470"/>
      <c r="J538" s="470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</row>
    <row r="539" spans="2:27" ht="19.5" customHeight="1" x14ac:dyDescent="0.25">
      <c r="B539" s="38"/>
      <c r="C539" s="38"/>
      <c r="D539" s="470"/>
      <c r="E539" s="470"/>
      <c r="G539" s="38"/>
      <c r="H539" s="38"/>
      <c r="I539" s="470"/>
      <c r="J539" s="470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</row>
    <row r="540" spans="2:27" ht="19.5" customHeight="1" x14ac:dyDescent="0.25">
      <c r="B540" s="38"/>
      <c r="C540" s="38"/>
      <c r="D540" s="470"/>
      <c r="E540" s="470"/>
      <c r="G540" s="38"/>
      <c r="H540" s="38"/>
      <c r="I540" s="470"/>
      <c r="J540" s="470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</row>
    <row r="541" spans="2:27" ht="19.5" customHeight="1" x14ac:dyDescent="0.25">
      <c r="B541" s="38"/>
      <c r="C541" s="38"/>
      <c r="D541" s="470"/>
      <c r="E541" s="470"/>
      <c r="G541" s="38"/>
      <c r="H541" s="38"/>
      <c r="I541" s="470"/>
      <c r="J541" s="470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</row>
    <row r="542" spans="2:27" ht="19.5" customHeight="1" x14ac:dyDescent="0.25">
      <c r="B542" s="38"/>
      <c r="C542" s="38"/>
      <c r="D542" s="470"/>
      <c r="E542" s="470"/>
      <c r="G542" s="38"/>
      <c r="H542" s="38"/>
      <c r="I542" s="470"/>
      <c r="J542" s="470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</row>
    <row r="543" spans="2:27" ht="19.5" customHeight="1" x14ac:dyDescent="0.25">
      <c r="B543" s="38"/>
      <c r="C543" s="38"/>
      <c r="D543" s="470"/>
      <c r="E543" s="470"/>
      <c r="G543" s="38"/>
      <c r="H543" s="38"/>
      <c r="I543" s="470"/>
      <c r="J543" s="470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</row>
    <row r="544" spans="2:27" ht="19.5" customHeight="1" x14ac:dyDescent="0.25">
      <c r="B544" s="38"/>
      <c r="C544" s="38"/>
      <c r="D544" s="470"/>
      <c r="E544" s="470"/>
      <c r="G544" s="38"/>
      <c r="H544" s="38"/>
      <c r="I544" s="470"/>
      <c r="J544" s="470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</row>
    <row r="545" spans="2:27" ht="19.5" customHeight="1" x14ac:dyDescent="0.25">
      <c r="B545" s="38"/>
      <c r="C545" s="38"/>
      <c r="D545" s="470"/>
      <c r="E545" s="470"/>
      <c r="G545" s="38"/>
      <c r="H545" s="38"/>
      <c r="I545" s="470"/>
      <c r="J545" s="470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</row>
    <row r="546" spans="2:27" ht="19.5" customHeight="1" x14ac:dyDescent="0.25">
      <c r="B546" s="38"/>
      <c r="C546" s="38"/>
      <c r="D546" s="470"/>
      <c r="E546" s="470"/>
      <c r="G546" s="38"/>
      <c r="H546" s="38"/>
      <c r="I546" s="470"/>
      <c r="J546" s="470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</row>
    <row r="547" spans="2:27" ht="19.5" customHeight="1" x14ac:dyDescent="0.25">
      <c r="B547" s="38"/>
      <c r="C547" s="38"/>
      <c r="D547" s="470"/>
      <c r="E547" s="470"/>
      <c r="G547" s="38"/>
      <c r="H547" s="38"/>
      <c r="I547" s="470"/>
      <c r="J547" s="470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</row>
    <row r="548" spans="2:27" ht="19.5" customHeight="1" x14ac:dyDescent="0.25">
      <c r="B548" s="38"/>
      <c r="C548" s="38"/>
      <c r="D548" s="470"/>
      <c r="E548" s="470"/>
      <c r="G548" s="38"/>
      <c r="H548" s="38"/>
      <c r="I548" s="470"/>
      <c r="J548" s="470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</row>
    <row r="549" spans="2:27" ht="19.5" customHeight="1" x14ac:dyDescent="0.25">
      <c r="B549" s="38"/>
      <c r="C549" s="38"/>
      <c r="D549" s="470"/>
      <c r="E549" s="470"/>
      <c r="G549" s="38"/>
      <c r="H549" s="38"/>
      <c r="I549" s="470"/>
      <c r="J549" s="470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</row>
    <row r="550" spans="2:27" ht="19.5" customHeight="1" x14ac:dyDescent="0.25">
      <c r="B550" s="38"/>
      <c r="C550" s="38"/>
      <c r="D550" s="470"/>
      <c r="E550" s="470"/>
      <c r="G550" s="38"/>
      <c r="H550" s="38"/>
      <c r="I550" s="470"/>
      <c r="J550" s="470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</row>
    <row r="551" spans="2:27" ht="19.5" customHeight="1" x14ac:dyDescent="0.25">
      <c r="B551" s="38"/>
      <c r="C551" s="38"/>
      <c r="D551" s="470"/>
      <c r="E551" s="470"/>
      <c r="G551" s="38"/>
      <c r="H551" s="38"/>
      <c r="I551" s="470"/>
      <c r="J551" s="470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</row>
    <row r="552" spans="2:27" ht="19.5" customHeight="1" x14ac:dyDescent="0.25">
      <c r="B552" s="38"/>
      <c r="C552" s="38"/>
      <c r="D552" s="470"/>
      <c r="E552" s="470"/>
      <c r="G552" s="38"/>
      <c r="H552" s="38"/>
      <c r="I552" s="470"/>
      <c r="J552" s="470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</row>
    <row r="553" spans="2:27" ht="19.5" customHeight="1" x14ac:dyDescent="0.25">
      <c r="B553" s="38"/>
      <c r="C553" s="38"/>
      <c r="D553" s="470"/>
      <c r="E553" s="470"/>
      <c r="G553" s="38"/>
      <c r="H553" s="38"/>
      <c r="I553" s="470"/>
      <c r="J553" s="470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</row>
    <row r="554" spans="2:27" ht="19.5" customHeight="1" x14ac:dyDescent="0.25">
      <c r="B554" s="38"/>
      <c r="C554" s="38"/>
      <c r="D554" s="470"/>
      <c r="E554" s="470"/>
      <c r="G554" s="38"/>
      <c r="H554" s="38"/>
      <c r="I554" s="470"/>
      <c r="J554" s="470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</row>
    <row r="555" spans="2:27" ht="19.5" customHeight="1" x14ac:dyDescent="0.25">
      <c r="B555" s="38"/>
      <c r="C555" s="38"/>
      <c r="D555" s="470"/>
      <c r="E555" s="470"/>
      <c r="G555" s="38"/>
      <c r="H555" s="38"/>
      <c r="I555" s="470"/>
      <c r="J555" s="470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</row>
    <row r="556" spans="2:27" ht="19.5" customHeight="1" x14ac:dyDescent="0.25">
      <c r="B556" s="38"/>
      <c r="C556" s="38"/>
      <c r="D556" s="470"/>
      <c r="E556" s="470"/>
      <c r="G556" s="38"/>
      <c r="H556" s="38"/>
      <c r="I556" s="470"/>
      <c r="J556" s="470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</row>
    <row r="557" spans="2:27" ht="19.5" customHeight="1" x14ac:dyDescent="0.25">
      <c r="B557" s="38"/>
      <c r="C557" s="38"/>
      <c r="D557" s="470"/>
      <c r="E557" s="470"/>
      <c r="G557" s="38"/>
      <c r="H557" s="38"/>
      <c r="I557" s="470"/>
      <c r="J557" s="470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</row>
    <row r="558" spans="2:27" ht="19.5" customHeight="1" x14ac:dyDescent="0.25">
      <c r="B558" s="38"/>
      <c r="C558" s="38"/>
      <c r="D558" s="470"/>
      <c r="E558" s="470"/>
      <c r="G558" s="38"/>
      <c r="H558" s="38"/>
      <c r="I558" s="470"/>
      <c r="J558" s="470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</row>
    <row r="559" spans="2:27" ht="19.5" customHeight="1" x14ac:dyDescent="0.25">
      <c r="B559" s="38"/>
      <c r="C559" s="38"/>
      <c r="D559" s="470"/>
      <c r="E559" s="470"/>
      <c r="G559" s="38"/>
      <c r="H559" s="38"/>
      <c r="I559" s="470"/>
      <c r="J559" s="470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</row>
    <row r="560" spans="2:27" ht="19.5" customHeight="1" x14ac:dyDescent="0.25">
      <c r="B560" s="38"/>
      <c r="C560" s="38"/>
      <c r="D560" s="470"/>
      <c r="E560" s="470"/>
      <c r="G560" s="38"/>
      <c r="H560" s="38"/>
      <c r="I560" s="470"/>
      <c r="J560" s="470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</row>
    <row r="561" spans="2:27" ht="19.5" customHeight="1" x14ac:dyDescent="0.25">
      <c r="B561" s="38"/>
      <c r="C561" s="38"/>
      <c r="D561" s="470"/>
      <c r="E561" s="470"/>
      <c r="G561" s="38"/>
      <c r="H561" s="38"/>
      <c r="I561" s="470"/>
      <c r="J561" s="470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</row>
    <row r="562" spans="2:27" ht="19.5" customHeight="1" x14ac:dyDescent="0.25">
      <c r="B562" s="38"/>
      <c r="C562" s="38"/>
      <c r="D562" s="470"/>
      <c r="E562" s="470"/>
      <c r="G562" s="38"/>
      <c r="H562" s="38"/>
      <c r="I562" s="470"/>
      <c r="J562" s="470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</row>
    <row r="563" spans="2:27" ht="19.5" customHeight="1" x14ac:dyDescent="0.25">
      <c r="B563" s="38"/>
      <c r="C563" s="38"/>
      <c r="D563" s="470"/>
      <c r="E563" s="470"/>
      <c r="G563" s="38"/>
      <c r="H563" s="38"/>
      <c r="I563" s="470"/>
      <c r="J563" s="470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</row>
    <row r="564" spans="2:27" ht="19.5" customHeight="1" x14ac:dyDescent="0.25">
      <c r="B564" s="38"/>
      <c r="C564" s="38"/>
      <c r="D564" s="470"/>
      <c r="E564" s="470"/>
      <c r="G564" s="38"/>
      <c r="H564" s="38"/>
      <c r="I564" s="470"/>
      <c r="J564" s="470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</row>
    <row r="565" spans="2:27" ht="19.5" customHeight="1" x14ac:dyDescent="0.25">
      <c r="B565" s="38"/>
      <c r="C565" s="38"/>
      <c r="D565" s="470"/>
      <c r="E565" s="470"/>
      <c r="G565" s="38"/>
      <c r="H565" s="38"/>
      <c r="I565" s="470"/>
      <c r="J565" s="470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</row>
    <row r="566" spans="2:27" ht="19.5" customHeight="1" x14ac:dyDescent="0.25">
      <c r="B566" s="38"/>
      <c r="C566" s="38"/>
      <c r="D566" s="470"/>
      <c r="E566" s="470"/>
      <c r="G566" s="38"/>
      <c r="H566" s="38"/>
      <c r="I566" s="470"/>
      <c r="J566" s="470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</row>
    <row r="567" spans="2:27" ht="19.5" customHeight="1" x14ac:dyDescent="0.25">
      <c r="B567" s="38"/>
      <c r="C567" s="38"/>
      <c r="D567" s="470"/>
      <c r="E567" s="470"/>
      <c r="G567" s="38"/>
      <c r="H567" s="38"/>
      <c r="I567" s="470"/>
      <c r="J567" s="470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</row>
    <row r="568" spans="2:27" ht="19.5" customHeight="1" x14ac:dyDescent="0.25">
      <c r="B568" s="38"/>
      <c r="C568" s="38"/>
      <c r="D568" s="470"/>
      <c r="E568" s="470"/>
      <c r="G568" s="38"/>
      <c r="H568" s="38"/>
      <c r="I568" s="470"/>
      <c r="J568" s="470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</row>
    <row r="569" spans="2:27" ht="19.5" customHeight="1" x14ac:dyDescent="0.25">
      <c r="B569" s="38"/>
      <c r="C569" s="38"/>
      <c r="D569" s="470"/>
      <c r="E569" s="470"/>
      <c r="G569" s="38"/>
      <c r="H569" s="38"/>
      <c r="I569" s="470"/>
      <c r="J569" s="470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</row>
    <row r="570" spans="2:27" ht="19.5" customHeight="1" x14ac:dyDescent="0.25">
      <c r="B570" s="38"/>
      <c r="C570" s="38"/>
      <c r="D570" s="470"/>
      <c r="E570" s="470"/>
      <c r="G570" s="38"/>
      <c r="H570" s="38"/>
      <c r="I570" s="470"/>
      <c r="J570" s="470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</row>
    <row r="571" spans="2:27" ht="19.5" customHeight="1" x14ac:dyDescent="0.25">
      <c r="B571" s="38"/>
      <c r="C571" s="38"/>
      <c r="D571" s="470"/>
      <c r="E571" s="470"/>
      <c r="G571" s="38"/>
      <c r="H571" s="38"/>
      <c r="I571" s="470"/>
      <c r="J571" s="470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</row>
    <row r="572" spans="2:27" ht="19.5" customHeight="1" x14ac:dyDescent="0.25">
      <c r="B572" s="38"/>
      <c r="C572" s="38"/>
      <c r="D572" s="470"/>
      <c r="E572" s="470"/>
      <c r="G572" s="38"/>
      <c r="H572" s="38"/>
      <c r="I572" s="470"/>
      <c r="J572" s="470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</row>
    <row r="573" spans="2:27" ht="19.5" customHeight="1" x14ac:dyDescent="0.25">
      <c r="B573" s="38"/>
      <c r="C573" s="38"/>
      <c r="D573" s="470"/>
      <c r="E573" s="470"/>
      <c r="G573" s="38"/>
      <c r="H573" s="38"/>
      <c r="I573" s="470"/>
      <c r="J573" s="470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</row>
    <row r="574" spans="2:27" ht="19.5" customHeight="1" x14ac:dyDescent="0.25">
      <c r="B574" s="38"/>
      <c r="C574" s="38"/>
      <c r="D574" s="470"/>
      <c r="E574" s="470"/>
      <c r="G574" s="38"/>
      <c r="H574" s="38"/>
      <c r="I574" s="470"/>
      <c r="J574" s="470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</row>
    <row r="575" spans="2:27" ht="19.5" customHeight="1" x14ac:dyDescent="0.25">
      <c r="B575" s="38"/>
      <c r="C575" s="38"/>
      <c r="D575" s="470"/>
      <c r="E575" s="470"/>
      <c r="G575" s="38"/>
      <c r="H575" s="38"/>
      <c r="I575" s="470"/>
      <c r="J575" s="470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</row>
    <row r="576" spans="2:27" ht="19.5" customHeight="1" x14ac:dyDescent="0.25">
      <c r="B576" s="38"/>
      <c r="C576" s="38"/>
      <c r="D576" s="470"/>
      <c r="E576" s="470"/>
      <c r="G576" s="38"/>
      <c r="H576" s="38"/>
      <c r="I576" s="470"/>
      <c r="J576" s="470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</row>
    <row r="577" spans="2:27" ht="19.5" customHeight="1" x14ac:dyDescent="0.25">
      <c r="B577" s="38"/>
      <c r="C577" s="38"/>
      <c r="D577" s="470"/>
      <c r="E577" s="470"/>
      <c r="G577" s="38"/>
      <c r="H577" s="38"/>
      <c r="I577" s="470"/>
      <c r="J577" s="470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</row>
    <row r="578" spans="2:27" ht="19.5" customHeight="1" x14ac:dyDescent="0.25">
      <c r="B578" s="38"/>
      <c r="C578" s="38"/>
      <c r="D578" s="470"/>
      <c r="E578" s="470"/>
      <c r="G578" s="38"/>
      <c r="H578" s="38"/>
      <c r="I578" s="470"/>
      <c r="J578" s="470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</row>
    <row r="579" spans="2:27" ht="19.5" customHeight="1" x14ac:dyDescent="0.25">
      <c r="B579" s="38"/>
      <c r="C579" s="38"/>
      <c r="D579" s="470"/>
      <c r="E579" s="470"/>
      <c r="G579" s="38"/>
      <c r="H579" s="38"/>
      <c r="I579" s="470"/>
      <c r="J579" s="470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</row>
    <row r="580" spans="2:27" ht="19.5" customHeight="1" x14ac:dyDescent="0.25">
      <c r="B580" s="38"/>
      <c r="C580" s="38"/>
      <c r="D580" s="470"/>
      <c r="E580" s="470"/>
      <c r="G580" s="38"/>
      <c r="H580" s="38"/>
      <c r="I580" s="470"/>
      <c r="J580" s="470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</row>
    <row r="581" spans="2:27" ht="19.5" customHeight="1" x14ac:dyDescent="0.25">
      <c r="B581" s="38"/>
      <c r="C581" s="38"/>
      <c r="D581" s="470"/>
      <c r="E581" s="470"/>
      <c r="G581" s="38"/>
      <c r="H581" s="38"/>
      <c r="I581" s="470"/>
      <c r="J581" s="470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</row>
    <row r="582" spans="2:27" ht="19.5" customHeight="1" x14ac:dyDescent="0.25">
      <c r="B582" s="38"/>
      <c r="C582" s="38"/>
      <c r="D582" s="470"/>
      <c r="E582" s="470"/>
      <c r="G582" s="38"/>
      <c r="H582" s="38"/>
      <c r="I582" s="470"/>
      <c r="J582" s="470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</row>
    <row r="583" spans="2:27" ht="19.5" customHeight="1" x14ac:dyDescent="0.25">
      <c r="B583" s="38"/>
      <c r="C583" s="38"/>
      <c r="D583" s="470"/>
      <c r="E583" s="470"/>
      <c r="G583" s="38"/>
      <c r="H583" s="38"/>
      <c r="I583" s="470"/>
      <c r="J583" s="470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</row>
    <row r="584" spans="2:27" ht="19.5" customHeight="1" x14ac:dyDescent="0.25">
      <c r="B584" s="38"/>
      <c r="C584" s="38"/>
      <c r="D584" s="470"/>
      <c r="E584" s="470"/>
      <c r="G584" s="38"/>
      <c r="H584" s="38"/>
      <c r="I584" s="470"/>
      <c r="J584" s="470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</row>
    <row r="585" spans="2:27" ht="19.5" customHeight="1" x14ac:dyDescent="0.25">
      <c r="B585" s="38"/>
      <c r="C585" s="38"/>
      <c r="D585" s="470"/>
      <c r="E585" s="470"/>
      <c r="G585" s="38"/>
      <c r="H585" s="38"/>
      <c r="I585" s="470"/>
      <c r="J585" s="470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</row>
    <row r="586" spans="2:27" ht="19.5" customHeight="1" x14ac:dyDescent="0.25">
      <c r="B586" s="38"/>
      <c r="C586" s="38"/>
      <c r="D586" s="470"/>
      <c r="E586" s="470"/>
      <c r="G586" s="38"/>
      <c r="H586" s="38"/>
      <c r="I586" s="470"/>
      <c r="J586" s="470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</row>
    <row r="587" spans="2:27" ht="19.5" customHeight="1" x14ac:dyDescent="0.25">
      <c r="B587" s="38"/>
      <c r="C587" s="38"/>
      <c r="D587" s="470"/>
      <c r="E587" s="470"/>
      <c r="G587" s="38"/>
      <c r="H587" s="38"/>
      <c r="I587" s="470"/>
      <c r="J587" s="470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</row>
    <row r="588" spans="2:27" ht="19.5" customHeight="1" x14ac:dyDescent="0.25">
      <c r="B588" s="38"/>
      <c r="C588" s="38"/>
      <c r="D588" s="470"/>
      <c r="E588" s="470"/>
      <c r="G588" s="38"/>
      <c r="H588" s="38"/>
      <c r="I588" s="470"/>
      <c r="J588" s="470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</row>
    <row r="589" spans="2:27" ht="19.5" customHeight="1" x14ac:dyDescent="0.25">
      <c r="B589" s="38"/>
      <c r="C589" s="38"/>
      <c r="D589" s="470"/>
      <c r="E589" s="470"/>
      <c r="G589" s="38"/>
      <c r="H589" s="38"/>
      <c r="I589" s="470"/>
      <c r="J589" s="470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</row>
    <row r="590" spans="2:27" ht="19.5" customHeight="1" x14ac:dyDescent="0.25">
      <c r="B590" s="38"/>
      <c r="C590" s="38"/>
      <c r="D590" s="470"/>
      <c r="E590" s="470"/>
      <c r="G590" s="38"/>
      <c r="H590" s="38"/>
      <c r="I590" s="470"/>
      <c r="J590" s="470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</row>
    <row r="591" spans="2:27" ht="19.5" customHeight="1" x14ac:dyDescent="0.25">
      <c r="B591" s="38"/>
      <c r="C591" s="38"/>
      <c r="D591" s="470"/>
      <c r="E591" s="470"/>
      <c r="G591" s="38"/>
      <c r="H591" s="38"/>
      <c r="I591" s="470"/>
      <c r="J591" s="470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</row>
    <row r="592" spans="2:27" ht="19.5" customHeight="1" x14ac:dyDescent="0.25">
      <c r="B592" s="38"/>
      <c r="C592" s="38"/>
      <c r="D592" s="470"/>
      <c r="E592" s="470"/>
      <c r="G592" s="38"/>
      <c r="H592" s="38"/>
      <c r="I592" s="470"/>
      <c r="J592" s="470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</row>
    <row r="593" spans="2:27" ht="19.5" customHeight="1" x14ac:dyDescent="0.25">
      <c r="B593" s="38"/>
      <c r="C593" s="38"/>
      <c r="D593" s="470"/>
      <c r="E593" s="470"/>
      <c r="G593" s="38"/>
      <c r="H593" s="38"/>
      <c r="I593" s="470"/>
      <c r="J593" s="470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</row>
    <row r="594" spans="2:27" ht="19.5" customHeight="1" x14ac:dyDescent="0.25">
      <c r="B594" s="38"/>
      <c r="C594" s="38"/>
      <c r="D594" s="470"/>
      <c r="E594" s="470"/>
      <c r="G594" s="38"/>
      <c r="H594" s="38"/>
      <c r="I594" s="470"/>
      <c r="J594" s="470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</row>
    <row r="595" spans="2:27" ht="19.5" customHeight="1" x14ac:dyDescent="0.25">
      <c r="B595" s="38"/>
      <c r="C595" s="38"/>
      <c r="D595" s="470"/>
      <c r="E595" s="470"/>
      <c r="G595" s="38"/>
      <c r="H595" s="38"/>
      <c r="I595" s="470"/>
      <c r="J595" s="470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</row>
    <row r="596" spans="2:27" ht="19.5" customHeight="1" x14ac:dyDescent="0.25">
      <c r="B596" s="38"/>
      <c r="C596" s="38"/>
      <c r="D596" s="470"/>
      <c r="E596" s="470"/>
      <c r="G596" s="38"/>
      <c r="H596" s="38"/>
      <c r="I596" s="470"/>
      <c r="J596" s="470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</row>
    <row r="597" spans="2:27" ht="19.5" customHeight="1" x14ac:dyDescent="0.25">
      <c r="B597" s="38"/>
      <c r="C597" s="38"/>
      <c r="D597" s="470"/>
      <c r="E597" s="470"/>
      <c r="G597" s="38"/>
      <c r="H597" s="38"/>
      <c r="I597" s="470"/>
      <c r="J597" s="470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</row>
    <row r="598" spans="2:27" ht="19.5" customHeight="1" x14ac:dyDescent="0.25">
      <c r="B598" s="38"/>
      <c r="C598" s="38"/>
      <c r="D598" s="470"/>
      <c r="E598" s="470"/>
      <c r="G598" s="38"/>
      <c r="H598" s="38"/>
      <c r="I598" s="470"/>
      <c r="J598" s="470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</row>
    <row r="599" spans="2:27" ht="19.5" customHeight="1" x14ac:dyDescent="0.25">
      <c r="B599" s="38"/>
      <c r="C599" s="38"/>
      <c r="D599" s="470"/>
      <c r="E599" s="470"/>
      <c r="G599" s="38"/>
      <c r="H599" s="38"/>
      <c r="I599" s="470"/>
      <c r="J599" s="470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</row>
    <row r="600" spans="2:27" ht="19.5" customHeight="1" x14ac:dyDescent="0.25">
      <c r="B600" s="38"/>
      <c r="C600" s="38"/>
      <c r="D600" s="470"/>
      <c r="E600" s="470"/>
      <c r="G600" s="38"/>
      <c r="H600" s="38"/>
      <c r="I600" s="470"/>
      <c r="J600" s="470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</row>
    <row r="601" spans="2:27" ht="19.5" customHeight="1" x14ac:dyDescent="0.25">
      <c r="B601" s="38"/>
      <c r="C601" s="38"/>
      <c r="D601" s="470"/>
      <c r="E601" s="470"/>
      <c r="G601" s="38"/>
      <c r="H601" s="38"/>
      <c r="I601" s="470"/>
      <c r="J601" s="470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</row>
    <row r="602" spans="2:27" ht="19.5" customHeight="1" x14ac:dyDescent="0.25">
      <c r="B602" s="38"/>
      <c r="C602" s="38"/>
      <c r="D602" s="470"/>
      <c r="E602" s="470"/>
      <c r="G602" s="38"/>
      <c r="H602" s="38"/>
      <c r="I602" s="470"/>
      <c r="J602" s="470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</row>
    <row r="603" spans="2:27" ht="19.5" customHeight="1" x14ac:dyDescent="0.25">
      <c r="B603" s="38"/>
      <c r="C603" s="38"/>
      <c r="D603" s="470"/>
      <c r="E603" s="470"/>
      <c r="G603" s="38"/>
      <c r="H603" s="38"/>
      <c r="I603" s="470"/>
      <c r="J603" s="470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</row>
    <row r="604" spans="2:27" ht="19.5" customHeight="1" x14ac:dyDescent="0.25">
      <c r="B604" s="38"/>
      <c r="C604" s="38"/>
      <c r="D604" s="470"/>
      <c r="E604" s="470"/>
      <c r="G604" s="38"/>
      <c r="H604" s="38"/>
      <c r="I604" s="470"/>
      <c r="J604" s="470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</row>
    <row r="605" spans="2:27" ht="19.5" customHeight="1" x14ac:dyDescent="0.25">
      <c r="B605" s="38"/>
      <c r="C605" s="38"/>
      <c r="D605" s="470"/>
      <c r="E605" s="470"/>
      <c r="G605" s="38"/>
      <c r="H605" s="38"/>
      <c r="I605" s="470"/>
      <c r="J605" s="470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</row>
    <row r="606" spans="2:27" ht="19.5" customHeight="1" x14ac:dyDescent="0.25">
      <c r="B606" s="38"/>
      <c r="C606" s="38"/>
      <c r="D606" s="470"/>
      <c r="E606" s="470"/>
      <c r="G606" s="38"/>
      <c r="H606" s="38"/>
      <c r="I606" s="470"/>
      <c r="J606" s="470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</row>
    <row r="607" spans="2:27" ht="19.5" customHeight="1" x14ac:dyDescent="0.25">
      <c r="B607" s="38"/>
      <c r="C607" s="38"/>
      <c r="D607" s="470"/>
      <c r="E607" s="470"/>
      <c r="G607" s="38"/>
      <c r="H607" s="38"/>
      <c r="I607" s="470"/>
      <c r="J607" s="470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</row>
    <row r="608" spans="2:27" ht="19.5" customHeight="1" x14ac:dyDescent="0.25">
      <c r="B608" s="38"/>
      <c r="C608" s="38"/>
      <c r="D608" s="470"/>
      <c r="E608" s="470"/>
      <c r="G608" s="38"/>
      <c r="H608" s="38"/>
      <c r="I608" s="470"/>
      <c r="J608" s="470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</row>
    <row r="609" spans="2:27" ht="19.5" customHeight="1" x14ac:dyDescent="0.25">
      <c r="B609" s="38"/>
      <c r="C609" s="38"/>
      <c r="D609" s="470"/>
      <c r="E609" s="470"/>
      <c r="G609" s="38"/>
      <c r="H609" s="38"/>
      <c r="I609" s="470"/>
      <c r="J609" s="470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</row>
    <row r="610" spans="2:27" ht="19.5" customHeight="1" x14ac:dyDescent="0.25">
      <c r="B610" s="38"/>
      <c r="C610" s="38"/>
      <c r="D610" s="470"/>
      <c r="E610" s="470"/>
      <c r="G610" s="38"/>
      <c r="H610" s="38"/>
      <c r="I610" s="470"/>
      <c r="J610" s="470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</row>
    <row r="611" spans="2:27" ht="19.5" customHeight="1" x14ac:dyDescent="0.25">
      <c r="B611" s="38"/>
      <c r="C611" s="38"/>
      <c r="D611" s="470"/>
      <c r="E611" s="470"/>
      <c r="G611" s="38"/>
      <c r="H611" s="38"/>
      <c r="I611" s="470"/>
      <c r="J611" s="470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</row>
    <row r="612" spans="2:27" ht="19.5" customHeight="1" x14ac:dyDescent="0.25">
      <c r="B612" s="38"/>
      <c r="C612" s="38"/>
      <c r="D612" s="470"/>
      <c r="E612" s="470"/>
      <c r="G612" s="38"/>
      <c r="H612" s="38"/>
      <c r="I612" s="470"/>
      <c r="J612" s="470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</row>
    <row r="613" spans="2:27" ht="19.5" customHeight="1" x14ac:dyDescent="0.25">
      <c r="B613" s="38"/>
      <c r="C613" s="38"/>
      <c r="D613" s="470"/>
      <c r="E613" s="470"/>
      <c r="G613" s="38"/>
      <c r="H613" s="38"/>
      <c r="I613" s="470"/>
      <c r="J613" s="470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</row>
    <row r="614" spans="2:27" ht="19.5" customHeight="1" x14ac:dyDescent="0.25">
      <c r="B614" s="38"/>
      <c r="C614" s="38"/>
      <c r="D614" s="470"/>
      <c r="E614" s="470"/>
      <c r="G614" s="38"/>
      <c r="H614" s="38"/>
      <c r="I614" s="470"/>
      <c r="J614" s="470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</row>
    <row r="615" spans="2:27" ht="19.5" customHeight="1" x14ac:dyDescent="0.25">
      <c r="B615" s="38"/>
      <c r="C615" s="38"/>
      <c r="D615" s="470"/>
      <c r="E615" s="470"/>
      <c r="G615" s="38"/>
      <c r="H615" s="38"/>
      <c r="I615" s="470"/>
      <c r="J615" s="470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</row>
    <row r="616" spans="2:27" ht="19.5" customHeight="1" x14ac:dyDescent="0.25">
      <c r="B616" s="38"/>
      <c r="C616" s="38"/>
      <c r="D616" s="470"/>
      <c r="E616" s="470"/>
      <c r="G616" s="38"/>
      <c r="H616" s="38"/>
      <c r="I616" s="470"/>
      <c r="J616" s="470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</row>
    <row r="617" spans="2:27" ht="19.5" customHeight="1" x14ac:dyDescent="0.25">
      <c r="B617" s="38"/>
      <c r="C617" s="38"/>
      <c r="D617" s="470"/>
      <c r="E617" s="470"/>
      <c r="G617" s="38"/>
      <c r="H617" s="38"/>
      <c r="I617" s="470"/>
      <c r="J617" s="470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</row>
    <row r="618" spans="2:27" ht="19.5" customHeight="1" x14ac:dyDescent="0.25">
      <c r="B618" s="38"/>
      <c r="C618" s="38"/>
      <c r="D618" s="470"/>
      <c r="E618" s="470"/>
      <c r="G618" s="38"/>
      <c r="H618" s="38"/>
      <c r="I618" s="470"/>
      <c r="J618" s="470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</row>
    <row r="619" spans="2:27" ht="19.5" customHeight="1" x14ac:dyDescent="0.25">
      <c r="B619" s="38"/>
      <c r="C619" s="38"/>
      <c r="D619" s="470"/>
      <c r="E619" s="470"/>
      <c r="G619" s="38"/>
      <c r="H619" s="38"/>
      <c r="I619" s="470"/>
      <c r="J619" s="470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</row>
    <row r="620" spans="2:27" ht="19.5" customHeight="1" x14ac:dyDescent="0.25">
      <c r="B620" s="38"/>
      <c r="C620" s="38"/>
      <c r="D620" s="470"/>
      <c r="E620" s="470"/>
      <c r="G620" s="38"/>
      <c r="H620" s="38"/>
      <c r="I620" s="470"/>
      <c r="J620" s="470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</row>
    <row r="621" spans="2:27" ht="19.5" customHeight="1" x14ac:dyDescent="0.25">
      <c r="B621" s="38"/>
      <c r="C621" s="38"/>
      <c r="D621" s="470"/>
      <c r="E621" s="470"/>
      <c r="G621" s="38"/>
      <c r="H621" s="38"/>
      <c r="I621" s="470"/>
      <c r="J621" s="470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</row>
    <row r="622" spans="2:27" ht="19.5" customHeight="1" x14ac:dyDescent="0.25">
      <c r="B622" s="38"/>
      <c r="C622" s="38"/>
      <c r="D622" s="470"/>
      <c r="E622" s="470"/>
      <c r="G622" s="38"/>
      <c r="H622" s="38"/>
      <c r="I622" s="470"/>
      <c r="J622" s="470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</row>
    <row r="623" spans="2:27" ht="19.5" customHeight="1" x14ac:dyDescent="0.25">
      <c r="B623" s="38"/>
      <c r="C623" s="38"/>
      <c r="D623" s="470"/>
      <c r="E623" s="470"/>
      <c r="G623" s="38"/>
      <c r="H623" s="38"/>
      <c r="I623" s="470"/>
      <c r="J623" s="470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</row>
    <row r="624" spans="2:27" ht="19.5" customHeight="1" x14ac:dyDescent="0.25">
      <c r="B624" s="38"/>
      <c r="C624" s="38"/>
      <c r="D624" s="470"/>
      <c r="E624" s="470"/>
      <c r="G624" s="38"/>
      <c r="H624" s="38"/>
      <c r="I624" s="470"/>
      <c r="J624" s="470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</row>
    <row r="625" spans="2:27" ht="19.5" customHeight="1" x14ac:dyDescent="0.25">
      <c r="B625" s="38"/>
      <c r="C625" s="38"/>
      <c r="D625" s="470"/>
      <c r="E625" s="470"/>
      <c r="G625" s="38"/>
      <c r="H625" s="38"/>
      <c r="I625" s="470"/>
      <c r="J625" s="470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</row>
    <row r="626" spans="2:27" ht="19.5" customHeight="1" x14ac:dyDescent="0.25">
      <c r="B626" s="38"/>
      <c r="C626" s="38"/>
      <c r="D626" s="470"/>
      <c r="E626" s="470"/>
      <c r="G626" s="38"/>
      <c r="H626" s="38"/>
      <c r="I626" s="470"/>
      <c r="J626" s="470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</row>
    <row r="627" spans="2:27" ht="19.5" customHeight="1" x14ac:dyDescent="0.25">
      <c r="B627" s="38"/>
      <c r="C627" s="38"/>
      <c r="D627" s="470"/>
      <c r="E627" s="470"/>
      <c r="G627" s="38"/>
      <c r="H627" s="38"/>
      <c r="I627" s="470"/>
      <c r="J627" s="470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</row>
    <row r="628" spans="2:27" ht="19.5" customHeight="1" x14ac:dyDescent="0.25">
      <c r="B628" s="38"/>
      <c r="C628" s="38"/>
      <c r="D628" s="470"/>
      <c r="E628" s="470"/>
      <c r="G628" s="38"/>
      <c r="H628" s="38"/>
      <c r="I628" s="470"/>
      <c r="J628" s="470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</row>
    <row r="629" spans="2:27" ht="19.5" customHeight="1" x14ac:dyDescent="0.25">
      <c r="B629" s="38"/>
      <c r="C629" s="38"/>
      <c r="D629" s="470"/>
      <c r="E629" s="470"/>
      <c r="G629" s="38"/>
      <c r="H629" s="38"/>
      <c r="I629" s="470"/>
      <c r="J629" s="470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</row>
    <row r="630" spans="2:27" ht="19.5" customHeight="1" x14ac:dyDescent="0.25">
      <c r="B630" s="38"/>
      <c r="C630" s="38"/>
      <c r="D630" s="470"/>
      <c r="E630" s="470"/>
      <c r="G630" s="38"/>
      <c r="H630" s="38"/>
      <c r="I630" s="470"/>
      <c r="J630" s="470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</row>
    <row r="631" spans="2:27" ht="19.5" customHeight="1" x14ac:dyDescent="0.25">
      <c r="B631" s="38"/>
      <c r="C631" s="38"/>
      <c r="D631" s="470"/>
      <c r="E631" s="470"/>
      <c r="G631" s="38"/>
      <c r="H631" s="38"/>
      <c r="I631" s="470"/>
      <c r="J631" s="470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</row>
    <row r="632" spans="2:27" ht="19.5" customHeight="1" x14ac:dyDescent="0.25">
      <c r="B632" s="38"/>
      <c r="C632" s="38"/>
      <c r="D632" s="470"/>
      <c r="E632" s="470"/>
      <c r="G632" s="38"/>
      <c r="H632" s="38"/>
      <c r="I632" s="470"/>
      <c r="J632" s="470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</row>
    <row r="633" spans="2:27" ht="19.5" customHeight="1" x14ac:dyDescent="0.25">
      <c r="B633" s="38"/>
      <c r="C633" s="38"/>
      <c r="D633" s="470"/>
      <c r="E633" s="470"/>
      <c r="G633" s="38"/>
      <c r="H633" s="38"/>
      <c r="I633" s="470"/>
      <c r="J633" s="470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</row>
    <row r="634" spans="2:27" ht="19.5" customHeight="1" x14ac:dyDescent="0.25">
      <c r="B634" s="38"/>
      <c r="C634" s="38"/>
      <c r="D634" s="470"/>
      <c r="E634" s="470"/>
      <c r="G634" s="38"/>
      <c r="H634" s="38"/>
      <c r="I634" s="470"/>
      <c r="J634" s="470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</row>
    <row r="635" spans="2:27" ht="19.5" customHeight="1" x14ac:dyDescent="0.25">
      <c r="B635" s="38"/>
      <c r="C635" s="38"/>
      <c r="D635" s="470"/>
      <c r="E635" s="470"/>
      <c r="G635" s="38"/>
      <c r="H635" s="38"/>
      <c r="I635" s="470"/>
      <c r="J635" s="470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</row>
    <row r="636" spans="2:27" ht="19.5" customHeight="1" x14ac:dyDescent="0.25">
      <c r="B636" s="38"/>
      <c r="C636" s="38"/>
      <c r="D636" s="470"/>
      <c r="E636" s="470"/>
      <c r="G636" s="38"/>
      <c r="H636" s="38"/>
      <c r="I636" s="470"/>
      <c r="J636" s="470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</row>
    <row r="637" spans="2:27" ht="19.5" customHeight="1" x14ac:dyDescent="0.25">
      <c r="B637" s="38"/>
      <c r="C637" s="38"/>
      <c r="D637" s="470"/>
      <c r="E637" s="470"/>
      <c r="G637" s="38"/>
      <c r="H637" s="38"/>
      <c r="I637" s="470"/>
      <c r="J637" s="470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</row>
    <row r="638" spans="2:27" ht="19.5" customHeight="1" x14ac:dyDescent="0.25">
      <c r="B638" s="38"/>
      <c r="C638" s="38"/>
      <c r="D638" s="470"/>
      <c r="E638" s="470"/>
      <c r="G638" s="38"/>
      <c r="H638" s="38"/>
      <c r="I638" s="470"/>
      <c r="J638" s="470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</row>
    <row r="639" spans="2:27" ht="19.5" customHeight="1" x14ac:dyDescent="0.25">
      <c r="B639" s="38"/>
      <c r="C639" s="38"/>
      <c r="D639" s="470"/>
      <c r="E639" s="470"/>
      <c r="G639" s="38"/>
      <c r="H639" s="38"/>
      <c r="I639" s="470"/>
      <c r="J639" s="470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</row>
    <row r="640" spans="2:27" ht="19.5" customHeight="1" x14ac:dyDescent="0.25">
      <c r="B640" s="38"/>
      <c r="C640" s="38"/>
      <c r="D640" s="470"/>
      <c r="E640" s="470"/>
      <c r="G640" s="38"/>
      <c r="H640" s="38"/>
      <c r="I640" s="470"/>
      <c r="J640" s="470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</row>
    <row r="641" spans="2:27" ht="19.5" customHeight="1" x14ac:dyDescent="0.25">
      <c r="B641" s="38"/>
      <c r="C641" s="38"/>
      <c r="D641" s="470"/>
      <c r="E641" s="470"/>
      <c r="G641" s="38"/>
      <c r="H641" s="38"/>
      <c r="I641" s="470"/>
      <c r="J641" s="470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</row>
    <row r="642" spans="2:27" ht="19.5" customHeight="1" x14ac:dyDescent="0.25">
      <c r="B642" s="38"/>
      <c r="C642" s="38"/>
      <c r="D642" s="470"/>
      <c r="E642" s="470"/>
      <c r="G642" s="38"/>
      <c r="H642" s="38"/>
      <c r="I642" s="470"/>
      <c r="J642" s="470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</row>
    <row r="643" spans="2:27" ht="19.5" customHeight="1" x14ac:dyDescent="0.25">
      <c r="B643" s="38"/>
      <c r="C643" s="38"/>
      <c r="D643" s="470"/>
      <c r="E643" s="470"/>
      <c r="G643" s="38"/>
      <c r="H643" s="38"/>
      <c r="I643" s="470"/>
      <c r="J643" s="470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</row>
    <row r="644" spans="2:27" ht="19.5" customHeight="1" x14ac:dyDescent="0.25">
      <c r="B644" s="38"/>
      <c r="C644" s="38"/>
      <c r="D644" s="470"/>
      <c r="E644" s="470"/>
      <c r="G644" s="38"/>
      <c r="H644" s="38"/>
      <c r="I644" s="470"/>
      <c r="J644" s="470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</row>
    <row r="645" spans="2:27" ht="19.5" customHeight="1" x14ac:dyDescent="0.25">
      <c r="B645" s="38"/>
      <c r="C645" s="38"/>
      <c r="D645" s="470"/>
      <c r="E645" s="470"/>
      <c r="G645" s="38"/>
      <c r="H645" s="38"/>
      <c r="I645" s="470"/>
      <c r="J645" s="470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</row>
    <row r="646" spans="2:27" ht="19.5" customHeight="1" x14ac:dyDescent="0.25">
      <c r="B646" s="38"/>
      <c r="C646" s="38"/>
      <c r="D646" s="470"/>
      <c r="E646" s="470"/>
      <c r="G646" s="38"/>
      <c r="H646" s="38"/>
      <c r="I646" s="470"/>
      <c r="J646" s="470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</row>
    <row r="647" spans="2:27" ht="19.5" customHeight="1" x14ac:dyDescent="0.25">
      <c r="B647" s="38"/>
      <c r="C647" s="38"/>
      <c r="D647" s="470"/>
      <c r="E647" s="470"/>
      <c r="G647" s="38"/>
      <c r="H647" s="38"/>
      <c r="I647" s="470"/>
      <c r="J647" s="470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</row>
    <row r="648" spans="2:27" ht="19.5" customHeight="1" x14ac:dyDescent="0.25">
      <c r="B648" s="38"/>
      <c r="C648" s="38"/>
      <c r="D648" s="470"/>
      <c r="E648" s="470"/>
      <c r="G648" s="38"/>
      <c r="H648" s="38"/>
      <c r="I648" s="470"/>
      <c r="J648" s="470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</row>
    <row r="649" spans="2:27" ht="19.5" customHeight="1" x14ac:dyDescent="0.25">
      <c r="B649" s="38"/>
      <c r="C649" s="38"/>
      <c r="D649" s="470"/>
      <c r="E649" s="470"/>
      <c r="G649" s="38"/>
      <c r="H649" s="38"/>
      <c r="I649" s="470"/>
      <c r="J649" s="470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</row>
    <row r="650" spans="2:27" ht="19.5" customHeight="1" x14ac:dyDescent="0.25">
      <c r="B650" s="38"/>
      <c r="C650" s="38"/>
      <c r="D650" s="470"/>
      <c r="E650" s="470"/>
      <c r="G650" s="38"/>
      <c r="H650" s="38"/>
      <c r="I650" s="470"/>
      <c r="J650" s="470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</row>
    <row r="651" spans="2:27" ht="19.5" customHeight="1" x14ac:dyDescent="0.25">
      <c r="B651" s="38"/>
      <c r="C651" s="38"/>
      <c r="D651" s="470"/>
      <c r="E651" s="470"/>
      <c r="G651" s="38"/>
      <c r="H651" s="38"/>
      <c r="I651" s="470"/>
      <c r="J651" s="470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</row>
    <row r="652" spans="2:27" ht="19.5" customHeight="1" x14ac:dyDescent="0.25">
      <c r="B652" s="38"/>
      <c r="C652" s="38"/>
      <c r="D652" s="470"/>
      <c r="E652" s="470"/>
      <c r="G652" s="38"/>
      <c r="H652" s="38"/>
      <c r="I652" s="470"/>
      <c r="J652" s="470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</row>
    <row r="653" spans="2:27" ht="19.5" customHeight="1" x14ac:dyDescent="0.25">
      <c r="B653" s="38"/>
      <c r="C653" s="38"/>
      <c r="D653" s="470"/>
      <c r="E653" s="470"/>
      <c r="G653" s="38"/>
      <c r="H653" s="38"/>
      <c r="I653" s="470"/>
      <c r="J653" s="470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</row>
    <row r="654" spans="2:27" ht="19.5" customHeight="1" x14ac:dyDescent="0.25">
      <c r="B654" s="38"/>
      <c r="C654" s="38"/>
      <c r="D654" s="470"/>
      <c r="E654" s="470"/>
      <c r="G654" s="38"/>
      <c r="H654" s="38"/>
      <c r="I654" s="470"/>
      <c r="J654" s="470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</row>
    <row r="655" spans="2:27" ht="19.5" customHeight="1" x14ac:dyDescent="0.25">
      <c r="B655" s="38"/>
      <c r="C655" s="38"/>
      <c r="D655" s="470"/>
      <c r="E655" s="470"/>
      <c r="G655" s="38"/>
      <c r="H655" s="38"/>
      <c r="I655" s="470"/>
      <c r="J655" s="470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</row>
    <row r="656" spans="2:27" ht="19.5" customHeight="1" x14ac:dyDescent="0.25">
      <c r="B656" s="38"/>
      <c r="C656" s="38"/>
      <c r="D656" s="470"/>
      <c r="E656" s="470"/>
      <c r="G656" s="38"/>
      <c r="H656" s="38"/>
      <c r="I656" s="470"/>
      <c r="J656" s="470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</row>
    <row r="657" spans="2:27" ht="19.5" customHeight="1" x14ac:dyDescent="0.25">
      <c r="B657" s="38"/>
      <c r="C657" s="38"/>
      <c r="D657" s="470"/>
      <c r="E657" s="470"/>
      <c r="G657" s="38"/>
      <c r="H657" s="38"/>
      <c r="I657" s="470"/>
      <c r="J657" s="470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</row>
    <row r="658" spans="2:27" ht="19.5" customHeight="1" x14ac:dyDescent="0.25">
      <c r="B658" s="38"/>
      <c r="C658" s="38"/>
      <c r="D658" s="470"/>
      <c r="E658" s="470"/>
      <c r="G658" s="38"/>
      <c r="H658" s="38"/>
      <c r="I658" s="470"/>
      <c r="J658" s="470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</row>
    <row r="659" spans="2:27" ht="19.5" customHeight="1" x14ac:dyDescent="0.25">
      <c r="B659" s="38"/>
      <c r="C659" s="38"/>
      <c r="D659" s="470"/>
      <c r="E659" s="470"/>
      <c r="G659" s="38"/>
      <c r="H659" s="38"/>
      <c r="I659" s="470"/>
      <c r="J659" s="470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</row>
    <row r="660" spans="2:27" ht="19.5" customHeight="1" x14ac:dyDescent="0.25">
      <c r="B660" s="38"/>
      <c r="C660" s="38"/>
      <c r="D660" s="470"/>
      <c r="E660" s="470"/>
      <c r="G660" s="38"/>
      <c r="H660" s="38"/>
      <c r="I660" s="470"/>
      <c r="J660" s="470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</row>
    <row r="661" spans="2:27" ht="19.5" customHeight="1" x14ac:dyDescent="0.25">
      <c r="B661" s="38"/>
      <c r="C661" s="38"/>
      <c r="D661" s="470"/>
      <c r="E661" s="470"/>
      <c r="G661" s="38"/>
      <c r="H661" s="38"/>
      <c r="I661" s="470"/>
      <c r="J661" s="470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</row>
    <row r="662" spans="2:27" ht="19.5" customHeight="1" x14ac:dyDescent="0.25">
      <c r="B662" s="38"/>
      <c r="C662" s="38"/>
      <c r="D662" s="470"/>
      <c r="E662" s="470"/>
      <c r="G662" s="38"/>
      <c r="H662" s="38"/>
      <c r="I662" s="470"/>
      <c r="J662" s="470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</row>
    <row r="663" spans="2:27" ht="19.5" customHeight="1" x14ac:dyDescent="0.25">
      <c r="B663" s="38"/>
      <c r="C663" s="38"/>
      <c r="D663" s="470"/>
      <c r="E663" s="470"/>
      <c r="G663" s="38"/>
      <c r="H663" s="38"/>
      <c r="I663" s="470"/>
      <c r="J663" s="470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</row>
    <row r="664" spans="2:27" ht="19.5" customHeight="1" x14ac:dyDescent="0.25">
      <c r="B664" s="38"/>
      <c r="C664" s="38"/>
      <c r="D664" s="470"/>
      <c r="E664" s="470"/>
      <c r="G664" s="38"/>
      <c r="H664" s="38"/>
      <c r="I664" s="470"/>
      <c r="J664" s="470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</row>
    <row r="665" spans="2:27" ht="19.5" customHeight="1" x14ac:dyDescent="0.25">
      <c r="B665" s="38"/>
      <c r="C665" s="38"/>
      <c r="D665" s="470"/>
      <c r="E665" s="470"/>
      <c r="G665" s="38"/>
      <c r="H665" s="38"/>
      <c r="I665" s="470"/>
      <c r="J665" s="470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</row>
    <row r="666" spans="2:27" ht="19.5" customHeight="1" x14ac:dyDescent="0.25">
      <c r="B666" s="38"/>
      <c r="C666" s="38"/>
      <c r="D666" s="470"/>
      <c r="E666" s="470"/>
      <c r="G666" s="38"/>
      <c r="H666" s="38"/>
      <c r="I666" s="470"/>
      <c r="J666" s="470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</row>
    <row r="667" spans="2:27" ht="19.5" customHeight="1" x14ac:dyDescent="0.25">
      <c r="B667" s="38"/>
      <c r="C667" s="38"/>
      <c r="D667" s="470"/>
      <c r="E667" s="470"/>
      <c r="G667" s="38"/>
      <c r="H667" s="38"/>
      <c r="I667" s="470"/>
      <c r="J667" s="470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</row>
    <row r="668" spans="2:27" ht="19.5" customHeight="1" x14ac:dyDescent="0.25">
      <c r="B668" s="38"/>
      <c r="C668" s="38"/>
      <c r="D668" s="470"/>
      <c r="E668" s="470"/>
      <c r="G668" s="38"/>
      <c r="H668" s="38"/>
      <c r="I668" s="470"/>
      <c r="J668" s="470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</row>
    <row r="669" spans="2:27" ht="19.5" customHeight="1" x14ac:dyDescent="0.25">
      <c r="B669" s="38"/>
      <c r="C669" s="38"/>
      <c r="D669" s="470"/>
      <c r="E669" s="470"/>
      <c r="G669" s="38"/>
      <c r="H669" s="38"/>
      <c r="I669" s="470"/>
      <c r="J669" s="470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</row>
    <row r="670" spans="2:27" ht="19.5" customHeight="1" x14ac:dyDescent="0.25">
      <c r="B670" s="38"/>
      <c r="C670" s="38"/>
      <c r="D670" s="470"/>
      <c r="E670" s="470"/>
      <c r="G670" s="38"/>
      <c r="H670" s="38"/>
      <c r="I670" s="470"/>
      <c r="J670" s="470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</row>
    <row r="671" spans="2:27" ht="19.5" customHeight="1" x14ac:dyDescent="0.25">
      <c r="B671" s="38"/>
      <c r="C671" s="38"/>
      <c r="D671" s="470"/>
      <c r="E671" s="470"/>
      <c r="G671" s="38"/>
      <c r="H671" s="38"/>
      <c r="I671" s="470"/>
      <c r="J671" s="470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</row>
    <row r="672" spans="2:27" ht="19.5" customHeight="1" x14ac:dyDescent="0.25">
      <c r="B672" s="38"/>
      <c r="C672" s="38"/>
      <c r="D672" s="470"/>
      <c r="E672" s="470"/>
      <c r="G672" s="38"/>
      <c r="H672" s="38"/>
      <c r="I672" s="470"/>
      <c r="J672" s="470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</row>
    <row r="673" spans="2:27" ht="19.5" customHeight="1" x14ac:dyDescent="0.25">
      <c r="B673" s="38"/>
      <c r="C673" s="38"/>
      <c r="D673" s="470"/>
      <c r="E673" s="470"/>
      <c r="G673" s="38"/>
      <c r="H673" s="38"/>
      <c r="I673" s="470"/>
      <c r="J673" s="470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</row>
    <row r="674" spans="2:27" ht="19.5" customHeight="1" x14ac:dyDescent="0.25">
      <c r="B674" s="38"/>
      <c r="C674" s="38"/>
      <c r="D674" s="470"/>
      <c r="E674" s="470"/>
      <c r="G674" s="38"/>
      <c r="H674" s="38"/>
      <c r="I674" s="470"/>
      <c r="J674" s="470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</row>
    <row r="675" spans="2:27" ht="19.5" customHeight="1" x14ac:dyDescent="0.25">
      <c r="B675" s="38"/>
      <c r="C675" s="38"/>
      <c r="D675" s="470"/>
      <c r="E675" s="470"/>
      <c r="G675" s="38"/>
      <c r="H675" s="38"/>
      <c r="I675" s="470"/>
      <c r="J675" s="470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</row>
    <row r="676" spans="2:27" ht="19.5" customHeight="1" x14ac:dyDescent="0.25">
      <c r="B676" s="38"/>
      <c r="C676" s="38"/>
      <c r="D676" s="470"/>
      <c r="E676" s="470"/>
      <c r="G676" s="38"/>
      <c r="H676" s="38"/>
      <c r="I676" s="470"/>
      <c r="J676" s="470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</row>
    <row r="677" spans="2:27" ht="19.5" customHeight="1" x14ac:dyDescent="0.25">
      <c r="B677" s="38"/>
      <c r="C677" s="38"/>
      <c r="D677" s="470"/>
      <c r="E677" s="470"/>
      <c r="G677" s="38"/>
      <c r="H677" s="38"/>
      <c r="I677" s="470"/>
      <c r="J677" s="470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</row>
    <row r="678" spans="2:27" ht="19.5" customHeight="1" x14ac:dyDescent="0.25">
      <c r="B678" s="38"/>
      <c r="C678" s="38"/>
      <c r="D678" s="470"/>
      <c r="E678" s="470"/>
      <c r="G678" s="38"/>
      <c r="H678" s="38"/>
      <c r="I678" s="470"/>
      <c r="J678" s="470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</row>
    <row r="679" spans="2:27" ht="19.5" customHeight="1" x14ac:dyDescent="0.25">
      <c r="B679" s="38"/>
      <c r="C679" s="38"/>
      <c r="D679" s="470"/>
      <c r="E679" s="470"/>
      <c r="G679" s="38"/>
      <c r="H679" s="38"/>
      <c r="I679" s="470"/>
      <c r="J679" s="470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</row>
    <row r="680" spans="2:27" ht="19.5" customHeight="1" x14ac:dyDescent="0.25">
      <c r="B680" s="38"/>
      <c r="C680" s="38"/>
      <c r="D680" s="470"/>
      <c r="E680" s="470"/>
      <c r="G680" s="38"/>
      <c r="H680" s="38"/>
      <c r="I680" s="470"/>
      <c r="J680" s="470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</row>
    <row r="681" spans="2:27" ht="19.5" customHeight="1" x14ac:dyDescent="0.25">
      <c r="B681" s="38"/>
      <c r="C681" s="38"/>
      <c r="D681" s="470"/>
      <c r="E681" s="470"/>
      <c r="G681" s="38"/>
      <c r="H681" s="38"/>
      <c r="I681" s="470"/>
      <c r="J681" s="470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</row>
    <row r="682" spans="2:27" ht="19.5" customHeight="1" x14ac:dyDescent="0.25">
      <c r="B682" s="38"/>
      <c r="C682" s="38"/>
      <c r="D682" s="470"/>
      <c r="E682" s="470"/>
      <c r="G682" s="38"/>
      <c r="H682" s="38"/>
      <c r="I682" s="470"/>
      <c r="J682" s="470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</row>
    <row r="683" spans="2:27" ht="19.5" customHeight="1" x14ac:dyDescent="0.25">
      <c r="B683" s="38"/>
      <c r="C683" s="38"/>
      <c r="D683" s="470"/>
      <c r="E683" s="470"/>
      <c r="G683" s="38"/>
      <c r="H683" s="38"/>
      <c r="I683" s="470"/>
      <c r="J683" s="470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</row>
    <row r="684" spans="2:27" ht="19.5" customHeight="1" x14ac:dyDescent="0.25">
      <c r="B684" s="38"/>
      <c r="C684" s="38"/>
      <c r="D684" s="470"/>
      <c r="E684" s="470"/>
      <c r="G684" s="38"/>
      <c r="H684" s="38"/>
      <c r="I684" s="470"/>
      <c r="J684" s="470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</row>
    <row r="685" spans="2:27" ht="19.5" customHeight="1" x14ac:dyDescent="0.25">
      <c r="B685" s="38"/>
      <c r="C685" s="38"/>
      <c r="D685" s="470"/>
      <c r="E685" s="470"/>
      <c r="G685" s="38"/>
      <c r="H685" s="38"/>
      <c r="I685" s="470"/>
      <c r="J685" s="470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</row>
    <row r="686" spans="2:27" ht="19.5" customHeight="1" x14ac:dyDescent="0.25">
      <c r="B686" s="38"/>
      <c r="C686" s="38"/>
      <c r="D686" s="470"/>
      <c r="E686" s="470"/>
      <c r="G686" s="38"/>
      <c r="H686" s="38"/>
      <c r="I686" s="470"/>
      <c r="J686" s="470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</row>
    <row r="687" spans="2:27" ht="19.5" customHeight="1" x14ac:dyDescent="0.25">
      <c r="B687" s="38"/>
      <c r="C687" s="38"/>
      <c r="D687" s="470"/>
      <c r="E687" s="470"/>
      <c r="G687" s="38"/>
      <c r="H687" s="38"/>
      <c r="I687" s="470"/>
      <c r="J687" s="470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</row>
    <row r="688" spans="2:27" ht="19.5" customHeight="1" x14ac:dyDescent="0.25">
      <c r="B688" s="38"/>
      <c r="C688" s="38"/>
      <c r="D688" s="470"/>
      <c r="E688" s="470"/>
      <c r="G688" s="38"/>
      <c r="H688" s="38"/>
      <c r="I688" s="470"/>
      <c r="J688" s="470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</row>
    <row r="689" spans="2:27" ht="19.5" customHeight="1" x14ac:dyDescent="0.25">
      <c r="B689" s="38"/>
      <c r="C689" s="38"/>
      <c r="D689" s="470"/>
      <c r="E689" s="470"/>
      <c r="G689" s="38"/>
      <c r="H689" s="38"/>
      <c r="I689" s="470"/>
      <c r="J689" s="470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</row>
    <row r="690" spans="2:27" ht="19.5" customHeight="1" x14ac:dyDescent="0.25">
      <c r="B690" s="38"/>
      <c r="C690" s="38"/>
      <c r="D690" s="470"/>
      <c r="E690" s="470"/>
      <c r="G690" s="38"/>
      <c r="H690" s="38"/>
      <c r="I690" s="470"/>
      <c r="J690" s="470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</row>
    <row r="691" spans="2:27" ht="19.5" customHeight="1" x14ac:dyDescent="0.25">
      <c r="B691" s="38"/>
      <c r="C691" s="38"/>
      <c r="D691" s="470"/>
      <c r="E691" s="470"/>
      <c r="G691" s="38"/>
      <c r="H691" s="38"/>
      <c r="I691" s="470"/>
      <c r="J691" s="470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</row>
    <row r="692" spans="2:27" ht="19.5" customHeight="1" x14ac:dyDescent="0.25">
      <c r="B692" s="38"/>
      <c r="C692" s="38"/>
      <c r="D692" s="470"/>
      <c r="E692" s="470"/>
      <c r="G692" s="38"/>
      <c r="H692" s="38"/>
      <c r="I692" s="470"/>
      <c r="J692" s="470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</row>
    <row r="693" spans="2:27" ht="19.5" customHeight="1" x14ac:dyDescent="0.25">
      <c r="B693" s="38"/>
      <c r="C693" s="38"/>
      <c r="D693" s="470"/>
      <c r="E693" s="470"/>
      <c r="G693" s="38"/>
      <c r="H693" s="38"/>
      <c r="I693" s="470"/>
      <c r="J693" s="470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</row>
    <row r="694" spans="2:27" ht="19.5" customHeight="1" x14ac:dyDescent="0.25">
      <c r="B694" s="38"/>
      <c r="C694" s="38"/>
      <c r="D694" s="470"/>
      <c r="E694" s="470"/>
      <c r="G694" s="38"/>
      <c r="H694" s="38"/>
      <c r="I694" s="470"/>
      <c r="J694" s="470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</row>
    <row r="695" spans="2:27" ht="19.5" customHeight="1" x14ac:dyDescent="0.25">
      <c r="B695" s="38"/>
      <c r="C695" s="38"/>
      <c r="D695" s="470"/>
      <c r="E695" s="470"/>
      <c r="G695" s="38"/>
      <c r="H695" s="38"/>
      <c r="I695" s="470"/>
      <c r="J695" s="470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</row>
    <row r="696" spans="2:27" ht="19.5" customHeight="1" x14ac:dyDescent="0.25">
      <c r="B696" s="38"/>
      <c r="C696" s="38"/>
      <c r="D696" s="470"/>
      <c r="E696" s="470"/>
      <c r="G696" s="38"/>
      <c r="H696" s="38"/>
      <c r="I696" s="470"/>
      <c r="J696" s="470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</row>
    <row r="697" spans="2:27" ht="19.5" customHeight="1" x14ac:dyDescent="0.25">
      <c r="B697" s="38"/>
      <c r="C697" s="38"/>
      <c r="D697" s="470"/>
      <c r="E697" s="470"/>
      <c r="G697" s="38"/>
      <c r="H697" s="38"/>
      <c r="I697" s="470"/>
      <c r="J697" s="470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</row>
    <row r="698" spans="2:27" ht="19.5" customHeight="1" x14ac:dyDescent="0.25">
      <c r="B698" s="38"/>
      <c r="C698" s="38"/>
      <c r="D698" s="470"/>
      <c r="E698" s="470"/>
      <c r="G698" s="38"/>
      <c r="H698" s="38"/>
      <c r="I698" s="470"/>
      <c r="J698" s="470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</row>
    <row r="699" spans="2:27" ht="19.5" customHeight="1" x14ac:dyDescent="0.25">
      <c r="B699" s="38"/>
      <c r="C699" s="38"/>
      <c r="D699" s="470"/>
      <c r="E699" s="470"/>
      <c r="G699" s="38"/>
      <c r="H699" s="38"/>
      <c r="I699" s="470"/>
      <c r="J699" s="470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</row>
    <row r="700" spans="2:27" ht="19.5" customHeight="1" x14ac:dyDescent="0.25">
      <c r="B700" s="38"/>
      <c r="C700" s="38"/>
      <c r="D700" s="470"/>
      <c r="E700" s="470"/>
      <c r="G700" s="38"/>
      <c r="H700" s="38"/>
      <c r="I700" s="470"/>
      <c r="J700" s="470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</row>
    <row r="701" spans="2:27" ht="19.5" customHeight="1" x14ac:dyDescent="0.25">
      <c r="B701" s="38"/>
      <c r="C701" s="38"/>
      <c r="D701" s="470"/>
      <c r="E701" s="470"/>
      <c r="G701" s="38"/>
      <c r="H701" s="38"/>
      <c r="I701" s="470"/>
      <c r="J701" s="470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</row>
    <row r="702" spans="2:27" ht="19.5" customHeight="1" x14ac:dyDescent="0.25">
      <c r="B702" s="38"/>
      <c r="C702" s="38"/>
      <c r="D702" s="470"/>
      <c r="E702" s="470"/>
      <c r="G702" s="38"/>
      <c r="H702" s="38"/>
      <c r="I702" s="470"/>
      <c r="J702" s="470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</row>
    <row r="703" spans="2:27" ht="19.5" customHeight="1" x14ac:dyDescent="0.25">
      <c r="B703" s="38"/>
      <c r="C703" s="38"/>
      <c r="D703" s="470"/>
      <c r="E703" s="470"/>
      <c r="G703" s="38"/>
      <c r="H703" s="38"/>
      <c r="I703" s="470"/>
      <c r="J703" s="470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</row>
    <row r="704" spans="2:27" ht="19.5" customHeight="1" x14ac:dyDescent="0.25">
      <c r="B704" s="38"/>
      <c r="C704" s="38"/>
      <c r="D704" s="470"/>
      <c r="E704" s="470"/>
      <c r="G704" s="38"/>
      <c r="H704" s="38"/>
      <c r="I704" s="470"/>
      <c r="J704" s="470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</row>
    <row r="705" spans="2:27" ht="19.5" customHeight="1" x14ac:dyDescent="0.25">
      <c r="B705" s="38"/>
      <c r="C705" s="38"/>
      <c r="D705" s="470"/>
      <c r="E705" s="470"/>
      <c r="G705" s="38"/>
      <c r="H705" s="38"/>
      <c r="I705" s="470"/>
      <c r="J705" s="470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</row>
    <row r="706" spans="2:27" ht="19.5" customHeight="1" x14ac:dyDescent="0.25">
      <c r="B706" s="38"/>
      <c r="C706" s="38"/>
      <c r="D706" s="470"/>
      <c r="E706" s="470"/>
      <c r="G706" s="38"/>
      <c r="H706" s="38"/>
      <c r="I706" s="470"/>
      <c r="J706" s="470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</row>
    <row r="707" spans="2:27" ht="19.5" customHeight="1" x14ac:dyDescent="0.25">
      <c r="B707" s="38"/>
      <c r="C707" s="38"/>
      <c r="D707" s="470"/>
      <c r="E707" s="470"/>
      <c r="G707" s="38"/>
      <c r="H707" s="38"/>
      <c r="I707" s="470"/>
      <c r="J707" s="470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</row>
    <row r="708" spans="2:27" ht="19.5" customHeight="1" x14ac:dyDescent="0.25">
      <c r="B708" s="38"/>
      <c r="C708" s="38"/>
      <c r="D708" s="470"/>
      <c r="E708" s="470"/>
      <c r="G708" s="38"/>
      <c r="H708" s="38"/>
      <c r="I708" s="470"/>
      <c r="J708" s="470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</row>
    <row r="709" spans="2:27" ht="19.5" customHeight="1" x14ac:dyDescent="0.25">
      <c r="B709" s="38"/>
      <c r="C709" s="38"/>
      <c r="D709" s="470"/>
      <c r="E709" s="470"/>
      <c r="G709" s="38"/>
      <c r="H709" s="38"/>
      <c r="I709" s="470"/>
      <c r="J709" s="470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</row>
    <row r="710" spans="2:27" ht="19.5" customHeight="1" x14ac:dyDescent="0.25">
      <c r="B710" s="38"/>
      <c r="C710" s="38"/>
      <c r="D710" s="470"/>
      <c r="E710" s="470"/>
      <c r="G710" s="38"/>
      <c r="H710" s="38"/>
      <c r="I710" s="470"/>
      <c r="J710" s="470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</row>
    <row r="711" spans="2:27" ht="19.5" customHeight="1" x14ac:dyDescent="0.25">
      <c r="B711" s="38"/>
      <c r="C711" s="38"/>
      <c r="D711" s="470"/>
      <c r="E711" s="470"/>
      <c r="G711" s="38"/>
      <c r="H711" s="38"/>
      <c r="I711" s="470"/>
      <c r="J711" s="470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</row>
    <row r="712" spans="2:27" ht="19.5" customHeight="1" x14ac:dyDescent="0.25">
      <c r="B712" s="38"/>
      <c r="C712" s="38"/>
      <c r="D712" s="470"/>
      <c r="E712" s="470"/>
      <c r="G712" s="38"/>
      <c r="H712" s="38"/>
      <c r="I712" s="470"/>
      <c r="J712" s="470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</row>
    <row r="713" spans="2:27" ht="19.5" customHeight="1" x14ac:dyDescent="0.25">
      <c r="B713" s="38"/>
      <c r="C713" s="38"/>
      <c r="D713" s="470"/>
      <c r="E713" s="470"/>
      <c r="G713" s="38"/>
      <c r="H713" s="38"/>
      <c r="I713" s="470"/>
      <c r="J713" s="470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</row>
    <row r="714" spans="2:27" ht="19.5" customHeight="1" x14ac:dyDescent="0.25">
      <c r="B714" s="38"/>
      <c r="C714" s="38"/>
      <c r="D714" s="470"/>
      <c r="E714" s="470"/>
      <c r="G714" s="38"/>
      <c r="H714" s="38"/>
      <c r="I714" s="470"/>
      <c r="J714" s="470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</row>
    <row r="715" spans="2:27" ht="19.5" customHeight="1" x14ac:dyDescent="0.25">
      <c r="B715" s="38"/>
      <c r="C715" s="38"/>
      <c r="D715" s="470"/>
      <c r="E715" s="470"/>
      <c r="G715" s="38"/>
      <c r="H715" s="38"/>
      <c r="I715" s="470"/>
      <c r="J715" s="470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</row>
    <row r="716" spans="2:27" ht="19.5" customHeight="1" x14ac:dyDescent="0.25">
      <c r="B716" s="38"/>
      <c r="C716" s="38"/>
      <c r="D716" s="470"/>
      <c r="E716" s="470"/>
      <c r="G716" s="38"/>
      <c r="H716" s="38"/>
      <c r="I716" s="470"/>
      <c r="J716" s="470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</row>
    <row r="717" spans="2:27" ht="19.5" customHeight="1" x14ac:dyDescent="0.25">
      <c r="B717" s="38"/>
      <c r="C717" s="38"/>
      <c r="D717" s="470"/>
      <c r="E717" s="470"/>
      <c r="G717" s="38"/>
      <c r="H717" s="38"/>
      <c r="I717" s="470"/>
      <c r="J717" s="470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</row>
    <row r="718" spans="2:27" ht="19.5" customHeight="1" x14ac:dyDescent="0.25">
      <c r="B718" s="38"/>
      <c r="C718" s="38"/>
      <c r="D718" s="470"/>
      <c r="E718" s="470"/>
      <c r="G718" s="38"/>
      <c r="H718" s="38"/>
      <c r="I718" s="470"/>
      <c r="J718" s="470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</row>
    <row r="719" spans="2:27" ht="19.5" customHeight="1" x14ac:dyDescent="0.25">
      <c r="B719" s="38"/>
      <c r="C719" s="38"/>
      <c r="D719" s="470"/>
      <c r="E719" s="470"/>
      <c r="G719" s="38"/>
      <c r="H719" s="38"/>
      <c r="I719" s="470"/>
      <c r="J719" s="470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</row>
    <row r="720" spans="2:27" ht="19.5" customHeight="1" x14ac:dyDescent="0.25">
      <c r="B720" s="38"/>
      <c r="C720" s="38"/>
      <c r="D720" s="470"/>
      <c r="E720" s="470"/>
      <c r="G720" s="38"/>
      <c r="H720" s="38"/>
      <c r="I720" s="470"/>
      <c r="J720" s="470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</row>
    <row r="721" spans="2:27" ht="19.5" customHeight="1" x14ac:dyDescent="0.25">
      <c r="B721" s="38"/>
      <c r="C721" s="38"/>
      <c r="D721" s="470"/>
      <c r="E721" s="470"/>
      <c r="G721" s="38"/>
      <c r="H721" s="38"/>
      <c r="I721" s="470"/>
      <c r="J721" s="470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</row>
    <row r="722" spans="2:27" ht="19.5" customHeight="1" x14ac:dyDescent="0.25">
      <c r="B722" s="38"/>
      <c r="C722" s="38"/>
      <c r="D722" s="470"/>
      <c r="E722" s="470"/>
      <c r="G722" s="38"/>
      <c r="H722" s="38"/>
      <c r="I722" s="470"/>
      <c r="J722" s="470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</row>
    <row r="723" spans="2:27" ht="19.5" customHeight="1" x14ac:dyDescent="0.25">
      <c r="B723" s="38"/>
      <c r="C723" s="38"/>
      <c r="D723" s="470"/>
      <c r="E723" s="470"/>
      <c r="G723" s="38"/>
      <c r="H723" s="38"/>
      <c r="I723" s="470"/>
      <c r="J723" s="470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</row>
    <row r="724" spans="2:27" ht="19.5" customHeight="1" x14ac:dyDescent="0.25">
      <c r="B724" s="38"/>
      <c r="C724" s="38"/>
      <c r="D724" s="470"/>
      <c r="E724" s="470"/>
      <c r="G724" s="38"/>
      <c r="H724" s="38"/>
      <c r="I724" s="470"/>
      <c r="J724" s="470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</row>
    <row r="725" spans="2:27" ht="19.5" customHeight="1" x14ac:dyDescent="0.25">
      <c r="B725" s="38"/>
      <c r="C725" s="38"/>
      <c r="D725" s="470"/>
      <c r="E725" s="470"/>
      <c r="G725" s="38"/>
      <c r="H725" s="38"/>
      <c r="I725" s="470"/>
      <c r="J725" s="470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</row>
    <row r="726" spans="2:27" ht="19.5" customHeight="1" x14ac:dyDescent="0.25">
      <c r="B726" s="38"/>
      <c r="C726" s="38"/>
      <c r="D726" s="470"/>
      <c r="E726" s="470"/>
      <c r="G726" s="38"/>
      <c r="H726" s="38"/>
      <c r="I726" s="470"/>
      <c r="J726" s="470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</row>
    <row r="727" spans="2:27" ht="19.5" customHeight="1" x14ac:dyDescent="0.25">
      <c r="B727" s="38"/>
      <c r="C727" s="38"/>
      <c r="D727" s="470"/>
      <c r="E727" s="470"/>
      <c r="G727" s="38"/>
      <c r="H727" s="38"/>
      <c r="I727" s="470"/>
      <c r="J727" s="470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</row>
    <row r="728" spans="2:27" ht="19.5" customHeight="1" x14ac:dyDescent="0.25">
      <c r="B728" s="38"/>
      <c r="C728" s="38"/>
      <c r="D728" s="470"/>
      <c r="E728" s="470"/>
      <c r="G728" s="38"/>
      <c r="H728" s="38"/>
      <c r="I728" s="470"/>
      <c r="J728" s="470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</row>
    <row r="729" spans="2:27" ht="19.5" customHeight="1" x14ac:dyDescent="0.25">
      <c r="B729" s="38"/>
      <c r="C729" s="38"/>
      <c r="D729" s="470"/>
      <c r="E729" s="470"/>
      <c r="G729" s="38"/>
      <c r="H729" s="38"/>
      <c r="I729" s="470"/>
      <c r="J729" s="470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</row>
    <row r="730" spans="2:27" ht="19.5" customHeight="1" x14ac:dyDescent="0.25">
      <c r="B730" s="38"/>
      <c r="C730" s="38"/>
      <c r="D730" s="470"/>
      <c r="E730" s="470"/>
      <c r="G730" s="38"/>
      <c r="H730" s="38"/>
      <c r="I730" s="470"/>
      <c r="J730" s="470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</row>
    <row r="731" spans="2:27" ht="19.5" customHeight="1" x14ac:dyDescent="0.25">
      <c r="B731" s="38"/>
      <c r="C731" s="38"/>
      <c r="D731" s="470"/>
      <c r="E731" s="470"/>
      <c r="G731" s="38"/>
      <c r="H731" s="38"/>
      <c r="I731" s="470"/>
      <c r="J731" s="470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</row>
    <row r="732" spans="2:27" ht="19.5" customHeight="1" x14ac:dyDescent="0.25">
      <c r="B732" s="38"/>
      <c r="C732" s="38"/>
      <c r="D732" s="470"/>
      <c r="E732" s="470"/>
      <c r="G732" s="38"/>
      <c r="H732" s="38"/>
      <c r="I732" s="470"/>
      <c r="J732" s="470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</row>
    <row r="733" spans="2:27" ht="19.5" customHeight="1" x14ac:dyDescent="0.25">
      <c r="B733" s="38"/>
      <c r="C733" s="38"/>
      <c r="D733" s="470"/>
      <c r="E733" s="470"/>
      <c r="G733" s="38"/>
      <c r="H733" s="38"/>
      <c r="I733" s="470"/>
      <c r="J733" s="470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</row>
    <row r="734" spans="2:27" ht="19.5" customHeight="1" x14ac:dyDescent="0.25">
      <c r="B734" s="38"/>
      <c r="C734" s="38"/>
      <c r="D734" s="470"/>
      <c r="E734" s="470"/>
      <c r="G734" s="38"/>
      <c r="H734" s="38"/>
      <c r="I734" s="470"/>
      <c r="J734" s="470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</row>
    <row r="735" spans="2:27" ht="19.5" customHeight="1" x14ac:dyDescent="0.25">
      <c r="B735" s="38"/>
      <c r="C735" s="38"/>
      <c r="D735" s="470"/>
      <c r="E735" s="470"/>
      <c r="G735" s="38"/>
      <c r="H735" s="38"/>
      <c r="I735" s="470"/>
      <c r="J735" s="470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</row>
    <row r="736" spans="2:27" ht="19.5" customHeight="1" x14ac:dyDescent="0.25">
      <c r="B736" s="38"/>
      <c r="C736" s="38"/>
      <c r="D736" s="470"/>
      <c r="E736" s="470"/>
      <c r="G736" s="38"/>
      <c r="H736" s="38"/>
      <c r="I736" s="470"/>
      <c r="J736" s="470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</row>
    <row r="737" spans="2:27" ht="19.5" customHeight="1" x14ac:dyDescent="0.25">
      <c r="B737" s="38"/>
      <c r="C737" s="38"/>
      <c r="D737" s="470"/>
      <c r="E737" s="470"/>
      <c r="G737" s="38"/>
      <c r="H737" s="38"/>
      <c r="I737" s="470"/>
      <c r="J737" s="470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</row>
    <row r="738" spans="2:27" ht="19.5" customHeight="1" x14ac:dyDescent="0.25">
      <c r="B738" s="38"/>
      <c r="C738" s="38"/>
      <c r="D738" s="470"/>
      <c r="E738" s="470"/>
      <c r="G738" s="38"/>
      <c r="H738" s="38"/>
      <c r="I738" s="470"/>
      <c r="J738" s="470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</row>
    <row r="739" spans="2:27" ht="19.5" customHeight="1" x14ac:dyDescent="0.25">
      <c r="B739" s="38"/>
      <c r="C739" s="38"/>
      <c r="D739" s="470"/>
      <c r="E739" s="470"/>
      <c r="G739" s="38"/>
      <c r="H739" s="38"/>
      <c r="I739" s="470"/>
      <c r="J739" s="470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</row>
    <row r="740" spans="2:27" ht="19.5" customHeight="1" x14ac:dyDescent="0.25">
      <c r="B740" s="38"/>
      <c r="C740" s="38"/>
      <c r="D740" s="470"/>
      <c r="E740" s="470"/>
      <c r="G740" s="38"/>
      <c r="H740" s="38"/>
      <c r="I740" s="470"/>
      <c r="J740" s="470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</row>
    <row r="741" spans="2:27" ht="19.5" customHeight="1" x14ac:dyDescent="0.25">
      <c r="B741" s="38"/>
      <c r="C741" s="38"/>
      <c r="D741" s="470"/>
      <c r="E741" s="470"/>
      <c r="G741" s="38"/>
      <c r="H741" s="38"/>
      <c r="I741" s="470"/>
      <c r="J741" s="470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</row>
    <row r="742" spans="2:27" ht="19.5" customHeight="1" x14ac:dyDescent="0.25">
      <c r="B742" s="38"/>
      <c r="C742" s="38"/>
      <c r="D742" s="470"/>
      <c r="E742" s="470"/>
      <c r="G742" s="38"/>
      <c r="H742" s="38"/>
      <c r="I742" s="470"/>
      <c r="J742" s="470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</row>
    <row r="743" spans="2:27" ht="19.5" customHeight="1" x14ac:dyDescent="0.25">
      <c r="B743" s="38"/>
      <c r="C743" s="38"/>
      <c r="D743" s="470"/>
      <c r="E743" s="470"/>
      <c r="G743" s="38"/>
      <c r="H743" s="38"/>
      <c r="I743" s="470"/>
      <c r="J743" s="470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</row>
    <row r="744" spans="2:27" ht="19.5" customHeight="1" x14ac:dyDescent="0.25">
      <c r="B744" s="38"/>
      <c r="C744" s="38"/>
      <c r="D744" s="470"/>
      <c r="E744" s="470"/>
      <c r="G744" s="38"/>
      <c r="H744" s="38"/>
      <c r="I744" s="470"/>
      <c r="J744" s="470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</row>
    <row r="745" spans="2:27" ht="19.5" customHeight="1" x14ac:dyDescent="0.25">
      <c r="B745" s="38"/>
      <c r="C745" s="38"/>
      <c r="D745" s="470"/>
      <c r="E745" s="470"/>
      <c r="G745" s="38"/>
      <c r="H745" s="38"/>
      <c r="I745" s="470"/>
      <c r="J745" s="470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</row>
    <row r="746" spans="2:27" ht="19.5" customHeight="1" x14ac:dyDescent="0.25">
      <c r="B746" s="38"/>
      <c r="C746" s="38"/>
      <c r="D746" s="470"/>
      <c r="E746" s="470"/>
      <c r="G746" s="38"/>
      <c r="H746" s="38"/>
      <c r="I746" s="470"/>
      <c r="J746" s="470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</row>
    <row r="747" spans="2:27" ht="19.5" customHeight="1" x14ac:dyDescent="0.25">
      <c r="B747" s="38"/>
      <c r="C747" s="38"/>
      <c r="D747" s="470"/>
      <c r="E747" s="470"/>
      <c r="G747" s="38"/>
      <c r="H747" s="38"/>
      <c r="I747" s="470"/>
      <c r="J747" s="470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</row>
    <row r="748" spans="2:27" ht="19.5" customHeight="1" x14ac:dyDescent="0.25">
      <c r="B748" s="38"/>
      <c r="C748" s="38"/>
      <c r="D748" s="470"/>
      <c r="E748" s="470"/>
      <c r="G748" s="38"/>
      <c r="H748" s="38"/>
      <c r="I748" s="470"/>
      <c r="J748" s="470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</row>
    <row r="749" spans="2:27" ht="19.5" customHeight="1" x14ac:dyDescent="0.25">
      <c r="B749" s="38"/>
      <c r="C749" s="38"/>
      <c r="D749" s="470"/>
      <c r="E749" s="470"/>
      <c r="G749" s="38"/>
      <c r="H749" s="38"/>
      <c r="I749" s="470"/>
      <c r="J749" s="470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</row>
    <row r="750" spans="2:27" ht="19.5" customHeight="1" x14ac:dyDescent="0.25">
      <c r="B750" s="38"/>
      <c r="C750" s="38"/>
      <c r="D750" s="470"/>
      <c r="E750" s="470"/>
      <c r="G750" s="38"/>
      <c r="H750" s="38"/>
      <c r="I750" s="470"/>
      <c r="J750" s="470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</row>
    <row r="751" spans="2:27" ht="19.5" customHeight="1" x14ac:dyDescent="0.25">
      <c r="B751" s="38"/>
      <c r="C751" s="38"/>
      <c r="D751" s="470"/>
      <c r="E751" s="470"/>
      <c r="G751" s="38"/>
      <c r="H751" s="38"/>
      <c r="I751" s="470"/>
      <c r="J751" s="470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</row>
    <row r="752" spans="2:27" ht="19.5" customHeight="1" x14ac:dyDescent="0.25">
      <c r="B752" s="38"/>
      <c r="C752" s="38"/>
      <c r="D752" s="470"/>
      <c r="E752" s="470"/>
      <c r="G752" s="38"/>
      <c r="H752" s="38"/>
      <c r="I752" s="470"/>
      <c r="J752" s="470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</row>
    <row r="753" spans="2:27" ht="19.5" customHeight="1" x14ac:dyDescent="0.25">
      <c r="B753" s="38"/>
      <c r="C753" s="38"/>
      <c r="D753" s="470"/>
      <c r="E753" s="470"/>
      <c r="G753" s="38"/>
      <c r="H753" s="38"/>
      <c r="I753" s="470"/>
      <c r="J753" s="470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</row>
    <row r="754" spans="2:27" ht="19.5" customHeight="1" x14ac:dyDescent="0.25">
      <c r="B754" s="38"/>
      <c r="C754" s="38"/>
      <c r="D754" s="470"/>
      <c r="E754" s="470"/>
      <c r="G754" s="38"/>
      <c r="H754" s="38"/>
      <c r="I754" s="470"/>
      <c r="J754" s="470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</row>
    <row r="755" spans="2:27" ht="19.5" customHeight="1" x14ac:dyDescent="0.25">
      <c r="B755" s="38"/>
      <c r="C755" s="38"/>
      <c r="D755" s="470"/>
      <c r="E755" s="470"/>
      <c r="G755" s="38"/>
      <c r="H755" s="38"/>
      <c r="I755" s="470"/>
      <c r="J755" s="470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</row>
    <row r="756" spans="2:27" ht="19.5" customHeight="1" x14ac:dyDescent="0.25">
      <c r="B756" s="38"/>
      <c r="C756" s="38"/>
      <c r="D756" s="470"/>
      <c r="E756" s="470"/>
      <c r="G756" s="38"/>
      <c r="H756" s="38"/>
      <c r="I756" s="470"/>
      <c r="J756" s="470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</row>
    <row r="757" spans="2:27" ht="19.5" customHeight="1" x14ac:dyDescent="0.25">
      <c r="B757" s="38"/>
      <c r="C757" s="38"/>
      <c r="D757" s="470"/>
      <c r="E757" s="470"/>
      <c r="G757" s="38"/>
      <c r="H757" s="38"/>
      <c r="I757" s="470"/>
      <c r="J757" s="470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</row>
    <row r="758" spans="2:27" ht="19.5" customHeight="1" x14ac:dyDescent="0.25">
      <c r="B758" s="38"/>
      <c r="C758" s="38"/>
      <c r="D758" s="470"/>
      <c r="E758" s="470"/>
      <c r="G758" s="38"/>
      <c r="H758" s="38"/>
      <c r="I758" s="470"/>
      <c r="J758" s="470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</row>
    <row r="759" spans="2:27" ht="19.5" customHeight="1" x14ac:dyDescent="0.25">
      <c r="B759" s="38"/>
      <c r="C759" s="38"/>
      <c r="D759" s="470"/>
      <c r="E759" s="470"/>
      <c r="G759" s="38"/>
      <c r="H759" s="38"/>
      <c r="I759" s="470"/>
      <c r="J759" s="470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</row>
    <row r="760" spans="2:27" ht="19.5" customHeight="1" x14ac:dyDescent="0.25">
      <c r="B760" s="38"/>
      <c r="C760" s="38"/>
      <c r="D760" s="470"/>
      <c r="E760" s="470"/>
      <c r="G760" s="38"/>
      <c r="H760" s="38"/>
      <c r="I760" s="470"/>
      <c r="J760" s="470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</row>
    <row r="761" spans="2:27" ht="19.5" customHeight="1" x14ac:dyDescent="0.25">
      <c r="B761" s="38"/>
      <c r="C761" s="38"/>
      <c r="D761" s="470"/>
      <c r="E761" s="470"/>
      <c r="G761" s="38"/>
      <c r="H761" s="38"/>
      <c r="I761" s="470"/>
      <c r="J761" s="470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</row>
    <row r="762" spans="2:27" ht="19.5" customHeight="1" x14ac:dyDescent="0.25">
      <c r="B762" s="38"/>
      <c r="C762" s="38"/>
      <c r="D762" s="470"/>
      <c r="E762" s="470"/>
      <c r="G762" s="38"/>
      <c r="H762" s="38"/>
      <c r="I762" s="470"/>
      <c r="J762" s="470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</row>
    <row r="763" spans="2:27" ht="19.5" customHeight="1" x14ac:dyDescent="0.25">
      <c r="B763" s="38"/>
      <c r="C763" s="38"/>
      <c r="D763" s="470"/>
      <c r="E763" s="470"/>
      <c r="G763" s="38"/>
      <c r="H763" s="38"/>
      <c r="I763" s="470"/>
      <c r="J763" s="470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</row>
    <row r="764" spans="2:27" ht="19.5" customHeight="1" x14ac:dyDescent="0.25">
      <c r="B764" s="38"/>
      <c r="C764" s="38"/>
      <c r="D764" s="470"/>
      <c r="E764" s="470"/>
      <c r="G764" s="38"/>
      <c r="H764" s="38"/>
      <c r="I764" s="470"/>
      <c r="J764" s="470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</row>
    <row r="765" spans="2:27" ht="19.5" customHeight="1" x14ac:dyDescent="0.25">
      <c r="B765" s="38"/>
      <c r="C765" s="38"/>
      <c r="D765" s="470"/>
      <c r="E765" s="470"/>
      <c r="G765" s="38"/>
      <c r="H765" s="38"/>
      <c r="I765" s="470"/>
      <c r="J765" s="470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</row>
    <row r="766" spans="2:27" ht="19.5" customHeight="1" x14ac:dyDescent="0.25">
      <c r="B766" s="38"/>
      <c r="C766" s="38"/>
      <c r="D766" s="470"/>
      <c r="E766" s="470"/>
      <c r="G766" s="38"/>
      <c r="H766" s="38"/>
      <c r="I766" s="470"/>
      <c r="J766" s="470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</row>
    <row r="767" spans="2:27" ht="19.5" customHeight="1" x14ac:dyDescent="0.25">
      <c r="B767" s="38"/>
      <c r="C767" s="38"/>
      <c r="D767" s="470"/>
      <c r="E767" s="470"/>
      <c r="G767" s="38"/>
      <c r="H767" s="38"/>
      <c r="I767" s="470"/>
      <c r="J767" s="470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</row>
    <row r="768" spans="2:27" ht="19.5" customHeight="1" x14ac:dyDescent="0.25">
      <c r="B768" s="38"/>
      <c r="C768" s="38"/>
      <c r="D768" s="470"/>
      <c r="E768" s="470"/>
      <c r="G768" s="38"/>
      <c r="H768" s="38"/>
      <c r="I768" s="470"/>
      <c r="J768" s="470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</row>
    <row r="769" spans="2:27" ht="19.5" customHeight="1" x14ac:dyDescent="0.25">
      <c r="B769" s="38"/>
      <c r="C769" s="38"/>
      <c r="D769" s="470"/>
      <c r="E769" s="470"/>
      <c r="G769" s="38"/>
      <c r="H769" s="38"/>
      <c r="I769" s="470"/>
      <c r="J769" s="470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</row>
    <row r="770" spans="2:27" ht="19.5" customHeight="1" x14ac:dyDescent="0.25">
      <c r="B770" s="38"/>
      <c r="C770" s="38"/>
      <c r="D770" s="470"/>
      <c r="E770" s="470"/>
      <c r="G770" s="38"/>
      <c r="H770" s="38"/>
      <c r="I770" s="470"/>
      <c r="J770" s="470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</row>
    <row r="771" spans="2:27" ht="19.5" customHeight="1" x14ac:dyDescent="0.25">
      <c r="B771" s="38"/>
      <c r="C771" s="38"/>
      <c r="D771" s="470"/>
      <c r="E771" s="470"/>
      <c r="G771" s="38"/>
      <c r="H771" s="38"/>
      <c r="I771" s="470"/>
      <c r="J771" s="470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</row>
    <row r="772" spans="2:27" ht="19.5" customHeight="1" x14ac:dyDescent="0.25">
      <c r="B772" s="38"/>
      <c r="C772" s="38"/>
      <c r="D772" s="470"/>
      <c r="E772" s="470"/>
      <c r="G772" s="38"/>
      <c r="H772" s="38"/>
      <c r="I772" s="470"/>
      <c r="J772" s="470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</row>
    <row r="773" spans="2:27" ht="19.5" customHeight="1" x14ac:dyDescent="0.25">
      <c r="B773" s="38"/>
      <c r="C773" s="38"/>
      <c r="D773" s="470"/>
      <c r="E773" s="470"/>
      <c r="G773" s="38"/>
      <c r="H773" s="38"/>
      <c r="I773" s="470"/>
      <c r="J773" s="470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</row>
    <row r="774" spans="2:27" ht="19.5" customHeight="1" x14ac:dyDescent="0.25">
      <c r="B774" s="38"/>
      <c r="C774" s="38"/>
      <c r="D774" s="470"/>
      <c r="E774" s="470"/>
      <c r="G774" s="38"/>
      <c r="H774" s="38"/>
      <c r="I774" s="470"/>
      <c r="J774" s="470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</row>
    <row r="775" spans="2:27" ht="19.5" customHeight="1" x14ac:dyDescent="0.25">
      <c r="B775" s="38"/>
      <c r="C775" s="38"/>
      <c r="D775" s="470"/>
      <c r="E775" s="470"/>
      <c r="G775" s="38"/>
      <c r="H775" s="38"/>
      <c r="I775" s="470"/>
      <c r="J775" s="470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</row>
    <row r="776" spans="2:27" ht="19.5" customHeight="1" x14ac:dyDescent="0.25">
      <c r="B776" s="38"/>
      <c r="C776" s="38"/>
      <c r="D776" s="470"/>
      <c r="E776" s="470"/>
      <c r="G776" s="38"/>
      <c r="H776" s="38"/>
      <c r="I776" s="470"/>
      <c r="J776" s="470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</row>
    <row r="777" spans="2:27" ht="19.5" customHeight="1" x14ac:dyDescent="0.25">
      <c r="B777" s="38"/>
      <c r="C777" s="38"/>
      <c r="D777" s="470"/>
      <c r="E777" s="470"/>
      <c r="G777" s="38"/>
      <c r="H777" s="38"/>
      <c r="I777" s="470"/>
      <c r="J777" s="470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</row>
    <row r="778" spans="2:27" ht="19.5" customHeight="1" x14ac:dyDescent="0.25">
      <c r="B778" s="38"/>
      <c r="C778" s="38"/>
      <c r="D778" s="470"/>
      <c r="E778" s="470"/>
      <c r="G778" s="38"/>
      <c r="H778" s="38"/>
      <c r="I778" s="470"/>
      <c r="J778" s="470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</row>
    <row r="779" spans="2:27" ht="19.5" customHeight="1" x14ac:dyDescent="0.25">
      <c r="B779" s="38"/>
      <c r="C779" s="38"/>
      <c r="D779" s="470"/>
      <c r="E779" s="470"/>
      <c r="G779" s="38"/>
      <c r="H779" s="38"/>
      <c r="I779" s="470"/>
      <c r="J779" s="470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</row>
    <row r="780" spans="2:27" ht="19.5" customHeight="1" x14ac:dyDescent="0.25">
      <c r="B780" s="38"/>
      <c r="C780" s="38"/>
      <c r="D780" s="470"/>
      <c r="E780" s="470"/>
      <c r="G780" s="38"/>
      <c r="H780" s="38"/>
      <c r="I780" s="470"/>
      <c r="J780" s="470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</row>
    <row r="781" spans="2:27" ht="19.5" customHeight="1" x14ac:dyDescent="0.25">
      <c r="B781" s="38"/>
      <c r="C781" s="38"/>
      <c r="D781" s="470"/>
      <c r="E781" s="470"/>
      <c r="G781" s="38"/>
      <c r="H781" s="38"/>
      <c r="I781" s="470"/>
      <c r="J781" s="470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</row>
    <row r="782" spans="2:27" ht="19.5" customHeight="1" x14ac:dyDescent="0.25">
      <c r="B782" s="38"/>
      <c r="C782" s="38"/>
      <c r="D782" s="470"/>
      <c r="E782" s="470"/>
      <c r="G782" s="38"/>
      <c r="H782" s="38"/>
      <c r="I782" s="470"/>
      <c r="J782" s="470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</row>
    <row r="783" spans="2:27" ht="19.5" customHeight="1" x14ac:dyDescent="0.25">
      <c r="B783" s="38"/>
      <c r="C783" s="38"/>
      <c r="D783" s="470"/>
      <c r="E783" s="470"/>
      <c r="G783" s="38"/>
      <c r="H783" s="38"/>
      <c r="I783" s="470"/>
      <c r="J783" s="470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</row>
    <row r="784" spans="2:27" ht="19.5" customHeight="1" x14ac:dyDescent="0.25">
      <c r="B784" s="38"/>
      <c r="C784" s="38"/>
      <c r="D784" s="470"/>
      <c r="E784" s="470"/>
      <c r="G784" s="38"/>
      <c r="H784" s="38"/>
      <c r="I784" s="470"/>
      <c r="J784" s="470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</row>
    <row r="785" spans="2:27" ht="19.5" customHeight="1" x14ac:dyDescent="0.25">
      <c r="B785" s="38"/>
      <c r="C785" s="38"/>
      <c r="D785" s="470"/>
      <c r="E785" s="470"/>
      <c r="G785" s="38"/>
      <c r="H785" s="38"/>
      <c r="I785" s="470"/>
      <c r="J785" s="470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</row>
    <row r="786" spans="2:27" ht="19.5" customHeight="1" x14ac:dyDescent="0.25">
      <c r="B786" s="38"/>
      <c r="C786" s="38"/>
      <c r="D786" s="470"/>
      <c r="E786" s="470"/>
      <c r="G786" s="38"/>
      <c r="H786" s="38"/>
      <c r="I786" s="470"/>
      <c r="J786" s="470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</row>
    <row r="787" spans="2:27" ht="19.5" customHeight="1" x14ac:dyDescent="0.25">
      <c r="B787" s="38"/>
      <c r="C787" s="38"/>
      <c r="D787" s="470"/>
      <c r="E787" s="470"/>
      <c r="G787" s="38"/>
      <c r="H787" s="38"/>
      <c r="I787" s="470"/>
      <c r="J787" s="470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</row>
    <row r="788" spans="2:27" ht="19.5" customHeight="1" x14ac:dyDescent="0.25">
      <c r="B788" s="38"/>
      <c r="C788" s="38"/>
      <c r="D788" s="470"/>
      <c r="E788" s="470"/>
      <c r="G788" s="38"/>
      <c r="H788" s="38"/>
      <c r="I788" s="470"/>
      <c r="J788" s="470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</row>
    <row r="789" spans="2:27" ht="19.5" customHeight="1" x14ac:dyDescent="0.25">
      <c r="B789" s="38"/>
      <c r="C789" s="38"/>
      <c r="D789" s="470"/>
      <c r="E789" s="470"/>
      <c r="G789" s="38"/>
      <c r="H789" s="38"/>
      <c r="I789" s="470"/>
      <c r="J789" s="470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</row>
    <row r="790" spans="2:27" ht="19.5" customHeight="1" x14ac:dyDescent="0.25">
      <c r="B790" s="38"/>
      <c r="C790" s="38"/>
      <c r="D790" s="470"/>
      <c r="E790" s="470"/>
      <c r="G790" s="38"/>
      <c r="H790" s="38"/>
      <c r="I790" s="470"/>
      <c r="J790" s="470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</row>
    <row r="791" spans="2:27" ht="19.5" customHeight="1" x14ac:dyDescent="0.25">
      <c r="B791" s="38"/>
      <c r="C791" s="38"/>
      <c r="D791" s="470"/>
      <c r="E791" s="470"/>
      <c r="G791" s="38"/>
      <c r="H791" s="38"/>
      <c r="I791" s="470"/>
      <c r="J791" s="470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</row>
    <row r="792" spans="2:27" ht="19.5" customHeight="1" x14ac:dyDescent="0.25">
      <c r="B792" s="38"/>
      <c r="C792" s="38"/>
      <c r="D792" s="470"/>
      <c r="E792" s="470"/>
      <c r="G792" s="38"/>
      <c r="H792" s="38"/>
      <c r="I792" s="470"/>
      <c r="J792" s="470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</row>
    <row r="793" spans="2:27" ht="19.5" customHeight="1" x14ac:dyDescent="0.25">
      <c r="B793" s="38"/>
      <c r="C793" s="38"/>
      <c r="D793" s="470"/>
      <c r="E793" s="470"/>
      <c r="G793" s="38"/>
      <c r="H793" s="38"/>
      <c r="I793" s="470"/>
      <c r="J793" s="470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</row>
    <row r="794" spans="2:27" ht="19.5" customHeight="1" x14ac:dyDescent="0.25">
      <c r="B794" s="38"/>
      <c r="C794" s="38"/>
      <c r="D794" s="470"/>
      <c r="E794" s="470"/>
      <c r="G794" s="38"/>
      <c r="H794" s="38"/>
      <c r="I794" s="470"/>
      <c r="J794" s="470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</row>
    <row r="795" spans="2:27" ht="19.5" customHeight="1" x14ac:dyDescent="0.25">
      <c r="B795" s="38"/>
      <c r="C795" s="38"/>
      <c r="D795" s="470"/>
      <c r="E795" s="470"/>
      <c r="G795" s="38"/>
      <c r="H795" s="38"/>
      <c r="I795" s="470"/>
      <c r="J795" s="470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</row>
    <row r="796" spans="2:27" ht="19.5" customHeight="1" x14ac:dyDescent="0.25">
      <c r="B796" s="38"/>
      <c r="C796" s="38"/>
      <c r="D796" s="470"/>
      <c r="E796" s="470"/>
      <c r="G796" s="38"/>
      <c r="H796" s="38"/>
      <c r="I796" s="470"/>
      <c r="J796" s="470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</row>
    <row r="797" spans="2:27" ht="19.5" customHeight="1" x14ac:dyDescent="0.25">
      <c r="B797" s="38"/>
      <c r="C797" s="38"/>
      <c r="D797" s="470"/>
      <c r="E797" s="470"/>
      <c r="G797" s="38"/>
      <c r="H797" s="38"/>
      <c r="I797" s="470"/>
      <c r="J797" s="470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</row>
    <row r="798" spans="2:27" ht="19.5" customHeight="1" x14ac:dyDescent="0.25">
      <c r="B798" s="38"/>
      <c r="C798" s="38"/>
      <c r="D798" s="470"/>
      <c r="E798" s="470"/>
      <c r="G798" s="38"/>
      <c r="H798" s="38"/>
      <c r="I798" s="470"/>
      <c r="J798" s="470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</row>
    <row r="799" spans="2:27" ht="19.5" customHeight="1" x14ac:dyDescent="0.25">
      <c r="B799" s="38"/>
      <c r="C799" s="38"/>
      <c r="D799" s="470"/>
      <c r="E799" s="470"/>
      <c r="G799" s="38"/>
      <c r="H799" s="38"/>
      <c r="I799" s="470"/>
      <c r="J799" s="470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</row>
    <row r="800" spans="2:27" ht="19.5" customHeight="1" x14ac:dyDescent="0.25">
      <c r="B800" s="38"/>
      <c r="C800" s="38"/>
      <c r="D800" s="470"/>
      <c r="E800" s="470"/>
      <c r="G800" s="38"/>
      <c r="H800" s="38"/>
      <c r="I800" s="470"/>
      <c r="J800" s="470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</row>
    <row r="801" spans="2:27" ht="19.5" customHeight="1" x14ac:dyDescent="0.25">
      <c r="B801" s="38"/>
      <c r="C801" s="38"/>
      <c r="D801" s="470"/>
      <c r="E801" s="470"/>
      <c r="G801" s="38"/>
      <c r="H801" s="38"/>
      <c r="I801" s="470"/>
      <c r="J801" s="470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</row>
    <row r="802" spans="2:27" ht="19.5" customHeight="1" x14ac:dyDescent="0.25">
      <c r="B802" s="38"/>
      <c r="C802" s="38"/>
      <c r="D802" s="470"/>
      <c r="E802" s="470"/>
      <c r="G802" s="38"/>
      <c r="H802" s="38"/>
      <c r="I802" s="470"/>
      <c r="J802" s="470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</row>
    <row r="803" spans="2:27" ht="19.5" customHeight="1" x14ac:dyDescent="0.25">
      <c r="B803" s="38"/>
      <c r="C803" s="38"/>
      <c r="D803" s="470"/>
      <c r="E803" s="470"/>
      <c r="G803" s="38"/>
      <c r="H803" s="38"/>
      <c r="I803" s="470"/>
      <c r="J803" s="470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</row>
    <row r="804" spans="2:27" ht="19.5" customHeight="1" x14ac:dyDescent="0.25">
      <c r="B804" s="38"/>
      <c r="C804" s="38"/>
      <c r="D804" s="470"/>
      <c r="E804" s="470"/>
      <c r="G804" s="38"/>
      <c r="H804" s="38"/>
      <c r="I804" s="470"/>
      <c r="J804" s="470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</row>
    <row r="805" spans="2:27" ht="19.5" customHeight="1" x14ac:dyDescent="0.25">
      <c r="B805" s="38"/>
      <c r="C805" s="38"/>
      <c r="D805" s="470"/>
      <c r="E805" s="470"/>
      <c r="G805" s="38"/>
      <c r="H805" s="38"/>
      <c r="I805" s="470"/>
      <c r="J805" s="470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</row>
    <row r="806" spans="2:27" ht="19.5" customHeight="1" x14ac:dyDescent="0.25">
      <c r="B806" s="38"/>
      <c r="C806" s="38"/>
      <c r="D806" s="470"/>
      <c r="E806" s="470"/>
      <c r="G806" s="38"/>
      <c r="H806" s="38"/>
      <c r="I806" s="470"/>
      <c r="J806" s="470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</row>
    <row r="807" spans="2:27" ht="19.5" customHeight="1" x14ac:dyDescent="0.25">
      <c r="B807" s="38"/>
      <c r="C807" s="38"/>
      <c r="D807" s="470"/>
      <c r="E807" s="470"/>
      <c r="G807" s="38"/>
      <c r="H807" s="38"/>
      <c r="I807" s="470"/>
      <c r="J807" s="470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</row>
    <row r="808" spans="2:27" ht="19.5" customHeight="1" x14ac:dyDescent="0.25">
      <c r="B808" s="38"/>
      <c r="C808" s="38"/>
      <c r="D808" s="470"/>
      <c r="E808" s="470"/>
      <c r="G808" s="38"/>
      <c r="H808" s="38"/>
      <c r="I808" s="470"/>
      <c r="J808" s="470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</row>
    <row r="809" spans="2:27" ht="19.5" customHeight="1" x14ac:dyDescent="0.25">
      <c r="B809" s="38"/>
      <c r="C809" s="38"/>
      <c r="D809" s="470"/>
      <c r="E809" s="470"/>
      <c r="G809" s="38"/>
      <c r="H809" s="38"/>
      <c r="I809" s="470"/>
      <c r="J809" s="470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</row>
    <row r="810" spans="2:27" ht="19.5" customHeight="1" x14ac:dyDescent="0.25">
      <c r="B810" s="38"/>
      <c r="C810" s="38"/>
      <c r="D810" s="470"/>
      <c r="E810" s="470"/>
      <c r="G810" s="38"/>
      <c r="H810" s="38"/>
      <c r="I810" s="470"/>
      <c r="J810" s="470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</row>
    <row r="811" spans="2:27" ht="19.5" customHeight="1" x14ac:dyDescent="0.25">
      <c r="B811" s="38"/>
      <c r="C811" s="38"/>
      <c r="D811" s="470"/>
      <c r="E811" s="470"/>
      <c r="G811" s="38"/>
      <c r="H811" s="38"/>
      <c r="I811" s="470"/>
      <c r="J811" s="470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</row>
    <row r="812" spans="2:27" ht="19.5" customHeight="1" x14ac:dyDescent="0.25">
      <c r="B812" s="38"/>
      <c r="C812" s="38"/>
      <c r="D812" s="470"/>
      <c r="E812" s="470"/>
      <c r="G812" s="38"/>
      <c r="H812" s="38"/>
      <c r="I812" s="470"/>
      <c r="J812" s="470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</row>
    <row r="813" spans="2:27" ht="19.5" customHeight="1" x14ac:dyDescent="0.25">
      <c r="B813" s="38"/>
      <c r="C813" s="38"/>
      <c r="D813" s="470"/>
      <c r="E813" s="470"/>
      <c r="G813" s="38"/>
      <c r="H813" s="38"/>
      <c r="I813" s="470"/>
      <c r="J813" s="470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</row>
    <row r="814" spans="2:27" ht="19.5" customHeight="1" x14ac:dyDescent="0.25">
      <c r="B814" s="38"/>
      <c r="C814" s="38"/>
      <c r="D814" s="470"/>
      <c r="E814" s="470"/>
      <c r="G814" s="38"/>
      <c r="H814" s="38"/>
      <c r="I814" s="470"/>
      <c r="J814" s="470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</row>
    <row r="815" spans="2:27" ht="19.5" customHeight="1" x14ac:dyDescent="0.25">
      <c r="B815" s="38"/>
      <c r="C815" s="38"/>
      <c r="D815" s="470"/>
      <c r="E815" s="470"/>
      <c r="G815" s="38"/>
      <c r="H815" s="38"/>
      <c r="I815" s="470"/>
      <c r="J815" s="470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</row>
    <row r="816" spans="2:27" ht="19.5" customHeight="1" x14ac:dyDescent="0.25">
      <c r="B816" s="38"/>
      <c r="C816" s="38"/>
      <c r="D816" s="470"/>
      <c r="E816" s="470"/>
      <c r="G816" s="38"/>
      <c r="H816" s="38"/>
      <c r="I816" s="470"/>
      <c r="J816" s="470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</row>
    <row r="817" spans="2:27" ht="19.5" customHeight="1" x14ac:dyDescent="0.25">
      <c r="B817" s="38"/>
      <c r="C817" s="38"/>
      <c r="D817" s="470"/>
      <c r="E817" s="470"/>
      <c r="G817" s="38"/>
      <c r="H817" s="38"/>
      <c r="I817" s="470"/>
      <c r="J817" s="470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</row>
    <row r="818" spans="2:27" ht="19.5" customHeight="1" x14ac:dyDescent="0.25">
      <c r="B818" s="38"/>
      <c r="C818" s="38"/>
      <c r="D818" s="470"/>
      <c r="E818" s="470"/>
      <c r="G818" s="38"/>
      <c r="H818" s="38"/>
      <c r="I818" s="470"/>
      <c r="J818" s="470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</row>
    <row r="819" spans="2:27" ht="19.5" customHeight="1" x14ac:dyDescent="0.25">
      <c r="B819" s="38"/>
      <c r="C819" s="38"/>
      <c r="D819" s="470"/>
      <c r="E819" s="470"/>
      <c r="G819" s="38"/>
      <c r="H819" s="38"/>
      <c r="I819" s="470"/>
      <c r="J819" s="470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</row>
    <row r="820" spans="2:27" ht="19.5" customHeight="1" x14ac:dyDescent="0.25">
      <c r="B820" s="38"/>
      <c r="C820" s="38"/>
      <c r="D820" s="470"/>
      <c r="E820" s="470"/>
      <c r="G820" s="38"/>
      <c r="H820" s="38"/>
      <c r="I820" s="470"/>
      <c r="J820" s="470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</row>
    <row r="821" spans="2:27" ht="19.5" customHeight="1" x14ac:dyDescent="0.25">
      <c r="B821" s="38"/>
      <c r="C821" s="38"/>
      <c r="D821" s="470"/>
      <c r="E821" s="470"/>
      <c r="G821" s="38"/>
      <c r="H821" s="38"/>
      <c r="I821" s="470"/>
      <c r="J821" s="470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</row>
    <row r="822" spans="2:27" ht="19.5" customHeight="1" x14ac:dyDescent="0.25">
      <c r="B822" s="38"/>
      <c r="C822" s="38"/>
      <c r="D822" s="470"/>
      <c r="E822" s="470"/>
      <c r="G822" s="38"/>
      <c r="H822" s="38"/>
      <c r="I822" s="470"/>
      <c r="J822" s="470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</row>
    <row r="823" spans="2:27" ht="19.5" customHeight="1" x14ac:dyDescent="0.25">
      <c r="B823" s="38"/>
      <c r="C823" s="38"/>
      <c r="D823" s="470"/>
      <c r="E823" s="470"/>
      <c r="G823" s="38"/>
      <c r="H823" s="38"/>
      <c r="I823" s="470"/>
      <c r="J823" s="470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</row>
    <row r="824" spans="2:27" ht="19.5" customHeight="1" x14ac:dyDescent="0.25">
      <c r="B824" s="38"/>
      <c r="C824" s="38"/>
      <c r="D824" s="470"/>
      <c r="E824" s="470"/>
      <c r="G824" s="38"/>
      <c r="H824" s="38"/>
      <c r="I824" s="470"/>
      <c r="J824" s="470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</row>
    <row r="825" spans="2:27" ht="19.5" customHeight="1" x14ac:dyDescent="0.25">
      <c r="B825" s="38"/>
      <c r="C825" s="38"/>
      <c r="D825" s="470"/>
      <c r="E825" s="470"/>
      <c r="G825" s="38"/>
      <c r="H825" s="38"/>
      <c r="I825" s="470"/>
      <c r="J825" s="470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</row>
    <row r="826" spans="2:27" ht="19.5" customHeight="1" x14ac:dyDescent="0.25">
      <c r="B826" s="38"/>
      <c r="C826" s="38"/>
      <c r="D826" s="470"/>
      <c r="E826" s="470"/>
      <c r="G826" s="38"/>
      <c r="H826" s="38"/>
      <c r="I826" s="470"/>
      <c r="J826" s="470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</row>
    <row r="827" spans="2:27" ht="19.5" customHeight="1" x14ac:dyDescent="0.25">
      <c r="B827" s="38"/>
      <c r="C827" s="38"/>
      <c r="D827" s="470"/>
      <c r="E827" s="470"/>
      <c r="G827" s="38"/>
      <c r="H827" s="38"/>
      <c r="I827" s="470"/>
      <c r="J827" s="470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</row>
    <row r="828" spans="2:27" ht="19.5" customHeight="1" x14ac:dyDescent="0.25">
      <c r="B828" s="38"/>
      <c r="C828" s="38"/>
      <c r="D828" s="470"/>
      <c r="E828" s="470"/>
      <c r="G828" s="38"/>
      <c r="H828" s="38"/>
      <c r="I828" s="470"/>
      <c r="J828" s="470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</row>
    <row r="829" spans="2:27" ht="19.5" customHeight="1" x14ac:dyDescent="0.25">
      <c r="B829" s="38"/>
      <c r="C829" s="38"/>
      <c r="D829" s="470"/>
      <c r="E829" s="470"/>
      <c r="G829" s="38"/>
      <c r="H829" s="38"/>
      <c r="I829" s="470"/>
      <c r="J829" s="470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</row>
    <row r="830" spans="2:27" ht="19.5" customHeight="1" x14ac:dyDescent="0.25">
      <c r="B830" s="38"/>
      <c r="C830" s="38"/>
      <c r="D830" s="470"/>
      <c r="E830" s="470"/>
      <c r="G830" s="38"/>
      <c r="H830" s="38"/>
      <c r="I830" s="470"/>
      <c r="J830" s="470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</row>
    <row r="831" spans="2:27" ht="19.5" customHeight="1" x14ac:dyDescent="0.25">
      <c r="B831" s="38"/>
      <c r="C831" s="38"/>
      <c r="D831" s="470"/>
      <c r="E831" s="470"/>
      <c r="G831" s="38"/>
      <c r="H831" s="38"/>
      <c r="I831" s="470"/>
      <c r="J831" s="470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</row>
    <row r="832" spans="2:27" ht="19.5" customHeight="1" x14ac:dyDescent="0.25">
      <c r="B832" s="38"/>
      <c r="C832" s="38"/>
      <c r="D832" s="470"/>
      <c r="E832" s="470"/>
      <c r="G832" s="38"/>
      <c r="H832" s="38"/>
      <c r="I832" s="470"/>
      <c r="J832" s="470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</row>
    <row r="833" spans="2:27" ht="19.5" customHeight="1" x14ac:dyDescent="0.25">
      <c r="B833" s="38"/>
      <c r="C833" s="38"/>
      <c r="D833" s="470"/>
      <c r="E833" s="470"/>
      <c r="G833" s="38"/>
      <c r="H833" s="38"/>
      <c r="I833" s="470"/>
      <c r="J833" s="470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</row>
    <row r="834" spans="2:27" ht="19.5" customHeight="1" x14ac:dyDescent="0.25">
      <c r="B834" s="38"/>
      <c r="C834" s="38"/>
      <c r="D834" s="470"/>
      <c r="E834" s="470"/>
      <c r="G834" s="38"/>
      <c r="H834" s="38"/>
      <c r="I834" s="470"/>
      <c r="J834" s="470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</row>
    <row r="835" spans="2:27" ht="19.5" customHeight="1" x14ac:dyDescent="0.25">
      <c r="B835" s="38"/>
      <c r="C835" s="38"/>
      <c r="D835" s="470"/>
      <c r="E835" s="470"/>
      <c r="G835" s="38"/>
      <c r="H835" s="38"/>
      <c r="I835" s="470"/>
      <c r="J835" s="470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</row>
    <row r="836" spans="2:27" ht="19.5" customHeight="1" x14ac:dyDescent="0.25">
      <c r="B836" s="38"/>
      <c r="C836" s="38"/>
      <c r="D836" s="470"/>
      <c r="E836" s="470"/>
      <c r="G836" s="38"/>
      <c r="H836" s="38"/>
      <c r="I836" s="470"/>
      <c r="J836" s="470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</row>
    <row r="837" spans="2:27" ht="19.5" customHeight="1" x14ac:dyDescent="0.25">
      <c r="B837" s="38"/>
      <c r="C837" s="38"/>
      <c r="D837" s="470"/>
      <c r="E837" s="470"/>
      <c r="G837" s="38"/>
      <c r="H837" s="38"/>
      <c r="I837" s="470"/>
      <c r="J837" s="470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</row>
    <row r="838" spans="2:27" ht="19.5" customHeight="1" x14ac:dyDescent="0.25">
      <c r="B838" s="38"/>
      <c r="C838" s="38"/>
      <c r="D838" s="470"/>
      <c r="E838" s="470"/>
      <c r="G838" s="38"/>
      <c r="H838" s="38"/>
      <c r="I838" s="470"/>
      <c r="J838" s="470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</row>
    <row r="839" spans="2:27" ht="19.5" customHeight="1" x14ac:dyDescent="0.25">
      <c r="B839" s="38"/>
      <c r="C839" s="38"/>
      <c r="D839" s="470"/>
      <c r="E839" s="470"/>
      <c r="G839" s="38"/>
      <c r="H839" s="38"/>
      <c r="I839" s="470"/>
      <c r="J839" s="470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</row>
    <row r="840" spans="2:27" ht="19.5" customHeight="1" x14ac:dyDescent="0.25">
      <c r="B840" s="38"/>
      <c r="C840" s="38"/>
      <c r="D840" s="470"/>
      <c r="E840" s="470"/>
      <c r="G840" s="38"/>
      <c r="H840" s="38"/>
      <c r="I840" s="470"/>
      <c r="J840" s="470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</row>
    <row r="841" spans="2:27" ht="19.5" customHeight="1" x14ac:dyDescent="0.25">
      <c r="B841" s="38"/>
      <c r="C841" s="38"/>
      <c r="D841" s="470"/>
      <c r="E841" s="470"/>
      <c r="G841" s="38"/>
      <c r="H841" s="38"/>
      <c r="I841" s="470"/>
      <c r="J841" s="470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</row>
    <row r="842" spans="2:27" ht="19.5" customHeight="1" x14ac:dyDescent="0.25">
      <c r="B842" s="38"/>
      <c r="C842" s="38"/>
      <c r="D842" s="470"/>
      <c r="E842" s="470"/>
      <c r="G842" s="38"/>
      <c r="H842" s="38"/>
      <c r="I842" s="470"/>
      <c r="J842" s="470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</row>
    <row r="843" spans="2:27" ht="19.5" customHeight="1" x14ac:dyDescent="0.25">
      <c r="B843" s="38"/>
      <c r="C843" s="38"/>
      <c r="D843" s="470"/>
      <c r="E843" s="470"/>
      <c r="G843" s="38"/>
      <c r="H843" s="38"/>
      <c r="I843" s="470"/>
      <c r="J843" s="470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</row>
    <row r="844" spans="2:27" ht="19.5" customHeight="1" x14ac:dyDescent="0.25">
      <c r="B844" s="38"/>
      <c r="C844" s="38"/>
      <c r="D844" s="470"/>
      <c r="E844" s="470"/>
      <c r="G844" s="38"/>
      <c r="H844" s="38"/>
      <c r="I844" s="470"/>
      <c r="J844" s="470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</row>
    <row r="845" spans="2:27" ht="19.5" customHeight="1" x14ac:dyDescent="0.25">
      <c r="B845" s="38"/>
      <c r="C845" s="38"/>
      <c r="D845" s="470"/>
      <c r="E845" s="470"/>
      <c r="G845" s="38"/>
      <c r="H845" s="38"/>
      <c r="I845" s="470"/>
      <c r="J845" s="470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</row>
    <row r="846" spans="2:27" ht="19.5" customHeight="1" x14ac:dyDescent="0.25">
      <c r="B846" s="38"/>
      <c r="C846" s="38"/>
      <c r="D846" s="470"/>
      <c r="E846" s="470"/>
      <c r="G846" s="38"/>
      <c r="H846" s="38"/>
      <c r="I846" s="470"/>
      <c r="J846" s="470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</row>
    <row r="847" spans="2:27" ht="19.5" customHeight="1" x14ac:dyDescent="0.25">
      <c r="B847" s="38"/>
      <c r="C847" s="38"/>
      <c r="D847" s="470"/>
      <c r="E847" s="470"/>
      <c r="G847" s="38"/>
      <c r="H847" s="38"/>
      <c r="I847" s="470"/>
      <c r="J847" s="470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</row>
    <row r="848" spans="2:27" ht="19.5" customHeight="1" x14ac:dyDescent="0.25">
      <c r="B848" s="38"/>
      <c r="C848" s="38"/>
      <c r="D848" s="470"/>
      <c r="E848" s="470"/>
      <c r="G848" s="38"/>
      <c r="H848" s="38"/>
      <c r="I848" s="470"/>
      <c r="J848" s="470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</row>
    <row r="849" spans="2:27" ht="19.5" customHeight="1" x14ac:dyDescent="0.25">
      <c r="B849" s="38"/>
      <c r="C849" s="38"/>
      <c r="D849" s="470"/>
      <c r="E849" s="470"/>
      <c r="G849" s="38"/>
      <c r="H849" s="38"/>
      <c r="I849" s="470"/>
      <c r="J849" s="470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</row>
    <row r="850" spans="2:27" ht="19.5" customHeight="1" x14ac:dyDescent="0.25">
      <c r="B850" s="38"/>
      <c r="C850" s="38"/>
      <c r="D850" s="470"/>
      <c r="E850" s="470"/>
      <c r="G850" s="38"/>
      <c r="H850" s="38"/>
      <c r="I850" s="470"/>
      <c r="J850" s="470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</row>
    <row r="851" spans="2:27" ht="19.5" customHeight="1" x14ac:dyDescent="0.25">
      <c r="B851" s="38"/>
      <c r="C851" s="38"/>
      <c r="D851" s="470"/>
      <c r="E851" s="470"/>
      <c r="G851" s="38"/>
      <c r="H851" s="38"/>
      <c r="I851" s="470"/>
      <c r="J851" s="470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</row>
    <row r="852" spans="2:27" ht="19.5" customHeight="1" x14ac:dyDescent="0.25">
      <c r="B852" s="38"/>
      <c r="C852" s="38"/>
      <c r="D852" s="470"/>
      <c r="E852" s="470"/>
      <c r="G852" s="38"/>
      <c r="H852" s="38"/>
      <c r="I852" s="470"/>
      <c r="J852" s="470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</row>
    <row r="853" spans="2:27" ht="19.5" customHeight="1" x14ac:dyDescent="0.25">
      <c r="B853" s="38"/>
      <c r="C853" s="38"/>
      <c r="D853" s="470"/>
      <c r="E853" s="470"/>
      <c r="G853" s="38"/>
      <c r="H853" s="38"/>
      <c r="I853" s="470"/>
      <c r="J853" s="470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</row>
    <row r="854" spans="2:27" ht="19.5" customHeight="1" x14ac:dyDescent="0.25">
      <c r="B854" s="38"/>
      <c r="C854" s="38"/>
      <c r="D854" s="470"/>
      <c r="E854" s="470"/>
      <c r="G854" s="38"/>
      <c r="H854" s="38"/>
      <c r="I854" s="470"/>
      <c r="J854" s="470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</row>
    <row r="855" spans="2:27" ht="19.5" customHeight="1" x14ac:dyDescent="0.25">
      <c r="B855" s="38"/>
      <c r="C855" s="38"/>
      <c r="D855" s="470"/>
      <c r="E855" s="470"/>
      <c r="G855" s="38"/>
      <c r="H855" s="38"/>
      <c r="I855" s="470"/>
      <c r="J855" s="470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</row>
    <row r="856" spans="2:27" ht="19.5" customHeight="1" x14ac:dyDescent="0.25">
      <c r="B856" s="38"/>
      <c r="C856" s="38"/>
      <c r="D856" s="470"/>
      <c r="E856" s="470"/>
      <c r="G856" s="38"/>
      <c r="H856" s="38"/>
      <c r="I856" s="470"/>
      <c r="J856" s="470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</row>
    <row r="857" spans="2:27" ht="19.5" customHeight="1" x14ac:dyDescent="0.25">
      <c r="B857" s="38"/>
      <c r="C857" s="38"/>
      <c r="D857" s="470"/>
      <c r="E857" s="470"/>
      <c r="G857" s="38"/>
      <c r="H857" s="38"/>
      <c r="I857" s="470"/>
      <c r="J857" s="470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</row>
    <row r="858" spans="2:27" ht="19.5" customHeight="1" x14ac:dyDescent="0.25">
      <c r="B858" s="38"/>
      <c r="C858" s="38"/>
      <c r="D858" s="470"/>
      <c r="E858" s="470"/>
      <c r="G858" s="38"/>
      <c r="H858" s="38"/>
      <c r="I858" s="470"/>
      <c r="J858" s="470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</row>
    <row r="859" spans="2:27" ht="19.5" customHeight="1" x14ac:dyDescent="0.25">
      <c r="B859" s="38"/>
      <c r="C859" s="38"/>
      <c r="D859" s="470"/>
      <c r="E859" s="470"/>
      <c r="G859" s="38"/>
      <c r="H859" s="38"/>
      <c r="I859" s="470"/>
      <c r="J859" s="470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</row>
    <row r="860" spans="2:27" ht="19.5" customHeight="1" x14ac:dyDescent="0.25">
      <c r="B860" s="38"/>
      <c r="C860" s="38"/>
      <c r="D860" s="470"/>
      <c r="E860" s="470"/>
      <c r="G860" s="38"/>
      <c r="H860" s="38"/>
      <c r="I860" s="470"/>
      <c r="J860" s="470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</row>
    <row r="861" spans="2:27" ht="19.5" customHeight="1" x14ac:dyDescent="0.25">
      <c r="B861" s="38"/>
      <c r="C861" s="38"/>
      <c r="D861" s="470"/>
      <c r="E861" s="470"/>
      <c r="G861" s="38"/>
      <c r="H861" s="38"/>
      <c r="I861" s="470"/>
      <c r="J861" s="470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</row>
    <row r="862" spans="2:27" ht="19.5" customHeight="1" x14ac:dyDescent="0.25">
      <c r="B862" s="38"/>
      <c r="C862" s="38"/>
      <c r="D862" s="470"/>
      <c r="E862" s="470"/>
      <c r="G862" s="38"/>
      <c r="H862" s="38"/>
      <c r="I862" s="470"/>
      <c r="J862" s="470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</row>
    <row r="863" spans="2:27" ht="19.5" customHeight="1" x14ac:dyDescent="0.25">
      <c r="B863" s="38"/>
      <c r="C863" s="38"/>
      <c r="D863" s="470"/>
      <c r="E863" s="470"/>
      <c r="G863" s="38"/>
      <c r="H863" s="38"/>
      <c r="I863" s="470"/>
      <c r="J863" s="470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</row>
    <row r="864" spans="2:27" ht="19.5" customHeight="1" x14ac:dyDescent="0.25">
      <c r="B864" s="38"/>
      <c r="C864" s="38"/>
      <c r="D864" s="470"/>
      <c r="E864" s="470"/>
      <c r="G864" s="38"/>
      <c r="H864" s="38"/>
      <c r="I864" s="470"/>
      <c r="J864" s="470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</row>
    <row r="865" spans="2:27" ht="19.5" customHeight="1" x14ac:dyDescent="0.25">
      <c r="B865" s="38"/>
      <c r="C865" s="38"/>
      <c r="D865" s="470"/>
      <c r="E865" s="470"/>
      <c r="G865" s="38"/>
      <c r="H865" s="38"/>
      <c r="I865" s="470"/>
      <c r="J865" s="470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</row>
    <row r="866" spans="2:27" ht="19.5" customHeight="1" x14ac:dyDescent="0.25">
      <c r="B866" s="38"/>
      <c r="C866" s="38"/>
      <c r="D866" s="470"/>
      <c r="E866" s="470"/>
      <c r="G866" s="38"/>
      <c r="H866" s="38"/>
      <c r="I866" s="470"/>
      <c r="J866" s="470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</row>
    <row r="867" spans="2:27" ht="19.5" customHeight="1" x14ac:dyDescent="0.25">
      <c r="B867" s="38"/>
      <c r="C867" s="38"/>
      <c r="D867" s="470"/>
      <c r="E867" s="470"/>
      <c r="G867" s="38"/>
      <c r="H867" s="38"/>
      <c r="I867" s="470"/>
      <c r="J867" s="470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</row>
    <row r="868" spans="2:27" ht="19.5" customHeight="1" x14ac:dyDescent="0.25">
      <c r="B868" s="38"/>
      <c r="C868" s="38"/>
      <c r="D868" s="470"/>
      <c r="E868" s="470"/>
      <c r="G868" s="38"/>
      <c r="H868" s="38"/>
      <c r="I868" s="470"/>
      <c r="J868" s="470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</row>
    <row r="869" spans="2:27" ht="19.5" customHeight="1" x14ac:dyDescent="0.25">
      <c r="B869" s="38"/>
      <c r="C869" s="38"/>
      <c r="D869" s="470"/>
      <c r="E869" s="470"/>
      <c r="G869" s="38"/>
      <c r="H869" s="38"/>
      <c r="I869" s="470"/>
      <c r="J869" s="470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</row>
    <row r="870" spans="2:27" ht="19.5" customHeight="1" x14ac:dyDescent="0.25">
      <c r="B870" s="38"/>
      <c r="C870" s="38"/>
      <c r="D870" s="470"/>
      <c r="E870" s="470"/>
      <c r="G870" s="38"/>
      <c r="H870" s="38"/>
      <c r="I870" s="470"/>
      <c r="J870" s="470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</row>
    <row r="871" spans="2:27" ht="19.5" customHeight="1" x14ac:dyDescent="0.25">
      <c r="B871" s="38"/>
      <c r="C871" s="38"/>
      <c r="D871" s="470"/>
      <c r="E871" s="470"/>
      <c r="G871" s="38"/>
      <c r="H871" s="38"/>
      <c r="I871" s="470"/>
      <c r="J871" s="470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</row>
    <row r="872" spans="2:27" ht="19.5" customHeight="1" x14ac:dyDescent="0.25">
      <c r="B872" s="38"/>
      <c r="C872" s="38"/>
      <c r="D872" s="470"/>
      <c r="E872" s="470"/>
      <c r="G872" s="38"/>
      <c r="H872" s="38"/>
      <c r="I872" s="470"/>
      <c r="J872" s="470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</row>
    <row r="873" spans="2:27" ht="19.5" customHeight="1" x14ac:dyDescent="0.25">
      <c r="B873" s="38"/>
      <c r="C873" s="38"/>
      <c r="D873" s="470"/>
      <c r="E873" s="470"/>
      <c r="G873" s="38"/>
      <c r="H873" s="38"/>
      <c r="I873" s="470"/>
      <c r="J873" s="470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</row>
    <row r="874" spans="2:27" ht="19.5" customHeight="1" x14ac:dyDescent="0.25">
      <c r="B874" s="38"/>
      <c r="C874" s="38"/>
      <c r="D874" s="470"/>
      <c r="E874" s="470"/>
      <c r="G874" s="38"/>
      <c r="H874" s="38"/>
      <c r="I874" s="470"/>
      <c r="J874" s="470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</row>
    <row r="875" spans="2:27" ht="19.5" customHeight="1" x14ac:dyDescent="0.25">
      <c r="B875" s="38"/>
      <c r="C875" s="38"/>
      <c r="D875" s="470"/>
      <c r="E875" s="470"/>
      <c r="G875" s="38"/>
      <c r="H875" s="38"/>
      <c r="I875" s="470"/>
      <c r="J875" s="470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</row>
    <row r="876" spans="2:27" ht="19.5" customHeight="1" x14ac:dyDescent="0.25">
      <c r="B876" s="38"/>
      <c r="C876" s="38"/>
      <c r="D876" s="470"/>
      <c r="E876" s="470"/>
      <c r="G876" s="38"/>
      <c r="H876" s="38"/>
      <c r="I876" s="470"/>
      <c r="J876" s="470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</row>
    <row r="877" spans="2:27" ht="19.5" customHeight="1" x14ac:dyDescent="0.25">
      <c r="B877" s="38"/>
      <c r="C877" s="38"/>
      <c r="D877" s="470"/>
      <c r="E877" s="470"/>
      <c r="G877" s="38"/>
      <c r="H877" s="38"/>
      <c r="I877" s="470"/>
      <c r="J877" s="470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  <c r="AA877" s="38"/>
    </row>
    <row r="878" spans="2:27" ht="19.5" customHeight="1" x14ac:dyDescent="0.25">
      <c r="B878" s="38"/>
      <c r="C878" s="38"/>
      <c r="D878" s="470"/>
      <c r="E878" s="470"/>
      <c r="G878" s="38"/>
      <c r="H878" s="38"/>
      <c r="I878" s="470"/>
      <c r="J878" s="470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38"/>
    </row>
    <row r="879" spans="2:27" ht="19.5" customHeight="1" x14ac:dyDescent="0.25">
      <c r="B879" s="38"/>
      <c r="C879" s="38"/>
      <c r="D879" s="470"/>
      <c r="E879" s="470"/>
      <c r="G879" s="38"/>
      <c r="H879" s="38"/>
      <c r="I879" s="470"/>
      <c r="J879" s="470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  <c r="AA879" s="38"/>
    </row>
    <row r="880" spans="2:27" ht="19.5" customHeight="1" x14ac:dyDescent="0.25">
      <c r="B880" s="38"/>
      <c r="C880" s="38"/>
      <c r="D880" s="470"/>
      <c r="E880" s="470"/>
      <c r="G880" s="38"/>
      <c r="H880" s="38"/>
      <c r="I880" s="470"/>
      <c r="J880" s="470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  <c r="AA880" s="38"/>
    </row>
    <row r="881" spans="2:27" ht="19.5" customHeight="1" x14ac:dyDescent="0.25">
      <c r="B881" s="38"/>
      <c r="C881" s="38"/>
      <c r="D881" s="470"/>
      <c r="E881" s="470"/>
      <c r="G881" s="38"/>
      <c r="H881" s="38"/>
      <c r="I881" s="470"/>
      <c r="J881" s="470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  <c r="AA881" s="38"/>
    </row>
    <row r="882" spans="2:27" ht="19.5" customHeight="1" x14ac:dyDescent="0.25">
      <c r="B882" s="38"/>
      <c r="C882" s="38"/>
      <c r="D882" s="470"/>
      <c r="E882" s="470"/>
      <c r="G882" s="38"/>
      <c r="H882" s="38"/>
      <c r="I882" s="470"/>
      <c r="J882" s="470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  <c r="AA882" s="38"/>
    </row>
    <row r="883" spans="2:27" ht="19.5" customHeight="1" x14ac:dyDescent="0.25">
      <c r="B883" s="38"/>
      <c r="C883" s="38"/>
      <c r="D883" s="470"/>
      <c r="E883" s="470"/>
      <c r="G883" s="38"/>
      <c r="H883" s="38"/>
      <c r="I883" s="470"/>
      <c r="J883" s="470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  <c r="AA883" s="38"/>
    </row>
    <row r="884" spans="2:27" ht="19.5" customHeight="1" x14ac:dyDescent="0.25">
      <c r="B884" s="38"/>
      <c r="C884" s="38"/>
      <c r="D884" s="470"/>
      <c r="E884" s="470"/>
      <c r="G884" s="38"/>
      <c r="H884" s="38"/>
      <c r="I884" s="470"/>
      <c r="J884" s="470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  <c r="AA884" s="38"/>
    </row>
    <row r="885" spans="2:27" ht="19.5" customHeight="1" x14ac:dyDescent="0.25">
      <c r="B885" s="38"/>
      <c r="C885" s="38"/>
      <c r="D885" s="470"/>
      <c r="E885" s="470"/>
      <c r="G885" s="38"/>
      <c r="H885" s="38"/>
      <c r="I885" s="470"/>
      <c r="J885" s="470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  <c r="AA885" s="38"/>
    </row>
    <row r="886" spans="2:27" ht="19.5" customHeight="1" x14ac:dyDescent="0.25">
      <c r="B886" s="38"/>
      <c r="C886" s="38"/>
      <c r="D886" s="470"/>
      <c r="E886" s="470"/>
      <c r="G886" s="38"/>
      <c r="H886" s="38"/>
      <c r="I886" s="470"/>
      <c r="J886" s="470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  <c r="AA886" s="38"/>
    </row>
    <row r="887" spans="2:27" ht="19.5" customHeight="1" x14ac:dyDescent="0.25">
      <c r="B887" s="38"/>
      <c r="C887" s="38"/>
      <c r="D887" s="470"/>
      <c r="E887" s="470"/>
      <c r="G887" s="38"/>
      <c r="H887" s="38"/>
      <c r="I887" s="470"/>
      <c r="J887" s="470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  <c r="AA887" s="38"/>
    </row>
    <row r="888" spans="2:27" ht="19.5" customHeight="1" x14ac:dyDescent="0.25">
      <c r="B888" s="38"/>
      <c r="C888" s="38"/>
      <c r="D888" s="470"/>
      <c r="E888" s="470"/>
      <c r="G888" s="38"/>
      <c r="H888" s="38"/>
      <c r="I888" s="470"/>
      <c r="J888" s="470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  <c r="AA888" s="38"/>
    </row>
    <row r="889" spans="2:27" ht="19.5" customHeight="1" x14ac:dyDescent="0.25">
      <c r="B889" s="38"/>
      <c r="C889" s="38"/>
      <c r="D889" s="470"/>
      <c r="E889" s="470"/>
      <c r="G889" s="38"/>
      <c r="H889" s="38"/>
      <c r="I889" s="470"/>
      <c r="J889" s="470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  <c r="AA889" s="38"/>
    </row>
    <row r="890" spans="2:27" ht="19.5" customHeight="1" x14ac:dyDescent="0.25">
      <c r="B890" s="38"/>
      <c r="C890" s="38"/>
      <c r="D890" s="470"/>
      <c r="E890" s="470"/>
      <c r="G890" s="38"/>
      <c r="H890" s="38"/>
      <c r="I890" s="470"/>
      <c r="J890" s="470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  <c r="AA890" s="38"/>
    </row>
    <row r="891" spans="2:27" ht="19.5" customHeight="1" x14ac:dyDescent="0.25">
      <c r="B891" s="38"/>
      <c r="C891" s="38"/>
      <c r="D891" s="470"/>
      <c r="E891" s="470"/>
      <c r="G891" s="38"/>
      <c r="H891" s="38"/>
      <c r="I891" s="470"/>
      <c r="J891" s="470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  <c r="AA891" s="38"/>
    </row>
    <row r="892" spans="2:27" ht="19.5" customHeight="1" x14ac:dyDescent="0.25">
      <c r="B892" s="38"/>
      <c r="C892" s="38"/>
      <c r="D892" s="470"/>
      <c r="E892" s="470"/>
      <c r="G892" s="38"/>
      <c r="H892" s="38"/>
      <c r="I892" s="470"/>
      <c r="J892" s="470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  <c r="AA892" s="38"/>
    </row>
    <row r="893" spans="2:27" ht="19.5" customHeight="1" x14ac:dyDescent="0.25">
      <c r="B893" s="38"/>
      <c r="C893" s="38"/>
      <c r="D893" s="470"/>
      <c r="E893" s="470"/>
      <c r="G893" s="38"/>
      <c r="H893" s="38"/>
      <c r="I893" s="470"/>
      <c r="J893" s="470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</row>
    <row r="894" spans="2:27" ht="19.5" customHeight="1" x14ac:dyDescent="0.25">
      <c r="B894" s="38"/>
      <c r="C894" s="38"/>
      <c r="D894" s="470"/>
      <c r="E894" s="470"/>
      <c r="G894" s="38"/>
      <c r="H894" s="38"/>
      <c r="I894" s="470"/>
      <c r="J894" s="470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  <c r="AA894" s="38"/>
    </row>
    <row r="895" spans="2:27" ht="19.5" customHeight="1" x14ac:dyDescent="0.25">
      <c r="B895" s="38"/>
      <c r="C895" s="38"/>
      <c r="D895" s="470"/>
      <c r="E895" s="470"/>
      <c r="G895" s="38"/>
      <c r="H895" s="38"/>
      <c r="I895" s="470"/>
      <c r="J895" s="470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  <c r="AA895" s="38"/>
    </row>
    <row r="896" spans="2:27" ht="19.5" customHeight="1" x14ac:dyDescent="0.25">
      <c r="B896" s="38"/>
      <c r="C896" s="38"/>
      <c r="D896" s="470"/>
      <c r="E896" s="470"/>
      <c r="G896" s="38"/>
      <c r="H896" s="38"/>
      <c r="I896" s="470"/>
      <c r="J896" s="470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  <c r="AA896" s="38"/>
    </row>
    <row r="897" spans="2:27" ht="19.5" customHeight="1" x14ac:dyDescent="0.25">
      <c r="B897" s="38"/>
      <c r="C897" s="38"/>
      <c r="D897" s="470"/>
      <c r="E897" s="470"/>
      <c r="G897" s="38"/>
      <c r="H897" s="38"/>
      <c r="I897" s="470"/>
      <c r="J897" s="470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  <c r="AA897" s="38"/>
    </row>
    <row r="898" spans="2:27" ht="19.5" customHeight="1" x14ac:dyDescent="0.25">
      <c r="B898" s="38"/>
      <c r="C898" s="38"/>
      <c r="D898" s="470"/>
      <c r="E898" s="470"/>
      <c r="G898" s="38"/>
      <c r="H898" s="38"/>
      <c r="I898" s="470"/>
      <c r="J898" s="470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  <c r="AA898" s="38"/>
    </row>
    <row r="899" spans="2:27" ht="19.5" customHeight="1" x14ac:dyDescent="0.25">
      <c r="B899" s="38"/>
      <c r="C899" s="38"/>
      <c r="D899" s="470"/>
      <c r="E899" s="470"/>
      <c r="G899" s="38"/>
      <c r="H899" s="38"/>
      <c r="I899" s="470"/>
      <c r="J899" s="470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  <c r="AA899" s="38"/>
    </row>
    <row r="900" spans="2:27" ht="19.5" customHeight="1" x14ac:dyDescent="0.25">
      <c r="B900" s="38"/>
      <c r="C900" s="38"/>
      <c r="D900" s="470"/>
      <c r="E900" s="470"/>
      <c r="G900" s="38"/>
      <c r="H900" s="38"/>
      <c r="I900" s="470"/>
      <c r="J900" s="470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  <c r="AA900" s="38"/>
    </row>
    <row r="901" spans="2:27" ht="19.5" customHeight="1" x14ac:dyDescent="0.25">
      <c r="B901" s="38"/>
      <c r="C901" s="38"/>
      <c r="D901" s="470"/>
      <c r="E901" s="470"/>
      <c r="G901" s="38"/>
      <c r="H901" s="38"/>
      <c r="I901" s="470"/>
      <c r="J901" s="470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  <c r="AA901" s="38"/>
    </row>
    <row r="902" spans="2:27" ht="19.5" customHeight="1" x14ac:dyDescent="0.25">
      <c r="B902" s="38"/>
      <c r="C902" s="38"/>
      <c r="D902" s="470"/>
      <c r="E902" s="470"/>
      <c r="G902" s="38"/>
      <c r="H902" s="38"/>
      <c r="I902" s="470"/>
      <c r="J902" s="470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  <c r="AA902" s="38"/>
    </row>
    <row r="903" spans="2:27" ht="19.5" customHeight="1" x14ac:dyDescent="0.25">
      <c r="B903" s="38"/>
      <c r="C903" s="38"/>
      <c r="D903" s="470"/>
      <c r="E903" s="470"/>
      <c r="G903" s="38"/>
      <c r="H903" s="38"/>
      <c r="I903" s="470"/>
      <c r="J903" s="470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  <c r="AA903" s="38"/>
    </row>
    <row r="904" spans="2:27" ht="19.5" customHeight="1" x14ac:dyDescent="0.25">
      <c r="B904" s="38"/>
      <c r="C904" s="38"/>
      <c r="D904" s="470"/>
      <c r="E904" s="470"/>
      <c r="G904" s="38"/>
      <c r="H904" s="38"/>
      <c r="I904" s="470"/>
      <c r="J904" s="470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</row>
    <row r="905" spans="2:27" ht="19.5" customHeight="1" x14ac:dyDescent="0.25">
      <c r="B905" s="38"/>
      <c r="C905" s="38"/>
      <c r="D905" s="470"/>
      <c r="E905" s="470"/>
      <c r="G905" s="38"/>
      <c r="H905" s="38"/>
      <c r="I905" s="470"/>
      <c r="J905" s="470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</row>
    <row r="906" spans="2:27" ht="19.5" customHeight="1" x14ac:dyDescent="0.25">
      <c r="B906" s="38"/>
      <c r="C906" s="38"/>
      <c r="D906" s="470"/>
      <c r="E906" s="470"/>
      <c r="G906" s="38"/>
      <c r="H906" s="38"/>
      <c r="I906" s="470"/>
      <c r="J906" s="470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</row>
    <row r="907" spans="2:27" ht="19.5" customHeight="1" x14ac:dyDescent="0.25">
      <c r="B907" s="38"/>
      <c r="C907" s="38"/>
      <c r="D907" s="470"/>
      <c r="E907" s="470"/>
      <c r="G907" s="38"/>
      <c r="H907" s="38"/>
      <c r="I907" s="470"/>
      <c r="J907" s="470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</row>
    <row r="908" spans="2:27" ht="19.5" customHeight="1" x14ac:dyDescent="0.25">
      <c r="B908" s="38"/>
      <c r="C908" s="38"/>
      <c r="D908" s="470"/>
      <c r="E908" s="470"/>
      <c r="G908" s="38"/>
      <c r="H908" s="38"/>
      <c r="I908" s="470"/>
      <c r="J908" s="470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</row>
    <row r="909" spans="2:27" ht="19.5" customHeight="1" x14ac:dyDescent="0.25">
      <c r="B909" s="38"/>
      <c r="C909" s="38"/>
      <c r="D909" s="470"/>
      <c r="E909" s="470"/>
      <c r="G909" s="38"/>
      <c r="H909" s="38"/>
      <c r="I909" s="470"/>
      <c r="J909" s="470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</row>
    <row r="910" spans="2:27" ht="19.5" customHeight="1" x14ac:dyDescent="0.25">
      <c r="B910" s="38"/>
      <c r="C910" s="38"/>
      <c r="D910" s="470"/>
      <c r="E910" s="470"/>
      <c r="G910" s="38"/>
      <c r="H910" s="38"/>
      <c r="I910" s="470"/>
      <c r="J910" s="470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</row>
    <row r="911" spans="2:27" ht="19.5" customHeight="1" x14ac:dyDescent="0.25">
      <c r="B911" s="38"/>
      <c r="C911" s="38"/>
      <c r="D911" s="470"/>
      <c r="E911" s="470"/>
      <c r="G911" s="38"/>
      <c r="H911" s="38"/>
      <c r="I911" s="470"/>
      <c r="J911" s="470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</row>
    <row r="912" spans="2:27" ht="19.5" customHeight="1" x14ac:dyDescent="0.25">
      <c r="B912" s="38"/>
      <c r="C912" s="38"/>
      <c r="D912" s="470"/>
      <c r="E912" s="470"/>
      <c r="G912" s="38"/>
      <c r="H912" s="38"/>
      <c r="I912" s="470"/>
      <c r="J912" s="470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</row>
    <row r="913" spans="2:27" ht="19.5" customHeight="1" x14ac:dyDescent="0.25">
      <c r="B913" s="38"/>
      <c r="C913" s="38"/>
      <c r="D913" s="470"/>
      <c r="E913" s="470"/>
      <c r="G913" s="38"/>
      <c r="H913" s="38"/>
      <c r="I913" s="470"/>
      <c r="J913" s="470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</row>
    <row r="914" spans="2:27" ht="19.5" customHeight="1" x14ac:dyDescent="0.25">
      <c r="B914" s="38"/>
      <c r="C914" s="38"/>
      <c r="D914" s="470"/>
      <c r="E914" s="470"/>
      <c r="G914" s="38"/>
      <c r="H914" s="38"/>
      <c r="I914" s="470"/>
      <c r="J914" s="470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</row>
    <row r="915" spans="2:27" ht="19.5" customHeight="1" x14ac:dyDescent="0.25">
      <c r="B915" s="38"/>
      <c r="C915" s="38"/>
      <c r="D915" s="470"/>
      <c r="E915" s="470"/>
      <c r="G915" s="38"/>
      <c r="H915" s="38"/>
      <c r="I915" s="470"/>
      <c r="J915" s="470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</row>
    <row r="916" spans="2:27" ht="19.5" customHeight="1" x14ac:dyDescent="0.25">
      <c r="B916" s="38"/>
      <c r="C916" s="38"/>
      <c r="D916" s="470"/>
      <c r="E916" s="470"/>
      <c r="G916" s="38"/>
      <c r="H916" s="38"/>
      <c r="I916" s="470"/>
      <c r="J916" s="470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</row>
    <row r="917" spans="2:27" ht="19.5" customHeight="1" x14ac:dyDescent="0.25">
      <c r="B917" s="38"/>
      <c r="C917" s="38"/>
      <c r="D917" s="470"/>
      <c r="E917" s="470"/>
      <c r="G917" s="38"/>
      <c r="H917" s="38"/>
      <c r="I917" s="470"/>
      <c r="J917" s="470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</row>
    <row r="918" spans="2:27" ht="19.5" customHeight="1" x14ac:dyDescent="0.25">
      <c r="B918" s="38"/>
      <c r="C918" s="38"/>
      <c r="D918" s="470"/>
      <c r="E918" s="470"/>
      <c r="G918" s="38"/>
      <c r="H918" s="38"/>
      <c r="I918" s="470"/>
      <c r="J918" s="470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</row>
    <row r="919" spans="2:27" ht="19.5" customHeight="1" x14ac:dyDescent="0.25">
      <c r="B919" s="38"/>
      <c r="C919" s="38"/>
      <c r="D919" s="470"/>
      <c r="E919" s="470"/>
      <c r="G919" s="38"/>
      <c r="H919" s="38"/>
      <c r="I919" s="470"/>
      <c r="J919" s="470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</row>
    <row r="920" spans="2:27" ht="19.5" customHeight="1" x14ac:dyDescent="0.25">
      <c r="B920" s="38"/>
      <c r="C920" s="38"/>
      <c r="D920" s="470"/>
      <c r="E920" s="470"/>
      <c r="G920" s="38"/>
      <c r="H920" s="38"/>
      <c r="I920" s="470"/>
      <c r="J920" s="470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</row>
    <row r="921" spans="2:27" ht="19.5" customHeight="1" x14ac:dyDescent="0.25">
      <c r="B921" s="38"/>
      <c r="C921" s="38"/>
      <c r="D921" s="470"/>
      <c r="E921" s="470"/>
      <c r="G921" s="38"/>
      <c r="H921" s="38"/>
      <c r="I921" s="470"/>
      <c r="J921" s="470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</row>
    <row r="922" spans="2:27" ht="19.5" customHeight="1" x14ac:dyDescent="0.25">
      <c r="B922" s="38"/>
      <c r="C922" s="38"/>
      <c r="D922" s="470"/>
      <c r="E922" s="470"/>
      <c r="G922" s="38"/>
      <c r="H922" s="38"/>
      <c r="I922" s="470"/>
      <c r="J922" s="470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</row>
    <row r="923" spans="2:27" ht="19.5" customHeight="1" x14ac:dyDescent="0.25">
      <c r="B923" s="38"/>
      <c r="C923" s="38"/>
      <c r="D923" s="470"/>
      <c r="E923" s="470"/>
      <c r="G923" s="38"/>
      <c r="H923" s="38"/>
      <c r="I923" s="470"/>
      <c r="J923" s="470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</row>
    <row r="924" spans="2:27" ht="19.5" customHeight="1" x14ac:dyDescent="0.25">
      <c r="B924" s="38"/>
      <c r="C924" s="38"/>
      <c r="D924" s="470"/>
      <c r="E924" s="470"/>
      <c r="G924" s="38"/>
      <c r="H924" s="38"/>
      <c r="I924" s="470"/>
      <c r="J924" s="470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</row>
    <row r="925" spans="2:27" ht="19.5" customHeight="1" x14ac:dyDescent="0.25">
      <c r="B925" s="38"/>
      <c r="C925" s="38"/>
      <c r="D925" s="470"/>
      <c r="E925" s="470"/>
      <c r="G925" s="38"/>
      <c r="H925" s="38"/>
      <c r="I925" s="470"/>
      <c r="J925" s="470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</row>
    <row r="926" spans="2:27" ht="19.5" customHeight="1" x14ac:dyDescent="0.25">
      <c r="B926" s="38"/>
      <c r="C926" s="38"/>
      <c r="D926" s="470"/>
      <c r="E926" s="470"/>
      <c r="G926" s="38"/>
      <c r="H926" s="38"/>
      <c r="I926" s="470"/>
      <c r="J926" s="470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</row>
    <row r="927" spans="2:27" ht="19.5" customHeight="1" x14ac:dyDescent="0.25">
      <c r="B927" s="38"/>
      <c r="C927" s="38"/>
      <c r="D927" s="470"/>
      <c r="E927" s="470"/>
      <c r="G927" s="38"/>
      <c r="H927" s="38"/>
      <c r="I927" s="470"/>
      <c r="J927" s="470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</row>
    <row r="928" spans="2:27" ht="19.5" customHeight="1" x14ac:dyDescent="0.25">
      <c r="B928" s="38"/>
      <c r="C928" s="38"/>
      <c r="D928" s="470"/>
      <c r="E928" s="470"/>
      <c r="G928" s="38"/>
      <c r="H928" s="38"/>
      <c r="I928" s="470"/>
      <c r="J928" s="470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</row>
    <row r="929" spans="2:27" ht="19.5" customHeight="1" x14ac:dyDescent="0.25">
      <c r="B929" s="38"/>
      <c r="C929" s="38"/>
      <c r="D929" s="470"/>
      <c r="E929" s="470"/>
      <c r="G929" s="38"/>
      <c r="H929" s="38"/>
      <c r="I929" s="470"/>
      <c r="J929" s="470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</row>
    <row r="930" spans="2:27" ht="19.5" customHeight="1" x14ac:dyDescent="0.25">
      <c r="B930" s="38"/>
      <c r="C930" s="38"/>
      <c r="D930" s="470"/>
      <c r="E930" s="470"/>
      <c r="G930" s="38"/>
      <c r="H930" s="38"/>
      <c r="I930" s="470"/>
      <c r="J930" s="470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</row>
    <row r="931" spans="2:27" ht="19.5" customHeight="1" x14ac:dyDescent="0.25">
      <c r="B931" s="38"/>
      <c r="C931" s="38"/>
      <c r="D931" s="470"/>
      <c r="E931" s="470"/>
      <c r="G931" s="38"/>
      <c r="H931" s="38"/>
      <c r="I931" s="470"/>
      <c r="J931" s="470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</row>
    <row r="932" spans="2:27" ht="19.5" customHeight="1" x14ac:dyDescent="0.25">
      <c r="B932" s="38"/>
      <c r="C932" s="38"/>
      <c r="D932" s="470"/>
      <c r="E932" s="470"/>
      <c r="G932" s="38"/>
      <c r="H932" s="38"/>
      <c r="I932" s="470"/>
      <c r="J932" s="470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</row>
    <row r="933" spans="2:27" ht="19.5" customHeight="1" x14ac:dyDescent="0.25">
      <c r="B933" s="38"/>
      <c r="C933" s="38"/>
      <c r="D933" s="470"/>
      <c r="E933" s="470"/>
      <c r="G933" s="38"/>
      <c r="H933" s="38"/>
      <c r="I933" s="470"/>
      <c r="J933" s="470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</row>
    <row r="934" spans="2:27" ht="19.5" customHeight="1" x14ac:dyDescent="0.25">
      <c r="B934" s="38"/>
      <c r="C934" s="38"/>
      <c r="D934" s="470"/>
      <c r="E934" s="470"/>
      <c r="G934" s="38"/>
      <c r="H934" s="38"/>
      <c r="I934" s="470"/>
      <c r="J934" s="470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</row>
    <row r="935" spans="2:27" ht="19.5" customHeight="1" x14ac:dyDescent="0.25">
      <c r="B935" s="38"/>
      <c r="C935" s="38"/>
      <c r="D935" s="470"/>
      <c r="E935" s="470"/>
      <c r="G935" s="38"/>
      <c r="H935" s="38"/>
      <c r="I935" s="470"/>
      <c r="J935" s="470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</row>
    <row r="936" spans="2:27" ht="19.5" customHeight="1" x14ac:dyDescent="0.25">
      <c r="B936" s="38"/>
      <c r="C936" s="38"/>
      <c r="D936" s="470"/>
      <c r="E936" s="470"/>
      <c r="G936" s="38"/>
      <c r="H936" s="38"/>
      <c r="I936" s="470"/>
      <c r="J936" s="470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</row>
    <row r="937" spans="2:27" ht="19.5" customHeight="1" x14ac:dyDescent="0.25">
      <c r="B937" s="38"/>
      <c r="C937" s="38"/>
      <c r="D937" s="470"/>
      <c r="E937" s="470"/>
      <c r="G937" s="38"/>
      <c r="H937" s="38"/>
      <c r="I937" s="470"/>
      <c r="J937" s="470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</row>
    <row r="938" spans="2:27" ht="19.5" customHeight="1" x14ac:dyDescent="0.25">
      <c r="B938" s="38"/>
      <c r="C938" s="38"/>
      <c r="D938" s="470"/>
      <c r="E938" s="470"/>
      <c r="G938" s="38"/>
      <c r="H938" s="38"/>
      <c r="I938" s="470"/>
      <c r="J938" s="470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</row>
    <row r="939" spans="2:27" ht="19.5" customHeight="1" x14ac:dyDescent="0.25">
      <c r="B939" s="38"/>
      <c r="C939" s="38"/>
      <c r="D939" s="470"/>
      <c r="E939" s="470"/>
      <c r="G939" s="38"/>
      <c r="H939" s="38"/>
      <c r="I939" s="470"/>
      <c r="J939" s="470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</row>
    <row r="940" spans="2:27" ht="19.5" customHeight="1" x14ac:dyDescent="0.25">
      <c r="B940" s="38"/>
      <c r="C940" s="38"/>
      <c r="D940" s="470"/>
      <c r="E940" s="470"/>
      <c r="G940" s="38"/>
      <c r="H940" s="38"/>
      <c r="I940" s="470"/>
      <c r="J940" s="470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</row>
    <row r="941" spans="2:27" ht="19.5" customHeight="1" x14ac:dyDescent="0.25">
      <c r="B941" s="38"/>
      <c r="C941" s="38"/>
      <c r="D941" s="470"/>
      <c r="E941" s="470"/>
      <c r="G941" s="38"/>
      <c r="H941" s="38"/>
      <c r="I941" s="470"/>
      <c r="J941" s="470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</row>
    <row r="942" spans="2:27" ht="19.5" customHeight="1" x14ac:dyDescent="0.25">
      <c r="B942" s="38"/>
      <c r="C942" s="38"/>
      <c r="D942" s="470"/>
      <c r="E942" s="470"/>
      <c r="G942" s="38"/>
      <c r="H942" s="38"/>
      <c r="I942" s="470"/>
      <c r="J942" s="470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</row>
    <row r="943" spans="2:27" ht="19.5" customHeight="1" x14ac:dyDescent="0.25">
      <c r="B943" s="38"/>
      <c r="C943" s="38"/>
      <c r="D943" s="470"/>
      <c r="E943" s="470"/>
      <c r="G943" s="38"/>
      <c r="H943" s="38"/>
      <c r="I943" s="470"/>
      <c r="J943" s="470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</row>
    <row r="944" spans="2:27" ht="19.5" customHeight="1" x14ac:dyDescent="0.25">
      <c r="B944" s="38"/>
      <c r="C944" s="38"/>
      <c r="D944" s="470"/>
      <c r="E944" s="470"/>
      <c r="G944" s="38"/>
      <c r="H944" s="38"/>
      <c r="I944" s="470"/>
      <c r="J944" s="470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</row>
    <row r="945" spans="2:27" ht="19.5" customHeight="1" x14ac:dyDescent="0.25">
      <c r="B945" s="38"/>
      <c r="C945" s="38"/>
      <c r="D945" s="470"/>
      <c r="E945" s="470"/>
      <c r="G945" s="38"/>
      <c r="H945" s="38"/>
      <c r="I945" s="470"/>
      <c r="J945" s="470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</row>
    <row r="946" spans="2:27" ht="19.5" customHeight="1" x14ac:dyDescent="0.25">
      <c r="B946" s="38"/>
      <c r="C946" s="38"/>
      <c r="D946" s="470"/>
      <c r="E946" s="470"/>
      <c r="G946" s="38"/>
      <c r="H946" s="38"/>
      <c r="I946" s="470"/>
      <c r="J946" s="470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  <c r="AA946" s="38"/>
    </row>
    <row r="947" spans="2:27" ht="19.5" customHeight="1" x14ac:dyDescent="0.25">
      <c r="B947" s="38"/>
      <c r="C947" s="38"/>
      <c r="D947" s="470"/>
      <c r="E947" s="470"/>
      <c r="G947" s="38"/>
      <c r="H947" s="38"/>
      <c r="I947" s="470"/>
      <c r="J947" s="470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</row>
    <row r="948" spans="2:27" ht="19.5" customHeight="1" x14ac:dyDescent="0.25">
      <c r="B948" s="38"/>
      <c r="C948" s="38"/>
      <c r="D948" s="470"/>
      <c r="E948" s="470"/>
      <c r="G948" s="38"/>
      <c r="H948" s="38"/>
      <c r="I948" s="470"/>
      <c r="J948" s="470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</row>
    <row r="949" spans="2:27" ht="19.5" customHeight="1" x14ac:dyDescent="0.25">
      <c r="B949" s="38"/>
      <c r="C949" s="38"/>
      <c r="D949" s="470"/>
      <c r="E949" s="470"/>
      <c r="G949" s="38"/>
      <c r="H949" s="38"/>
      <c r="I949" s="470"/>
      <c r="J949" s="470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</row>
    <row r="950" spans="2:27" ht="19.5" customHeight="1" x14ac:dyDescent="0.25">
      <c r="B950" s="38"/>
      <c r="C950" s="38"/>
      <c r="D950" s="470"/>
      <c r="E950" s="470"/>
      <c r="G950" s="38"/>
      <c r="H950" s="38"/>
      <c r="I950" s="470"/>
      <c r="J950" s="470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</row>
    <row r="951" spans="2:27" ht="19.5" customHeight="1" x14ac:dyDescent="0.25">
      <c r="B951" s="38"/>
      <c r="C951" s="38"/>
      <c r="D951" s="470"/>
      <c r="E951" s="470"/>
      <c r="G951" s="38"/>
      <c r="H951" s="38"/>
      <c r="I951" s="470"/>
      <c r="J951" s="470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  <c r="AA951" s="38"/>
    </row>
    <row r="952" spans="2:27" ht="19.5" customHeight="1" x14ac:dyDescent="0.25">
      <c r="B952" s="38"/>
      <c r="C952" s="38"/>
      <c r="D952" s="470"/>
      <c r="E952" s="470"/>
      <c r="G952" s="38"/>
      <c r="H952" s="38"/>
      <c r="I952" s="470"/>
      <c r="J952" s="470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  <c r="AA952" s="38"/>
    </row>
    <row r="953" spans="2:27" ht="19.5" customHeight="1" x14ac:dyDescent="0.25">
      <c r="B953" s="38"/>
      <c r="C953" s="38"/>
      <c r="D953" s="470"/>
      <c r="E953" s="470"/>
      <c r="G953" s="38"/>
      <c r="H953" s="38"/>
      <c r="I953" s="470"/>
      <c r="J953" s="470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  <c r="AA953" s="38"/>
    </row>
    <row r="954" spans="2:27" ht="19.5" customHeight="1" x14ac:dyDescent="0.25">
      <c r="B954" s="38"/>
      <c r="C954" s="38"/>
      <c r="D954" s="470"/>
      <c r="E954" s="470"/>
      <c r="G954" s="38"/>
      <c r="H954" s="38"/>
      <c r="I954" s="470"/>
      <c r="J954" s="470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  <c r="AA954" s="38"/>
    </row>
    <row r="955" spans="2:27" ht="19.5" customHeight="1" x14ac:dyDescent="0.25">
      <c r="B955" s="38"/>
      <c r="C955" s="38"/>
      <c r="D955" s="470"/>
      <c r="E955" s="470"/>
      <c r="G955" s="38"/>
      <c r="H955" s="38"/>
      <c r="I955" s="470"/>
      <c r="J955" s="470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38"/>
    </row>
    <row r="956" spans="2:27" ht="19.5" customHeight="1" x14ac:dyDescent="0.25">
      <c r="B956" s="38"/>
      <c r="C956" s="38"/>
      <c r="D956" s="470"/>
      <c r="E956" s="470"/>
      <c r="G956" s="38"/>
      <c r="H956" s="38"/>
      <c r="I956" s="470"/>
      <c r="J956" s="470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</row>
    <row r="957" spans="2:27" ht="19.5" customHeight="1" x14ac:dyDescent="0.25">
      <c r="B957" s="38"/>
      <c r="C957" s="38"/>
      <c r="D957" s="470"/>
      <c r="E957" s="470"/>
      <c r="G957" s="38"/>
      <c r="H957" s="38"/>
      <c r="I957" s="470"/>
      <c r="J957" s="470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  <c r="AA957" s="38"/>
    </row>
    <row r="958" spans="2:27" ht="19.5" customHeight="1" x14ac:dyDescent="0.25">
      <c r="B958" s="38"/>
      <c r="C958" s="38"/>
      <c r="D958" s="470"/>
      <c r="E958" s="470"/>
      <c r="G958" s="38"/>
      <c r="H958" s="38"/>
      <c r="I958" s="470"/>
      <c r="J958" s="470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38"/>
    </row>
    <row r="959" spans="2:27" ht="19.5" customHeight="1" x14ac:dyDescent="0.25">
      <c r="B959" s="38"/>
      <c r="C959" s="38"/>
      <c r="D959" s="470"/>
      <c r="E959" s="470"/>
      <c r="G959" s="38"/>
      <c r="H959" s="38"/>
      <c r="I959" s="470"/>
      <c r="J959" s="470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38"/>
    </row>
    <row r="960" spans="2:27" ht="19.5" customHeight="1" x14ac:dyDescent="0.25">
      <c r="B960" s="38"/>
      <c r="C960" s="38"/>
      <c r="D960" s="470"/>
      <c r="E960" s="470"/>
      <c r="G960" s="38"/>
      <c r="H960" s="38"/>
      <c r="I960" s="470"/>
      <c r="J960" s="470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  <c r="AA960" s="38"/>
    </row>
    <row r="961" spans="2:27" ht="19.5" customHeight="1" x14ac:dyDescent="0.25">
      <c r="B961" s="38"/>
      <c r="C961" s="38"/>
      <c r="D961" s="470"/>
      <c r="E961" s="470"/>
      <c r="G961" s="38"/>
      <c r="H961" s="38"/>
      <c r="I961" s="470"/>
      <c r="J961" s="470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38"/>
    </row>
    <row r="962" spans="2:27" ht="19.5" customHeight="1" x14ac:dyDescent="0.25">
      <c r="B962" s="38"/>
      <c r="C962" s="38"/>
      <c r="D962" s="470"/>
      <c r="E962" s="470"/>
      <c r="G962" s="38"/>
      <c r="H962" s="38"/>
      <c r="I962" s="470"/>
      <c r="J962" s="470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  <c r="AA962" s="38"/>
    </row>
    <row r="963" spans="2:27" ht="19.5" customHeight="1" x14ac:dyDescent="0.25">
      <c r="B963" s="38"/>
      <c r="C963" s="38"/>
      <c r="D963" s="470"/>
      <c r="E963" s="470"/>
      <c r="G963" s="38"/>
      <c r="H963" s="38"/>
      <c r="I963" s="470"/>
      <c r="J963" s="470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  <c r="AA963" s="38"/>
    </row>
    <row r="964" spans="2:27" ht="19.5" customHeight="1" x14ac:dyDescent="0.25">
      <c r="B964" s="38"/>
      <c r="C964" s="38"/>
      <c r="D964" s="470"/>
      <c r="E964" s="470"/>
      <c r="G964" s="38"/>
      <c r="H964" s="38"/>
      <c r="I964" s="470"/>
      <c r="J964" s="470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</row>
    <row r="965" spans="2:27" ht="19.5" customHeight="1" x14ac:dyDescent="0.25">
      <c r="B965" s="38"/>
      <c r="C965" s="38"/>
      <c r="D965" s="470"/>
      <c r="E965" s="470"/>
      <c r="G965" s="38"/>
      <c r="H965" s="38"/>
      <c r="I965" s="470"/>
      <c r="J965" s="470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</row>
    <row r="966" spans="2:27" ht="19.5" customHeight="1" x14ac:dyDescent="0.25">
      <c r="B966" s="38"/>
      <c r="C966" s="38"/>
      <c r="D966" s="470"/>
      <c r="E966" s="470"/>
      <c r="G966" s="38"/>
      <c r="H966" s="38"/>
      <c r="I966" s="470"/>
      <c r="J966" s="470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  <c r="AA966" s="38"/>
    </row>
    <row r="967" spans="2:27" ht="19.5" customHeight="1" x14ac:dyDescent="0.25">
      <c r="B967" s="38"/>
      <c r="C967" s="38"/>
      <c r="D967" s="470"/>
      <c r="E967" s="470"/>
      <c r="G967" s="38"/>
      <c r="H967" s="38"/>
      <c r="I967" s="470"/>
      <c r="J967" s="470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38"/>
    </row>
    <row r="968" spans="2:27" ht="19.5" customHeight="1" x14ac:dyDescent="0.25">
      <c r="B968" s="38"/>
      <c r="C968" s="38"/>
      <c r="D968" s="470"/>
      <c r="E968" s="470"/>
      <c r="G968" s="38"/>
      <c r="H968" s="38"/>
      <c r="I968" s="470"/>
      <c r="J968" s="470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  <c r="AA968" s="38"/>
    </row>
    <row r="969" spans="2:27" ht="19.5" customHeight="1" x14ac:dyDescent="0.25">
      <c r="B969" s="38"/>
      <c r="C969" s="38"/>
      <c r="D969" s="470"/>
      <c r="E969" s="470"/>
      <c r="G969" s="38"/>
      <c r="H969" s="38"/>
      <c r="I969" s="470"/>
      <c r="J969" s="470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  <c r="AA969" s="38"/>
    </row>
    <row r="970" spans="2:27" ht="19.5" customHeight="1" x14ac:dyDescent="0.25">
      <c r="B970" s="38"/>
      <c r="C970" s="38"/>
      <c r="D970" s="470"/>
      <c r="E970" s="470"/>
      <c r="G970" s="38"/>
      <c r="H970" s="38"/>
      <c r="I970" s="470"/>
      <c r="J970" s="470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  <c r="AA970" s="38"/>
    </row>
    <row r="971" spans="2:27" ht="19.5" customHeight="1" x14ac:dyDescent="0.25">
      <c r="B971" s="38"/>
      <c r="C971" s="38"/>
      <c r="D971" s="470"/>
      <c r="E971" s="470"/>
      <c r="G971" s="38"/>
      <c r="H971" s="38"/>
      <c r="I971" s="470"/>
      <c r="J971" s="470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  <c r="AA971" s="38"/>
    </row>
    <row r="972" spans="2:27" ht="19.5" customHeight="1" x14ac:dyDescent="0.25">
      <c r="B972" s="38"/>
      <c r="C972" s="38"/>
      <c r="D972" s="470"/>
      <c r="E972" s="470"/>
      <c r="G972" s="38"/>
      <c r="H972" s="38"/>
      <c r="I972" s="470"/>
      <c r="J972" s="470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  <c r="AA972" s="38"/>
    </row>
    <row r="973" spans="2:27" ht="19.5" customHeight="1" x14ac:dyDescent="0.25">
      <c r="B973" s="38"/>
      <c r="C973" s="38"/>
      <c r="D973" s="470"/>
      <c r="E973" s="470"/>
      <c r="G973" s="38"/>
      <c r="H973" s="38"/>
      <c r="I973" s="470"/>
      <c r="J973" s="470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38"/>
    </row>
    <row r="974" spans="2:27" ht="19.5" customHeight="1" x14ac:dyDescent="0.25">
      <c r="B974" s="38"/>
      <c r="C974" s="38"/>
      <c r="D974" s="470"/>
      <c r="E974" s="470"/>
      <c r="G974" s="38"/>
      <c r="H974" s="38"/>
      <c r="I974" s="470"/>
      <c r="J974" s="470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  <c r="AA974" s="38"/>
    </row>
    <row r="975" spans="2:27" ht="19.5" customHeight="1" x14ac:dyDescent="0.25">
      <c r="B975" s="38"/>
      <c r="C975" s="38"/>
      <c r="D975" s="470"/>
      <c r="E975" s="470"/>
      <c r="G975" s="38"/>
      <c r="H975" s="38"/>
      <c r="I975" s="470"/>
      <c r="J975" s="470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  <c r="AA975" s="38"/>
    </row>
    <row r="976" spans="2:27" ht="19.5" customHeight="1" x14ac:dyDescent="0.25">
      <c r="B976" s="38"/>
      <c r="C976" s="38"/>
      <c r="D976" s="470"/>
      <c r="E976" s="470"/>
      <c r="G976" s="38"/>
      <c r="H976" s="38"/>
      <c r="I976" s="470"/>
      <c r="J976" s="470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  <c r="AA976" s="38"/>
    </row>
    <row r="977" spans="2:27" ht="19.5" customHeight="1" x14ac:dyDescent="0.25">
      <c r="B977" s="38"/>
      <c r="C977" s="38"/>
      <c r="D977" s="470"/>
      <c r="E977" s="470"/>
      <c r="G977" s="38"/>
      <c r="H977" s="38"/>
      <c r="I977" s="470"/>
      <c r="J977" s="470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  <c r="AA977" s="38"/>
    </row>
    <row r="978" spans="2:27" ht="19.5" customHeight="1" x14ac:dyDescent="0.25">
      <c r="B978" s="38"/>
      <c r="C978" s="38"/>
      <c r="D978" s="470"/>
      <c r="E978" s="470"/>
      <c r="G978" s="38"/>
      <c r="H978" s="38"/>
      <c r="I978" s="470"/>
      <c r="J978" s="470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  <c r="AA978" s="38"/>
    </row>
    <row r="979" spans="2:27" ht="19.5" customHeight="1" x14ac:dyDescent="0.25">
      <c r="B979" s="38"/>
      <c r="C979" s="38"/>
      <c r="D979" s="470"/>
      <c r="E979" s="470"/>
      <c r="G979" s="38"/>
      <c r="H979" s="38"/>
      <c r="I979" s="470"/>
      <c r="J979" s="470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  <c r="AA979" s="38"/>
    </row>
    <row r="980" spans="2:27" ht="19.5" customHeight="1" x14ac:dyDescent="0.25">
      <c r="B980" s="38"/>
      <c r="C980" s="38"/>
      <c r="D980" s="470"/>
      <c r="E980" s="470"/>
      <c r="G980" s="38"/>
      <c r="H980" s="38"/>
      <c r="I980" s="470"/>
      <c r="J980" s="470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  <c r="AA980" s="38"/>
    </row>
    <row r="981" spans="2:27" ht="19.5" customHeight="1" x14ac:dyDescent="0.25">
      <c r="B981" s="38"/>
      <c r="C981" s="38"/>
      <c r="D981" s="470"/>
      <c r="E981" s="470"/>
      <c r="G981" s="38"/>
      <c r="H981" s="38"/>
      <c r="I981" s="470"/>
      <c r="J981" s="470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  <c r="AA981" s="38"/>
    </row>
    <row r="982" spans="2:27" ht="19.5" customHeight="1" x14ac:dyDescent="0.25">
      <c r="B982" s="38"/>
      <c r="C982" s="38"/>
      <c r="D982" s="470"/>
      <c r="E982" s="470"/>
      <c r="G982" s="38"/>
      <c r="H982" s="38"/>
      <c r="I982" s="470"/>
      <c r="J982" s="470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  <c r="AA982" s="38"/>
    </row>
    <row r="983" spans="2:27" ht="19.5" customHeight="1" x14ac:dyDescent="0.25">
      <c r="B983" s="38"/>
      <c r="C983" s="38"/>
      <c r="D983" s="470"/>
      <c r="E983" s="470"/>
      <c r="G983" s="38"/>
      <c r="H983" s="38"/>
      <c r="I983" s="470"/>
      <c r="J983" s="470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  <c r="AA983" s="38"/>
    </row>
    <row r="984" spans="2:27" ht="19.5" customHeight="1" x14ac:dyDescent="0.25">
      <c r="B984" s="38"/>
      <c r="C984" s="38"/>
      <c r="D984" s="470"/>
      <c r="E984" s="470"/>
      <c r="G984" s="38"/>
      <c r="H984" s="38"/>
      <c r="I984" s="470"/>
      <c r="J984" s="470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  <c r="AA984" s="38"/>
    </row>
    <row r="985" spans="2:27" ht="19.5" customHeight="1" x14ac:dyDescent="0.25">
      <c r="B985" s="38"/>
      <c r="C985" s="38"/>
      <c r="D985" s="470"/>
      <c r="E985" s="470"/>
      <c r="G985" s="38"/>
      <c r="H985" s="38"/>
      <c r="I985" s="470"/>
      <c r="J985" s="470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  <c r="AA985" s="38"/>
    </row>
    <row r="986" spans="2:27" ht="19.5" customHeight="1" x14ac:dyDescent="0.25">
      <c r="B986" s="38"/>
      <c r="C986" s="38"/>
      <c r="D986" s="470"/>
      <c r="E986" s="470"/>
      <c r="G986" s="38"/>
      <c r="H986" s="38"/>
      <c r="I986" s="470"/>
      <c r="J986" s="470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  <c r="AA986" s="38"/>
    </row>
    <row r="987" spans="2:27" ht="19.5" customHeight="1" x14ac:dyDescent="0.25">
      <c r="B987" s="38"/>
      <c r="C987" s="38"/>
      <c r="D987" s="470"/>
      <c r="E987" s="470"/>
      <c r="G987" s="38"/>
      <c r="H987" s="38"/>
      <c r="I987" s="470"/>
      <c r="J987" s="470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  <c r="AA987" s="38"/>
    </row>
    <row r="988" spans="2:27" ht="19.5" customHeight="1" x14ac:dyDescent="0.25">
      <c r="B988" s="38"/>
      <c r="C988" s="38"/>
      <c r="D988" s="470"/>
      <c r="E988" s="470"/>
      <c r="G988" s="38"/>
      <c r="H988" s="38"/>
      <c r="I988" s="470"/>
      <c r="J988" s="470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  <c r="AA988" s="38"/>
    </row>
    <row r="989" spans="2:27" ht="19.5" customHeight="1" x14ac:dyDescent="0.25">
      <c r="B989" s="38"/>
      <c r="C989" s="38"/>
      <c r="D989" s="470"/>
      <c r="E989" s="470"/>
      <c r="G989" s="38"/>
      <c r="H989" s="38"/>
      <c r="I989" s="470"/>
      <c r="J989" s="470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  <c r="AA989" s="38"/>
    </row>
    <row r="990" spans="2:27" ht="19.5" customHeight="1" x14ac:dyDescent="0.25">
      <c r="B990" s="38"/>
      <c r="C990" s="38"/>
      <c r="D990" s="470"/>
      <c r="E990" s="470"/>
      <c r="G990" s="38"/>
      <c r="H990" s="38"/>
      <c r="I990" s="470"/>
      <c r="J990" s="470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  <c r="AA990" s="38"/>
    </row>
    <row r="991" spans="2:27" ht="19.5" customHeight="1" x14ac:dyDescent="0.25">
      <c r="B991" s="38"/>
      <c r="C991" s="38"/>
      <c r="D991" s="470"/>
      <c r="E991" s="470"/>
      <c r="G991" s="38"/>
      <c r="H991" s="38"/>
      <c r="I991" s="470"/>
      <c r="J991" s="470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  <c r="AA991" s="38"/>
    </row>
    <row r="992" spans="2:27" ht="19.5" customHeight="1" x14ac:dyDescent="0.25">
      <c r="B992" s="38"/>
      <c r="C992" s="38"/>
      <c r="D992" s="470"/>
      <c r="E992" s="470"/>
      <c r="G992" s="38"/>
      <c r="H992" s="38"/>
      <c r="I992" s="470"/>
      <c r="J992" s="470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  <c r="AA992" s="38"/>
    </row>
    <row r="993" spans="2:27" ht="19.5" customHeight="1" x14ac:dyDescent="0.25">
      <c r="B993" s="38"/>
      <c r="C993" s="38"/>
      <c r="D993" s="470"/>
      <c r="E993" s="470"/>
      <c r="G993" s="38"/>
      <c r="H993" s="38"/>
      <c r="I993" s="470"/>
      <c r="J993" s="470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  <c r="AA993" s="38"/>
    </row>
    <row r="994" spans="2:27" ht="19.5" customHeight="1" x14ac:dyDescent="0.25">
      <c r="B994" s="38"/>
      <c r="C994" s="38"/>
      <c r="D994" s="470"/>
      <c r="E994" s="470"/>
      <c r="G994" s="38"/>
      <c r="H994" s="38"/>
      <c r="I994" s="470"/>
      <c r="J994" s="470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  <c r="AA994" s="38"/>
    </row>
    <row r="995" spans="2:27" ht="19.5" customHeight="1" x14ac:dyDescent="0.25">
      <c r="B995" s="38"/>
      <c r="C995" s="38"/>
      <c r="D995" s="470"/>
      <c r="E995" s="470"/>
      <c r="G995" s="38"/>
      <c r="H995" s="38"/>
      <c r="I995" s="470"/>
      <c r="J995" s="470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  <c r="AA995" s="38"/>
    </row>
    <row r="996" spans="2:27" ht="19.5" customHeight="1" x14ac:dyDescent="0.25">
      <c r="B996" s="38"/>
      <c r="C996" s="38"/>
      <c r="D996" s="470"/>
      <c r="E996" s="470"/>
      <c r="G996" s="38"/>
      <c r="H996" s="38"/>
      <c r="I996" s="470"/>
      <c r="J996" s="470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  <c r="AA996" s="38"/>
    </row>
    <row r="997" spans="2:27" ht="19.5" customHeight="1" x14ac:dyDescent="0.25">
      <c r="B997" s="38"/>
      <c r="C997" s="38"/>
      <c r="D997" s="470"/>
      <c r="E997" s="470"/>
      <c r="G997" s="38"/>
      <c r="H997" s="38"/>
      <c r="I997" s="470"/>
      <c r="J997" s="470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  <c r="AA997" s="38"/>
    </row>
    <row r="998" spans="2:27" ht="19.5" customHeight="1" x14ac:dyDescent="0.25">
      <c r="B998" s="38"/>
      <c r="C998" s="38"/>
      <c r="D998" s="470"/>
      <c r="E998" s="470"/>
      <c r="G998" s="38"/>
      <c r="H998" s="38"/>
      <c r="I998" s="470"/>
      <c r="J998" s="470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  <c r="AA998" s="38"/>
    </row>
    <row r="999" spans="2:27" ht="19.5" customHeight="1" x14ac:dyDescent="0.25">
      <c r="B999" s="38"/>
      <c r="C999" s="38"/>
      <c r="D999" s="470"/>
      <c r="E999" s="470"/>
      <c r="G999" s="38"/>
      <c r="H999" s="38"/>
      <c r="I999" s="470"/>
      <c r="J999" s="470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  <c r="AA999" s="38"/>
    </row>
    <row r="1000" spans="2:27" ht="19.5" customHeight="1" x14ac:dyDescent="0.25">
      <c r="B1000" s="38"/>
      <c r="C1000" s="38"/>
      <c r="D1000" s="470"/>
      <c r="E1000" s="470"/>
      <c r="G1000" s="38"/>
      <c r="H1000" s="38"/>
      <c r="I1000" s="470"/>
      <c r="J1000" s="470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  <c r="AA1000" s="38"/>
    </row>
    <row r="1001" spans="2:27" ht="19.5" customHeight="1" x14ac:dyDescent="0.25">
      <c r="B1001" s="38"/>
      <c r="C1001" s="38"/>
      <c r="D1001" s="470"/>
      <c r="E1001" s="470"/>
      <c r="G1001" s="38"/>
      <c r="H1001" s="38"/>
      <c r="I1001" s="470"/>
      <c r="J1001" s="470"/>
      <c r="O1001" s="38"/>
      <c r="P1001" s="38"/>
      <c r="Q1001" s="38"/>
      <c r="R1001" s="38"/>
      <c r="S1001" s="38"/>
      <c r="T1001" s="38"/>
      <c r="U1001" s="38"/>
      <c r="V1001" s="38"/>
      <c r="W1001" s="38"/>
      <c r="X1001" s="38"/>
      <c r="Y1001" s="38"/>
      <c r="Z1001" s="38"/>
      <c r="AA1001" s="38"/>
    </row>
  </sheetData>
  <mergeCells count="3">
    <mergeCell ref="G1:J1"/>
    <mergeCell ref="P1:R1"/>
    <mergeCell ref="B1:E1"/>
  </mergeCells>
  <conditionalFormatting sqref="T3:V21">
    <cfRule type="cellIs" dxfId="3" priority="1" operator="lessThan">
      <formula>0</formula>
    </cfRule>
    <cfRule type="cellIs" dxfId="2" priority="2" operator="greaterThan">
      <formula>0</formula>
    </cfRule>
  </conditionalFormatting>
  <pageMargins left="0.511811024" right="0.511811024" top="0.78740157499999996" bottom="0.78740157499999996" header="0" footer="0"/>
  <pageSetup paperSize="9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33E52-F547-44E2-9D4A-6F3C5D9ECF67}">
  <dimension ref="A1:U1001"/>
  <sheetViews>
    <sheetView showGridLines="0" zoomScale="70" zoomScaleNormal="70" workbookViewId="0">
      <selection activeCell="B21" sqref="B21"/>
    </sheetView>
  </sheetViews>
  <sheetFormatPr defaultColWidth="14.42578125" defaultRowHeight="15" customHeight="1" x14ac:dyDescent="0.25"/>
  <cols>
    <col min="1" max="1" width="64.42578125" customWidth="1"/>
    <col min="2" max="2" width="21.7109375" customWidth="1"/>
    <col min="3" max="3" width="14.28515625" style="482" customWidth="1"/>
    <col min="4" max="4" width="15.140625" style="482" customWidth="1"/>
    <col min="5" max="8" width="0" hidden="1" customWidth="1"/>
    <col min="9" max="9" width="9.140625" customWidth="1"/>
    <col min="10" max="10" width="17.42578125" bestFit="1" customWidth="1"/>
    <col min="11" max="11" width="11.42578125" customWidth="1"/>
    <col min="12" max="12" width="18.5703125" customWidth="1"/>
    <col min="13" max="13" width="9.140625" customWidth="1"/>
    <col min="14" max="14" width="16.42578125" customWidth="1"/>
    <col min="15" max="17" width="9.140625" customWidth="1"/>
    <col min="18" max="18" width="17.7109375" customWidth="1"/>
    <col min="19" max="19" width="19.28515625" customWidth="1"/>
    <col min="20" max="20" width="14.28515625" customWidth="1"/>
    <col min="21" max="21" width="9.140625" customWidth="1"/>
  </cols>
  <sheetData>
    <row r="1" spans="1:21" ht="20.45" customHeight="1" x14ac:dyDescent="0.25">
      <c r="A1" s="1131" t="s">
        <v>1363</v>
      </c>
      <c r="B1" s="1131"/>
      <c r="C1" s="1131"/>
      <c r="D1" s="1131"/>
      <c r="J1" s="1131" t="s">
        <v>1364</v>
      </c>
      <c r="K1" s="1131"/>
      <c r="L1" s="1131"/>
    </row>
    <row r="2" spans="1:21" ht="22.5" customHeight="1" thickBot="1" x14ac:dyDescent="0.3">
      <c r="A2" s="455" t="s">
        <v>546</v>
      </c>
      <c r="B2" s="455" t="s">
        <v>547</v>
      </c>
      <c r="C2" s="456" t="s">
        <v>548</v>
      </c>
      <c r="D2" s="456" t="s">
        <v>549</v>
      </c>
      <c r="I2" s="38"/>
      <c r="J2" s="455" t="s">
        <v>547</v>
      </c>
      <c r="K2" s="456" t="s">
        <v>548</v>
      </c>
      <c r="L2" s="456" t="s">
        <v>549</v>
      </c>
      <c r="M2" s="38"/>
      <c r="N2" s="38"/>
      <c r="O2" s="38"/>
      <c r="P2" s="38"/>
      <c r="Q2" s="38"/>
      <c r="R2" s="38"/>
      <c r="S2" s="38"/>
      <c r="T2" s="38"/>
      <c r="U2" s="38"/>
    </row>
    <row r="3" spans="1:21" ht="22.5" customHeight="1" thickBot="1" x14ac:dyDescent="0.3">
      <c r="A3" s="457" t="s">
        <v>550</v>
      </c>
      <c r="B3" s="458">
        <f>[4]CUSTOS_INDIRETOS!$F$93</f>
        <v>13510709.072569676</v>
      </c>
      <c r="C3" s="459">
        <f t="shared" ref="C3:C19" si="0">B3/B$20</f>
        <v>0.15543582989528362</v>
      </c>
      <c r="D3" s="888">
        <f>B3/ORÇAMENTO_EXECUTIVO_REV02!T$3</f>
        <v>919.50744432335534</v>
      </c>
      <c r="I3" s="38"/>
      <c r="J3" s="458">
        <v>8526873.6744689904</v>
      </c>
      <c r="K3" s="459">
        <v>0.114027380228428</v>
      </c>
      <c r="L3" s="888">
        <v>683.80634645116254</v>
      </c>
      <c r="M3" s="38"/>
      <c r="N3" s="870">
        <f>B3-J3</f>
        <v>4983835.3981006853</v>
      </c>
      <c r="O3" s="38"/>
      <c r="P3" s="481">
        <f>D3-L3</f>
        <v>235.7010978721928</v>
      </c>
      <c r="Q3" s="38"/>
      <c r="R3" s="38"/>
      <c r="S3" s="460" t="s">
        <v>280</v>
      </c>
      <c r="T3" s="764">
        <f>DADOS_INICIAIS!E11</f>
        <v>14693.42</v>
      </c>
      <c r="U3" s="461" t="s">
        <v>2</v>
      </c>
    </row>
    <row r="4" spans="1:21" ht="19.5" customHeight="1" x14ac:dyDescent="0.25">
      <c r="A4" s="462" t="s">
        <v>117</v>
      </c>
      <c r="B4" s="463">
        <f>MOVIMENTAÇÃO_DE_TERRA!F35</f>
        <v>2545063.3884582501</v>
      </c>
      <c r="C4" s="464">
        <f t="shared" si="0"/>
        <v>2.9280035399790495E-2</v>
      </c>
      <c r="D4" s="889">
        <f>B4/ORÇAMENTO_EXECUTIVO_REV02!T$3</f>
        <v>173.21109642671686</v>
      </c>
      <c r="I4" s="38"/>
      <c r="J4" s="463">
        <v>2450076.1785170003</v>
      </c>
      <c r="K4" s="464">
        <v>3.2764149987688174E-2</v>
      </c>
      <c r="L4" s="889">
        <v>196.48205240510617</v>
      </c>
      <c r="M4" s="38"/>
      <c r="N4" s="870">
        <f t="shared" ref="N4:N19" si="1">B4-J4</f>
        <v>94987.209941249806</v>
      </c>
      <c r="O4" s="38"/>
      <c r="P4" s="481">
        <f>D4-L4</f>
        <v>-23.27095597838931</v>
      </c>
      <c r="Q4" s="38"/>
      <c r="R4" s="38"/>
      <c r="S4" s="38"/>
      <c r="T4" s="38"/>
      <c r="U4" s="38"/>
    </row>
    <row r="5" spans="1:21" ht="19.5" customHeight="1" x14ac:dyDescent="0.25">
      <c r="A5" s="457" t="s">
        <v>118</v>
      </c>
      <c r="B5" s="458">
        <f>'INFRAESTRUTURA REV01'!G31</f>
        <v>5742340.0165556455</v>
      </c>
      <c r="C5" s="459">
        <f t="shared" si="0"/>
        <v>6.6063548642785005E-2</v>
      </c>
      <c r="D5" s="888">
        <f>B5/ORÇAMENTO_EXECUTIVO_REV02!T$3</f>
        <v>390.810309414394</v>
      </c>
      <c r="I5" s="38"/>
      <c r="J5" s="458">
        <v>5278318.0955762975</v>
      </c>
      <c r="K5" s="459">
        <v>7.0585399459239903E-2</v>
      </c>
      <c r="L5" s="888">
        <v>423.29082734626741</v>
      </c>
      <c r="M5" s="38"/>
      <c r="N5" s="870">
        <f t="shared" si="1"/>
        <v>464021.92097934801</v>
      </c>
      <c r="O5" s="38"/>
      <c r="P5" s="481">
        <f t="shared" ref="P5:P19" si="2">D5-L5</f>
        <v>-32.480517931873408</v>
      </c>
      <c r="Q5" s="38"/>
      <c r="R5" s="38"/>
      <c r="S5" s="469"/>
      <c r="T5" s="38"/>
      <c r="U5" s="38"/>
    </row>
    <row r="6" spans="1:21" ht="19.5" customHeight="1" x14ac:dyDescent="0.25">
      <c r="A6" s="462" t="s">
        <v>1229</v>
      </c>
      <c r="B6" s="463">
        <f>CONTENÇÕES!G33</f>
        <v>1644604.5753569845</v>
      </c>
      <c r="C6" s="464">
        <f t="shared" si="0"/>
        <v>1.8920581861923969E-2</v>
      </c>
      <c r="D6" s="889">
        <f>B6/ORÇAMENTO_EXECUTIVO_REV02!T$3</f>
        <v>111.92796335754267</v>
      </c>
      <c r="I6" s="38"/>
      <c r="J6" s="463">
        <v>1644604.5753569845</v>
      </c>
      <c r="K6" s="464">
        <v>2.1992814529566914E-2</v>
      </c>
      <c r="L6" s="889">
        <v>131.88785115920683</v>
      </c>
      <c r="M6" s="38"/>
      <c r="N6" s="870">
        <f t="shared" si="1"/>
        <v>0</v>
      </c>
      <c r="O6" s="38"/>
      <c r="P6" s="481">
        <f t="shared" si="2"/>
        <v>-19.959887801664166</v>
      </c>
      <c r="Q6" s="38"/>
      <c r="R6" s="38"/>
      <c r="S6" s="469"/>
      <c r="T6" s="38"/>
      <c r="U6" s="38"/>
    </row>
    <row r="7" spans="1:21" ht="19.5" customHeight="1" x14ac:dyDescent="0.25">
      <c r="A7" s="457" t="s">
        <v>28</v>
      </c>
      <c r="B7" s="458">
        <f>SUPRAESTRUTURA!G25</f>
        <v>16955389.957323126</v>
      </c>
      <c r="C7" s="459">
        <f t="shared" si="0"/>
        <v>0.19506563978684077</v>
      </c>
      <c r="D7" s="888">
        <f>B7/ORÇAMENTO_EXECUTIVO_REV02!T$3</f>
        <v>1153.9444157536589</v>
      </c>
      <c r="I7" s="38"/>
      <c r="J7" s="458">
        <v>13332388.970733417</v>
      </c>
      <c r="K7" s="459">
        <v>0.1782901265526011</v>
      </c>
      <c r="L7" s="888">
        <v>1069.1811019600616</v>
      </c>
      <c r="M7" s="38"/>
      <c r="N7" s="870">
        <f t="shared" si="1"/>
        <v>3623000.9865897093</v>
      </c>
      <c r="O7" s="38"/>
      <c r="P7" s="481">
        <f t="shared" si="2"/>
        <v>84.763313793597263</v>
      </c>
      <c r="Q7" s="38"/>
      <c r="R7" s="38"/>
      <c r="S7" s="469"/>
      <c r="T7" s="38"/>
      <c r="U7" s="38"/>
    </row>
    <row r="8" spans="1:21" ht="19.5" customHeight="1" x14ac:dyDescent="0.25">
      <c r="A8" s="462" t="s">
        <v>162</v>
      </c>
      <c r="B8" s="463">
        <f>Alvenaria!G25</f>
        <v>3148673.3767500008</v>
      </c>
      <c r="C8" s="464">
        <f t="shared" si="0"/>
        <v>3.6224350384242016E-2</v>
      </c>
      <c r="D8" s="889">
        <f>B8/ORÇAMENTO_EXECUTIVO_REV02!T$3</f>
        <v>214.29138871345137</v>
      </c>
      <c r="I8" s="38"/>
      <c r="J8" s="463">
        <v>3148673.3767500008</v>
      </c>
      <c r="K8" s="464">
        <v>4.2106285381102407E-2</v>
      </c>
      <c r="L8" s="889">
        <v>252.50553955902785</v>
      </c>
      <c r="M8" s="38"/>
      <c r="N8" s="870">
        <f t="shared" si="1"/>
        <v>0</v>
      </c>
      <c r="O8" s="38"/>
      <c r="P8" s="481">
        <f t="shared" si="2"/>
        <v>-38.214150845576484</v>
      </c>
      <c r="Q8" s="38"/>
      <c r="R8" s="38"/>
      <c r="S8" s="38"/>
      <c r="T8" s="38"/>
      <c r="U8" s="38"/>
    </row>
    <row r="9" spans="1:21" ht="19.5" customHeight="1" x14ac:dyDescent="0.25">
      <c r="A9" s="457" t="s">
        <v>551</v>
      </c>
      <c r="B9" s="458">
        <f>Instalações!D35</f>
        <v>6206500.608</v>
      </c>
      <c r="C9" s="459">
        <f t="shared" si="0"/>
        <v>7.1403548664124877E-2</v>
      </c>
      <c r="D9" s="888">
        <f>B9/ORÇAMENTO_EXECUTIVO_REV02!T$3</f>
        <v>422.4</v>
      </c>
      <c r="I9" s="38"/>
      <c r="J9" s="458">
        <v>5267209.7280000001</v>
      </c>
      <c r="K9" s="459">
        <v>7.0436850518362279E-2</v>
      </c>
      <c r="L9" s="888">
        <v>422.40000000000003</v>
      </c>
      <c r="M9" s="38"/>
      <c r="N9" s="870">
        <f t="shared" si="1"/>
        <v>939290.87999999989</v>
      </c>
      <c r="O9" s="38"/>
      <c r="P9" s="481">
        <f t="shared" si="2"/>
        <v>0</v>
      </c>
      <c r="Q9" s="38"/>
      <c r="R9" s="38"/>
      <c r="S9" s="470"/>
      <c r="T9" s="38"/>
      <c r="U9" s="38"/>
    </row>
    <row r="10" spans="1:21" ht="19.5" customHeight="1" x14ac:dyDescent="0.25">
      <c r="A10" s="462" t="s">
        <v>552</v>
      </c>
      <c r="B10" s="463">
        <f>'Sistemas Especiais'!D45</f>
        <v>7227828.5380000006</v>
      </c>
      <c r="C10" s="464">
        <f t="shared" si="0"/>
        <v>8.3153557752625562E-2</v>
      </c>
      <c r="D10" s="889">
        <f>B10/ORÇAMENTO_EXECUTIVO_REV02!T$3</f>
        <v>491.90920411993943</v>
      </c>
      <c r="I10" s="38"/>
      <c r="J10" s="463">
        <v>6870035.2080000006</v>
      </c>
      <c r="K10" s="464">
        <v>9.1870965461920931E-2</v>
      </c>
      <c r="L10" s="889">
        <v>550.9374074157239</v>
      </c>
      <c r="M10" s="38"/>
      <c r="N10" s="870">
        <f t="shared" si="1"/>
        <v>357793.33000000007</v>
      </c>
      <c r="O10" s="38"/>
      <c r="P10" s="481">
        <f t="shared" si="2"/>
        <v>-59.028203295784465</v>
      </c>
      <c r="Q10" s="38"/>
      <c r="R10" s="471"/>
      <c r="S10" s="472"/>
      <c r="T10" s="38"/>
      <c r="U10" s="38"/>
    </row>
    <row r="11" spans="1:21" ht="19.5" customHeight="1" x14ac:dyDescent="0.25">
      <c r="A11" s="457" t="s">
        <v>216</v>
      </c>
      <c r="B11" s="458">
        <f>Impermeabilização!G28</f>
        <v>1260169.0552000001</v>
      </c>
      <c r="C11" s="459">
        <f t="shared" si="0"/>
        <v>1.4497790001343939E-2</v>
      </c>
      <c r="D11" s="888">
        <f>B11/ORÇAMENTO_EXECUTIVO_REV02!T$3</f>
        <v>85.764175746694789</v>
      </c>
      <c r="I11" s="38"/>
      <c r="J11" s="458">
        <v>1100757.3433999999</v>
      </c>
      <c r="K11" s="459">
        <v>1.4720105038136687E-2</v>
      </c>
      <c r="L11" s="888">
        <v>88.274423435329737</v>
      </c>
      <c r="M11" s="38"/>
      <c r="N11" s="870">
        <f t="shared" si="1"/>
        <v>159411.71180000016</v>
      </c>
      <c r="O11" s="38"/>
      <c r="P11" s="481">
        <f t="shared" si="2"/>
        <v>-2.5102476886349478</v>
      </c>
      <c r="Q11" s="38"/>
      <c r="R11" s="38"/>
      <c r="S11" s="470"/>
      <c r="T11" s="473"/>
      <c r="U11" s="38"/>
    </row>
    <row r="12" spans="1:21" ht="19.5" customHeight="1" x14ac:dyDescent="0.25">
      <c r="A12" s="462" t="s">
        <v>171</v>
      </c>
      <c r="B12" s="463">
        <f>'Acabamentos de Piso'!G33+'Rev. Internos de Parede'!G23</f>
        <v>1754484.6086989837</v>
      </c>
      <c r="C12" s="464">
        <f t="shared" si="0"/>
        <v>2.0184711973800225E-2</v>
      </c>
      <c r="D12" s="889">
        <f>B12/ORÇAMENTO_EXECUTIVO_REV02!T$3</f>
        <v>119.40614293329828</v>
      </c>
      <c r="I12" s="38"/>
      <c r="J12" s="463">
        <v>1637724.5641964758</v>
      </c>
      <c r="K12" s="464">
        <v>2.1900810158618611E-2</v>
      </c>
      <c r="L12" s="889">
        <v>131.33611373763611</v>
      </c>
      <c r="M12" s="38"/>
      <c r="N12" s="870">
        <f t="shared" si="1"/>
        <v>116760.0445025079</v>
      </c>
      <c r="O12" s="38"/>
      <c r="P12" s="481">
        <f t="shared" si="2"/>
        <v>-11.929970804337827</v>
      </c>
      <c r="Q12" s="38"/>
      <c r="R12" s="870"/>
      <c r="S12" s="366"/>
      <c r="T12" s="38"/>
      <c r="U12" s="38"/>
    </row>
    <row r="13" spans="1:21" ht="19.5" customHeight="1" x14ac:dyDescent="0.25">
      <c r="A13" s="457" t="s">
        <v>553</v>
      </c>
      <c r="B13" s="458">
        <f>'Acabamentos de Teto'!G21</f>
        <v>1764973.6104000001</v>
      </c>
      <c r="C13" s="459">
        <f t="shared" si="0"/>
        <v>2.0305384151360514E-2</v>
      </c>
      <c r="D13" s="888">
        <f>B13/ORÇAMENTO_EXECUTIVO_REV02!T$3</f>
        <v>120.12</v>
      </c>
      <c r="I13" s="38"/>
      <c r="J13" s="458">
        <v>1292981.4260000016</v>
      </c>
      <c r="K13" s="459">
        <v>1.7290661304417497E-2</v>
      </c>
      <c r="L13" s="888">
        <v>103.68969198987641</v>
      </c>
      <c r="M13" s="38"/>
      <c r="N13" s="870">
        <f t="shared" si="1"/>
        <v>471992.18439999851</v>
      </c>
      <c r="O13" s="38"/>
      <c r="P13" s="481">
        <f t="shared" si="2"/>
        <v>16.430308010123596</v>
      </c>
      <c r="Q13" s="38"/>
      <c r="R13" s="38"/>
      <c r="S13" s="38"/>
      <c r="T13" s="474"/>
      <c r="U13" s="38"/>
    </row>
    <row r="14" spans="1:21" ht="19.5" customHeight="1" x14ac:dyDescent="0.25">
      <c r="A14" s="462" t="s">
        <v>185</v>
      </c>
      <c r="B14" s="463">
        <f>'Acabamentos de Piso'!G34+'Rev. Internos de Parede'!G24</f>
        <v>4311125.5016342858</v>
      </c>
      <c r="C14" s="464">
        <f t="shared" si="0"/>
        <v>4.9597942382589959E-2</v>
      </c>
      <c r="D14" s="889">
        <f>B14/ORÇAMENTO_EXECUTIVO_REV02!T$3</f>
        <v>293.40517739466276</v>
      </c>
      <c r="I14" s="38"/>
      <c r="J14" s="463">
        <v>4169253.4416342853</v>
      </c>
      <c r="K14" s="464">
        <v>5.5754203194234686E-2</v>
      </c>
      <c r="L14" s="889">
        <v>334.35020526798399</v>
      </c>
      <c r="M14" s="38"/>
      <c r="N14" s="870">
        <f t="shared" si="1"/>
        <v>141872.06000000052</v>
      </c>
      <c r="O14" s="38"/>
      <c r="P14" s="481">
        <f t="shared" si="2"/>
        <v>-40.945027873321237</v>
      </c>
      <c r="Q14" s="38"/>
      <c r="R14" s="38"/>
      <c r="S14" s="38"/>
      <c r="T14" s="366"/>
      <c r="U14" s="38"/>
    </row>
    <row r="15" spans="1:21" ht="19.5" customHeight="1" x14ac:dyDescent="0.25">
      <c r="A15" s="457" t="s">
        <v>554</v>
      </c>
      <c r="B15" s="458">
        <f>'Pintura Interna'!G21</f>
        <v>2297072.5250000004</v>
      </c>
      <c r="C15" s="459">
        <f t="shared" si="0"/>
        <v>2.6426990051760541E-2</v>
      </c>
      <c r="D15" s="888">
        <f>B15/ORÇAMENTO_EXECUTIVO_REV02!T$3</f>
        <v>156.33341488911367</v>
      </c>
      <c r="I15" s="38"/>
      <c r="J15" s="458">
        <v>2000841.4250000003</v>
      </c>
      <c r="K15" s="459">
        <v>2.6756665415179001E-2</v>
      </c>
      <c r="L15" s="888">
        <v>160.45600262074854</v>
      </c>
      <c r="M15" s="38"/>
      <c r="N15" s="870">
        <f>B15-J15</f>
        <v>296231.10000000009</v>
      </c>
      <c r="O15" s="38"/>
      <c r="P15" s="481">
        <f t="shared" si="2"/>
        <v>-4.1225877316348658</v>
      </c>
      <c r="Q15" s="38"/>
      <c r="R15" s="38" t="s">
        <v>1239</v>
      </c>
      <c r="S15" s="38"/>
      <c r="T15" s="38"/>
      <c r="U15" s="38"/>
    </row>
    <row r="16" spans="1:21" ht="19.5" customHeight="1" x14ac:dyDescent="0.25">
      <c r="A16" s="462" t="s">
        <v>555</v>
      </c>
      <c r="B16" s="463">
        <f>Esquadrias!G29</f>
        <v>9402166.3945000023</v>
      </c>
      <c r="C16" s="464">
        <f t="shared" si="0"/>
        <v>0.10816852975612896</v>
      </c>
      <c r="D16" s="889">
        <f>B16/ORÇAMENTO_EXECUTIVO_REV02!T$3</f>
        <v>639.88958285409399</v>
      </c>
      <c r="I16" s="38"/>
      <c r="J16" s="463">
        <v>9377705.694500003</v>
      </c>
      <c r="K16" s="464">
        <v>0.12540530723455776</v>
      </c>
      <c r="L16" s="889">
        <v>752.03819287842896</v>
      </c>
      <c r="M16" s="38"/>
      <c r="N16" s="870">
        <f t="shared" si="1"/>
        <v>24460.699999999255</v>
      </c>
      <c r="O16" s="38"/>
      <c r="P16" s="481">
        <f t="shared" si="2"/>
        <v>-112.14861002433497</v>
      </c>
      <c r="Q16" s="38"/>
      <c r="R16" s="38"/>
      <c r="S16" s="38"/>
      <c r="T16" s="38"/>
      <c r="U16" s="38"/>
    </row>
    <row r="17" spans="1:21" ht="19.5" customHeight="1" x14ac:dyDescent="0.25">
      <c r="A17" s="457" t="s">
        <v>556</v>
      </c>
      <c r="B17" s="458">
        <f>SUM(FACHADA!K11:K20)</f>
        <v>3087626.2103809789</v>
      </c>
      <c r="C17" s="459">
        <f t="shared" si="0"/>
        <v>3.5522024775988828E-2</v>
      </c>
      <c r="D17" s="888">
        <f>B17/ORÇAMENTO_EXECUTIVO_REV02!T$3</f>
        <v>210.1366605174955</v>
      </c>
      <c r="I17" s="38"/>
      <c r="J17" s="458">
        <v>3087626.2103809789</v>
      </c>
      <c r="K17" s="459">
        <v>4.1289919533878568E-2</v>
      </c>
      <c r="L17" s="888">
        <v>247.60990706936315</v>
      </c>
      <c r="M17" s="38"/>
      <c r="N17" s="870">
        <f t="shared" si="1"/>
        <v>0</v>
      </c>
      <c r="O17" s="38"/>
      <c r="P17" s="481">
        <f t="shared" si="2"/>
        <v>-37.473246551867646</v>
      </c>
      <c r="Q17" s="38"/>
      <c r="R17" s="38"/>
      <c r="S17" s="38"/>
      <c r="T17" s="38"/>
      <c r="U17" s="38"/>
    </row>
    <row r="18" spans="1:21" ht="19.5" customHeight="1" x14ac:dyDescent="0.25">
      <c r="A18" s="462" t="s">
        <v>271</v>
      </c>
      <c r="B18" s="463">
        <f>Complementares!F17</f>
        <v>3531038.3132285946</v>
      </c>
      <c r="C18" s="464">
        <f t="shared" si="0"/>
        <v>4.0623320927177679E-2</v>
      </c>
      <c r="D18" s="889">
        <f>B18/ORÇAMENTO_EXECUTIVO_REV02!T$3</f>
        <v>240.31425721367759</v>
      </c>
      <c r="I18" s="38"/>
      <c r="J18" s="463">
        <v>3416073.0232285941</v>
      </c>
      <c r="K18" s="464">
        <v>4.568214240983464E-2</v>
      </c>
      <c r="L18" s="889">
        <v>273.94945702298003</v>
      </c>
      <c r="M18" s="38"/>
      <c r="N18" s="870">
        <f t="shared" si="1"/>
        <v>114965.2900000005</v>
      </c>
      <c r="O18" s="38"/>
      <c r="P18" s="481">
        <f t="shared" si="2"/>
        <v>-33.635199809302435</v>
      </c>
      <c r="Q18" s="38"/>
      <c r="R18" s="38"/>
      <c r="S18" s="38"/>
      <c r="T18" s="38"/>
      <c r="U18" s="38"/>
    </row>
    <row r="19" spans="1:21" ht="19.5" customHeight="1" x14ac:dyDescent="0.25">
      <c r="A19" s="457" t="s">
        <v>557</v>
      </c>
      <c r="B19" s="458">
        <f>SUM(B3:B18)*0.03</f>
        <v>2531692.9725616956</v>
      </c>
      <c r="C19" s="459">
        <f t="shared" si="0"/>
        <v>2.9126213592233007E-2</v>
      </c>
      <c r="D19" s="888">
        <f>B19/ORÇAMENTO_EXECUTIVO_REV02!T$3</f>
        <v>172.30113700974283</v>
      </c>
      <c r="I19" s="38"/>
      <c r="J19" s="458">
        <v>2178034.2880722904</v>
      </c>
      <c r="K19" s="459">
        <v>2.9126213592233007E-2</v>
      </c>
      <c r="L19" s="888">
        <v>174.66585360956705</v>
      </c>
      <c r="M19" s="38"/>
      <c r="N19" s="870">
        <f t="shared" si="1"/>
        <v>353658.68448940525</v>
      </c>
      <c r="O19" s="38"/>
      <c r="P19" s="481">
        <f t="shared" si="2"/>
        <v>-2.3647165998242201</v>
      </c>
      <c r="Q19" s="38"/>
      <c r="R19" s="38"/>
      <c r="S19" s="38"/>
      <c r="T19" s="38"/>
      <c r="U19" s="38"/>
    </row>
    <row r="20" spans="1:21" ht="19.5" customHeight="1" x14ac:dyDescent="0.25">
      <c r="A20" s="455" t="s">
        <v>17</v>
      </c>
      <c r="B20" s="475">
        <f>SUM(B3:B19)</f>
        <v>86921458.724618226</v>
      </c>
      <c r="C20" s="476">
        <f>SUM(C3:C19)</f>
        <v>1.0000000000000002</v>
      </c>
      <c r="D20" s="477">
        <f>SUM(D3:D19)</f>
        <v>5915.6723706678376</v>
      </c>
      <c r="I20" s="38"/>
      <c r="J20" s="475">
        <v>74779177.223815307</v>
      </c>
      <c r="K20" s="476">
        <v>1.0000000000000002</v>
      </c>
      <c r="L20" s="477">
        <v>5996.8609739284711</v>
      </c>
      <c r="M20" s="38"/>
      <c r="N20" s="38"/>
      <c r="O20" s="38"/>
      <c r="P20" s="38"/>
      <c r="Q20" s="38"/>
      <c r="R20" s="366"/>
      <c r="S20" s="38"/>
      <c r="T20" s="38"/>
      <c r="U20" s="38"/>
    </row>
    <row r="21" spans="1:21" ht="19.5" customHeight="1" x14ac:dyDescent="0.25">
      <c r="A21" s="455" t="s">
        <v>599</v>
      </c>
      <c r="B21" s="475">
        <v>2758.46</v>
      </c>
      <c r="C21" s="478">
        <v>45413</v>
      </c>
      <c r="D21" s="477">
        <f>+D20/B21</f>
        <v>2.144556154763106</v>
      </c>
      <c r="I21" s="38"/>
      <c r="J21" s="475">
        <v>2758.46</v>
      </c>
      <c r="K21" s="478">
        <v>45413</v>
      </c>
      <c r="L21" s="477">
        <v>2.1739887378930529</v>
      </c>
      <c r="M21" s="38"/>
      <c r="N21" s="38"/>
      <c r="O21" s="38"/>
      <c r="P21" s="38"/>
      <c r="Q21" s="38"/>
      <c r="R21" s="366"/>
      <c r="S21" s="38"/>
      <c r="T21" s="38"/>
      <c r="U21" s="38"/>
    </row>
    <row r="22" spans="1:21" ht="22.5" customHeight="1" x14ac:dyDescent="0.25">
      <c r="A22" s="38"/>
      <c r="B22" s="38"/>
      <c r="C22" s="508"/>
      <c r="D22" s="470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66"/>
      <c r="T22" s="38"/>
      <c r="U22" s="38"/>
    </row>
    <row r="23" spans="1:21" ht="22.5" customHeight="1" x14ac:dyDescent="0.25">
      <c r="A23" s="38"/>
      <c r="B23" s="366"/>
      <c r="C23" s="470"/>
      <c r="D23" s="470"/>
      <c r="I23" s="38"/>
      <c r="J23" s="38"/>
      <c r="K23" s="38"/>
      <c r="L23" s="870">
        <f>B20-J20</f>
        <v>12142281.500802919</v>
      </c>
      <c r="M23" s="38"/>
      <c r="N23" s="38"/>
      <c r="O23" s="38"/>
      <c r="P23" s="38"/>
      <c r="Q23" s="38"/>
      <c r="R23" s="38"/>
      <c r="S23" s="38"/>
      <c r="T23" s="38"/>
      <c r="U23" s="38"/>
    </row>
    <row r="24" spans="1:21" ht="15" customHeight="1" x14ac:dyDescent="0.25">
      <c r="A24" s="38"/>
      <c r="B24" s="38"/>
      <c r="C24" s="470"/>
      <c r="D24" s="470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66"/>
      <c r="T24" s="38"/>
      <c r="U24" s="38"/>
    </row>
    <row r="25" spans="1:21" ht="19.5" customHeight="1" x14ac:dyDescent="0.25">
      <c r="A25" s="38"/>
      <c r="B25" s="38"/>
      <c r="C25" s="470"/>
      <c r="D25" s="470"/>
      <c r="I25" s="38"/>
      <c r="J25" s="38"/>
      <c r="K25" s="38"/>
      <c r="L25" s="38"/>
      <c r="M25" s="38"/>
      <c r="N25" s="38"/>
      <c r="O25" s="38"/>
      <c r="P25" s="38"/>
      <c r="Q25" s="38"/>
      <c r="R25" s="472"/>
      <c r="S25" s="38"/>
      <c r="T25" s="366"/>
      <c r="U25" s="38"/>
    </row>
    <row r="26" spans="1:21" ht="19.5" customHeight="1" x14ac:dyDescent="0.45">
      <c r="A26" s="38"/>
      <c r="B26" s="38"/>
      <c r="C26" s="470"/>
      <c r="D26" s="470"/>
      <c r="I26" s="38"/>
      <c r="J26" s="38"/>
      <c r="K26" s="38"/>
      <c r="L26" s="38"/>
      <c r="M26" s="38"/>
      <c r="N26" s="38"/>
      <c r="O26" s="38"/>
      <c r="P26" s="38"/>
      <c r="Q26" s="38"/>
      <c r="R26" s="479"/>
      <c r="S26" s="366"/>
      <c r="T26" s="366"/>
      <c r="U26" s="38"/>
    </row>
    <row r="27" spans="1:21" ht="19.5" customHeight="1" x14ac:dyDescent="0.25">
      <c r="A27" s="38"/>
      <c r="B27" s="38"/>
      <c r="C27" s="470"/>
      <c r="D27" s="470"/>
      <c r="I27" s="38"/>
      <c r="J27" s="38"/>
      <c r="K27" s="38"/>
      <c r="L27" s="38"/>
      <c r="M27" s="38"/>
      <c r="N27" s="38"/>
      <c r="O27" s="38"/>
      <c r="P27" s="38"/>
      <c r="Q27" s="38"/>
      <c r="R27" s="480"/>
      <c r="S27" s="481"/>
      <c r="T27" s="38"/>
      <c r="U27" s="38"/>
    </row>
    <row r="28" spans="1:21" ht="19.5" customHeight="1" x14ac:dyDescent="0.25">
      <c r="A28" s="38"/>
      <c r="B28" s="38"/>
      <c r="C28" s="470"/>
      <c r="D28" s="470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481"/>
      <c r="T28" s="38"/>
      <c r="U28" s="38"/>
    </row>
    <row r="29" spans="1:21" ht="19.5" customHeight="1" x14ac:dyDescent="0.25">
      <c r="A29" s="38"/>
      <c r="B29" s="38"/>
      <c r="C29" s="470"/>
      <c r="D29" s="470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</row>
    <row r="30" spans="1:21" ht="19.5" customHeight="1" x14ac:dyDescent="0.25">
      <c r="A30" s="38"/>
      <c r="B30" s="38"/>
      <c r="C30" s="470"/>
      <c r="D30" s="470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</row>
    <row r="31" spans="1:21" ht="19.5" customHeight="1" x14ac:dyDescent="0.25">
      <c r="A31" s="38"/>
      <c r="B31" s="38"/>
      <c r="C31" s="470"/>
      <c r="D31" s="470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66"/>
      <c r="T31" s="38"/>
      <c r="U31" s="38"/>
    </row>
    <row r="32" spans="1:21" ht="19.5" customHeight="1" x14ac:dyDescent="0.25">
      <c r="A32" s="38"/>
      <c r="B32" s="38"/>
      <c r="C32" s="470"/>
      <c r="D32" s="470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</row>
    <row r="33" spans="1:21" ht="19.5" customHeight="1" x14ac:dyDescent="0.25">
      <c r="A33" s="38"/>
      <c r="B33" s="38"/>
      <c r="C33" s="470"/>
      <c r="D33" s="470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66"/>
      <c r="T33" s="38"/>
      <c r="U33" s="38"/>
    </row>
    <row r="34" spans="1:21" ht="19.5" customHeight="1" x14ac:dyDescent="0.25">
      <c r="A34" s="38"/>
      <c r="B34" s="38"/>
      <c r="C34" s="470"/>
      <c r="D34" s="470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</row>
    <row r="35" spans="1:21" ht="19.5" customHeight="1" x14ac:dyDescent="0.25">
      <c r="A35" s="38"/>
      <c r="B35" s="38"/>
      <c r="C35" s="470"/>
      <c r="D35" s="470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</row>
    <row r="36" spans="1:21" ht="19.5" customHeight="1" x14ac:dyDescent="0.25">
      <c r="A36" s="38"/>
      <c r="B36" s="38"/>
      <c r="C36" s="470"/>
      <c r="D36" s="470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</row>
    <row r="37" spans="1:21" ht="19.5" customHeight="1" x14ac:dyDescent="0.25">
      <c r="A37" s="38"/>
      <c r="B37" s="38"/>
      <c r="C37" s="470"/>
      <c r="D37" s="470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</row>
    <row r="38" spans="1:21" ht="19.5" customHeight="1" x14ac:dyDescent="0.25">
      <c r="A38" s="38"/>
      <c r="B38" s="38"/>
      <c r="C38" s="470"/>
      <c r="D38" s="470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</row>
    <row r="39" spans="1:21" ht="19.5" customHeight="1" x14ac:dyDescent="0.25">
      <c r="A39" s="38"/>
      <c r="B39" s="38"/>
      <c r="C39" s="470"/>
      <c r="D39" s="470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</row>
    <row r="40" spans="1:21" ht="19.5" customHeight="1" x14ac:dyDescent="0.25">
      <c r="A40" s="38"/>
      <c r="B40" s="38"/>
      <c r="C40" s="470"/>
      <c r="D40" s="470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</row>
    <row r="41" spans="1:21" ht="19.5" customHeight="1" x14ac:dyDescent="0.25">
      <c r="A41" s="38"/>
      <c r="B41" s="38"/>
      <c r="C41" s="470"/>
      <c r="D41" s="470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</row>
    <row r="42" spans="1:21" ht="19.5" customHeight="1" x14ac:dyDescent="0.25">
      <c r="A42" s="38"/>
      <c r="B42" s="38"/>
      <c r="C42" s="470"/>
      <c r="D42" s="470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</row>
    <row r="43" spans="1:21" ht="19.5" customHeight="1" x14ac:dyDescent="0.25">
      <c r="A43" s="38"/>
      <c r="B43" s="38"/>
      <c r="C43" s="470"/>
      <c r="D43" s="470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</row>
    <row r="44" spans="1:21" ht="19.5" customHeight="1" x14ac:dyDescent="0.25">
      <c r="A44" s="38"/>
      <c r="B44" s="38"/>
      <c r="C44" s="470"/>
      <c r="D44" s="470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</row>
    <row r="45" spans="1:21" ht="19.5" customHeight="1" x14ac:dyDescent="0.25">
      <c r="A45" s="38"/>
      <c r="B45" s="38"/>
      <c r="C45" s="470"/>
      <c r="D45" s="470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</row>
    <row r="46" spans="1:21" ht="19.5" customHeight="1" x14ac:dyDescent="0.25">
      <c r="A46" s="38"/>
      <c r="B46" s="38"/>
      <c r="C46" s="470"/>
      <c r="D46" s="470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</row>
    <row r="47" spans="1:21" ht="19.5" customHeight="1" x14ac:dyDescent="0.25">
      <c r="A47" s="38"/>
      <c r="B47" s="38"/>
      <c r="C47" s="470"/>
      <c r="D47" s="470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</row>
    <row r="48" spans="1:21" ht="19.5" customHeight="1" x14ac:dyDescent="0.25">
      <c r="A48" s="38"/>
      <c r="B48" s="38"/>
      <c r="C48" s="470"/>
      <c r="D48" s="470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</row>
    <row r="49" spans="1:21" ht="19.5" customHeight="1" x14ac:dyDescent="0.25">
      <c r="A49" s="38"/>
      <c r="B49" s="38"/>
      <c r="C49" s="470"/>
      <c r="D49" s="470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</row>
    <row r="50" spans="1:21" ht="19.5" customHeight="1" x14ac:dyDescent="0.25">
      <c r="A50" s="38"/>
      <c r="B50" s="38"/>
      <c r="C50" s="470"/>
      <c r="D50" s="470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</row>
    <row r="51" spans="1:21" ht="19.5" customHeight="1" x14ac:dyDescent="0.25">
      <c r="A51" s="38"/>
      <c r="B51" s="38"/>
      <c r="C51" s="470"/>
      <c r="D51" s="470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</row>
    <row r="52" spans="1:21" ht="19.5" customHeight="1" x14ac:dyDescent="0.25">
      <c r="A52" s="38"/>
      <c r="B52" s="38"/>
      <c r="C52" s="470"/>
      <c r="D52" s="470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</row>
    <row r="53" spans="1:21" ht="19.5" customHeight="1" x14ac:dyDescent="0.25">
      <c r="A53" s="38"/>
      <c r="B53" s="38"/>
      <c r="C53" s="470"/>
      <c r="D53" s="470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</row>
    <row r="54" spans="1:21" ht="19.5" customHeight="1" x14ac:dyDescent="0.25">
      <c r="A54" s="38"/>
      <c r="B54" s="38"/>
      <c r="C54" s="470"/>
      <c r="D54" s="470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</row>
    <row r="55" spans="1:21" ht="19.5" customHeight="1" x14ac:dyDescent="0.25">
      <c r="A55" s="38"/>
      <c r="B55" s="38"/>
      <c r="C55" s="470"/>
      <c r="D55" s="470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</row>
    <row r="56" spans="1:21" ht="19.5" customHeight="1" x14ac:dyDescent="0.25">
      <c r="A56" s="38"/>
      <c r="B56" s="38"/>
      <c r="C56" s="470"/>
      <c r="D56" s="470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</row>
    <row r="57" spans="1:21" ht="19.5" customHeight="1" x14ac:dyDescent="0.25">
      <c r="A57" s="38"/>
      <c r="B57" s="38"/>
      <c r="C57" s="470"/>
      <c r="D57" s="470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</row>
    <row r="58" spans="1:21" ht="19.5" customHeight="1" x14ac:dyDescent="0.25">
      <c r="A58" s="38"/>
      <c r="B58" s="38"/>
      <c r="C58" s="470"/>
      <c r="D58" s="470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</row>
    <row r="59" spans="1:21" ht="19.5" customHeight="1" x14ac:dyDescent="0.25">
      <c r="A59" s="38"/>
      <c r="B59" s="38"/>
      <c r="C59" s="470"/>
      <c r="D59" s="470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</row>
    <row r="60" spans="1:21" ht="19.5" customHeight="1" x14ac:dyDescent="0.25">
      <c r="A60" s="38"/>
      <c r="B60" s="38"/>
      <c r="C60" s="470"/>
      <c r="D60" s="470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</row>
    <row r="61" spans="1:21" ht="19.5" customHeight="1" x14ac:dyDescent="0.25">
      <c r="A61" s="38"/>
      <c r="B61" s="38"/>
      <c r="C61" s="470"/>
      <c r="D61" s="470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</row>
    <row r="62" spans="1:21" ht="19.5" customHeight="1" x14ac:dyDescent="0.25">
      <c r="A62" s="38"/>
      <c r="B62" s="38"/>
      <c r="C62" s="470"/>
      <c r="D62" s="470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</row>
    <row r="63" spans="1:21" ht="19.5" customHeight="1" x14ac:dyDescent="0.25">
      <c r="A63" s="38"/>
      <c r="B63" s="38"/>
      <c r="C63" s="470"/>
      <c r="D63" s="470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</row>
    <row r="64" spans="1:21" ht="19.5" customHeight="1" x14ac:dyDescent="0.25">
      <c r="A64" s="38"/>
      <c r="B64" s="38"/>
      <c r="C64" s="470"/>
      <c r="D64" s="470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</row>
    <row r="65" spans="1:21" ht="19.5" customHeight="1" x14ac:dyDescent="0.25">
      <c r="A65" s="38"/>
      <c r="B65" s="38"/>
      <c r="C65" s="470"/>
      <c r="D65" s="470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</row>
    <row r="66" spans="1:21" ht="19.5" customHeight="1" x14ac:dyDescent="0.25">
      <c r="A66" s="38"/>
      <c r="B66" s="38"/>
      <c r="C66" s="470"/>
      <c r="D66" s="470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</row>
    <row r="67" spans="1:21" ht="19.5" customHeight="1" x14ac:dyDescent="0.25">
      <c r="A67" s="38"/>
      <c r="B67" s="38"/>
      <c r="C67" s="470"/>
      <c r="D67" s="470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</row>
    <row r="68" spans="1:21" ht="19.5" customHeight="1" x14ac:dyDescent="0.25">
      <c r="A68" s="38"/>
      <c r="B68" s="38"/>
      <c r="C68" s="470"/>
      <c r="D68" s="470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</row>
    <row r="69" spans="1:21" ht="19.5" customHeight="1" x14ac:dyDescent="0.25">
      <c r="A69" s="38"/>
      <c r="B69" s="38"/>
      <c r="C69" s="470"/>
      <c r="D69" s="470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</row>
    <row r="70" spans="1:21" ht="19.5" customHeight="1" x14ac:dyDescent="0.25">
      <c r="A70" s="38"/>
      <c r="B70" s="38"/>
      <c r="C70" s="470"/>
      <c r="D70" s="470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</row>
    <row r="71" spans="1:21" ht="19.5" customHeight="1" x14ac:dyDescent="0.25">
      <c r="A71" s="38"/>
      <c r="B71" s="38"/>
      <c r="C71" s="470"/>
      <c r="D71" s="470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</row>
    <row r="72" spans="1:21" ht="19.5" customHeight="1" x14ac:dyDescent="0.25">
      <c r="A72" s="38"/>
      <c r="B72" s="38"/>
      <c r="C72" s="470"/>
      <c r="D72" s="470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</row>
    <row r="73" spans="1:21" ht="19.5" customHeight="1" x14ac:dyDescent="0.25">
      <c r="A73" s="38"/>
      <c r="B73" s="38"/>
      <c r="C73" s="470"/>
      <c r="D73" s="470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</row>
    <row r="74" spans="1:21" ht="19.5" customHeight="1" x14ac:dyDescent="0.25">
      <c r="A74" s="38"/>
      <c r="B74" s="38"/>
      <c r="C74" s="470"/>
      <c r="D74" s="470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</row>
    <row r="75" spans="1:21" ht="19.5" customHeight="1" x14ac:dyDescent="0.25">
      <c r="A75" s="38"/>
      <c r="B75" s="38"/>
      <c r="C75" s="470"/>
      <c r="D75" s="470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</row>
    <row r="76" spans="1:21" ht="19.5" customHeight="1" x14ac:dyDescent="0.25">
      <c r="A76" s="38"/>
      <c r="B76" s="38"/>
      <c r="C76" s="470"/>
      <c r="D76" s="470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</row>
    <row r="77" spans="1:21" ht="19.5" customHeight="1" x14ac:dyDescent="0.25">
      <c r="A77" s="38"/>
      <c r="B77" s="38"/>
      <c r="C77" s="470"/>
      <c r="D77" s="470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</row>
    <row r="78" spans="1:21" ht="19.5" customHeight="1" x14ac:dyDescent="0.25">
      <c r="A78" s="38"/>
      <c r="B78" s="38"/>
      <c r="C78" s="470"/>
      <c r="D78" s="470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</row>
    <row r="79" spans="1:21" ht="19.5" customHeight="1" x14ac:dyDescent="0.25">
      <c r="A79" s="38"/>
      <c r="B79" s="38"/>
      <c r="C79" s="470"/>
      <c r="D79" s="470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</row>
    <row r="80" spans="1:21" ht="19.5" customHeight="1" x14ac:dyDescent="0.25">
      <c r="A80" s="38"/>
      <c r="B80" s="38"/>
      <c r="C80" s="470"/>
      <c r="D80" s="470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</row>
    <row r="81" spans="1:21" ht="19.5" customHeight="1" x14ac:dyDescent="0.25">
      <c r="A81" s="38"/>
      <c r="B81" s="38"/>
      <c r="C81" s="470"/>
      <c r="D81" s="470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</row>
    <row r="82" spans="1:21" ht="19.5" customHeight="1" x14ac:dyDescent="0.25">
      <c r="A82" s="38"/>
      <c r="B82" s="38"/>
      <c r="C82" s="470"/>
      <c r="D82" s="470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</row>
    <row r="83" spans="1:21" ht="19.5" customHeight="1" x14ac:dyDescent="0.25">
      <c r="A83" s="38"/>
      <c r="B83" s="38"/>
      <c r="C83" s="470"/>
      <c r="D83" s="470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</row>
    <row r="84" spans="1:21" ht="19.5" customHeight="1" x14ac:dyDescent="0.25">
      <c r="A84" s="38"/>
      <c r="B84" s="38"/>
      <c r="C84" s="470"/>
      <c r="D84" s="470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</row>
    <row r="85" spans="1:21" ht="19.5" customHeight="1" x14ac:dyDescent="0.25">
      <c r="A85" s="38"/>
      <c r="B85" s="38"/>
      <c r="C85" s="470"/>
      <c r="D85" s="470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</row>
    <row r="86" spans="1:21" ht="19.5" customHeight="1" x14ac:dyDescent="0.25">
      <c r="A86" s="38"/>
      <c r="B86" s="38"/>
      <c r="C86" s="470"/>
      <c r="D86" s="470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</row>
    <row r="87" spans="1:21" ht="19.5" customHeight="1" x14ac:dyDescent="0.25">
      <c r="A87" s="38"/>
      <c r="B87" s="38"/>
      <c r="C87" s="470"/>
      <c r="D87" s="470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</row>
    <row r="88" spans="1:21" ht="19.5" customHeight="1" x14ac:dyDescent="0.25">
      <c r="A88" s="38"/>
      <c r="B88" s="38"/>
      <c r="C88" s="470"/>
      <c r="D88" s="470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</row>
    <row r="89" spans="1:21" ht="19.5" customHeight="1" x14ac:dyDescent="0.25">
      <c r="A89" s="38"/>
      <c r="B89" s="38"/>
      <c r="C89" s="470"/>
      <c r="D89" s="470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</row>
    <row r="90" spans="1:21" ht="19.5" customHeight="1" x14ac:dyDescent="0.25">
      <c r="A90" s="38"/>
      <c r="B90" s="38"/>
      <c r="C90" s="470"/>
      <c r="D90" s="470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</row>
    <row r="91" spans="1:21" ht="19.5" customHeight="1" x14ac:dyDescent="0.25">
      <c r="A91" s="38"/>
      <c r="B91" s="38"/>
      <c r="C91" s="470"/>
      <c r="D91" s="470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</row>
    <row r="92" spans="1:21" ht="19.5" customHeight="1" x14ac:dyDescent="0.25">
      <c r="A92" s="38"/>
      <c r="B92" s="38"/>
      <c r="C92" s="470"/>
      <c r="D92" s="470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</row>
    <row r="93" spans="1:21" ht="19.5" customHeight="1" x14ac:dyDescent="0.25">
      <c r="A93" s="38"/>
      <c r="B93" s="38"/>
      <c r="C93" s="470"/>
      <c r="D93" s="470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</row>
    <row r="94" spans="1:21" ht="19.5" customHeight="1" x14ac:dyDescent="0.25">
      <c r="A94" s="38"/>
      <c r="B94" s="38"/>
      <c r="C94" s="470"/>
      <c r="D94" s="470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</row>
    <row r="95" spans="1:21" ht="19.5" customHeight="1" x14ac:dyDescent="0.25">
      <c r="A95" s="38"/>
      <c r="B95" s="38"/>
      <c r="C95" s="470"/>
      <c r="D95" s="470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</row>
    <row r="96" spans="1:21" ht="19.5" customHeight="1" x14ac:dyDescent="0.25">
      <c r="A96" s="38"/>
      <c r="B96" s="38"/>
      <c r="C96" s="470"/>
      <c r="D96" s="470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</row>
    <row r="97" spans="1:21" ht="19.5" customHeight="1" x14ac:dyDescent="0.25">
      <c r="A97" s="38"/>
      <c r="B97" s="38"/>
      <c r="C97" s="470"/>
      <c r="D97" s="470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</row>
    <row r="98" spans="1:21" ht="19.5" customHeight="1" x14ac:dyDescent="0.25">
      <c r="A98" s="38"/>
      <c r="B98" s="38"/>
      <c r="C98" s="470"/>
      <c r="D98" s="470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</row>
    <row r="99" spans="1:21" ht="19.5" customHeight="1" x14ac:dyDescent="0.25">
      <c r="A99" s="38"/>
      <c r="B99" s="38"/>
      <c r="C99" s="470"/>
      <c r="D99" s="470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</row>
    <row r="100" spans="1:21" ht="19.5" customHeight="1" x14ac:dyDescent="0.25">
      <c r="A100" s="38"/>
      <c r="B100" s="38"/>
      <c r="C100" s="470"/>
      <c r="D100" s="470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</row>
    <row r="101" spans="1:21" ht="19.5" customHeight="1" x14ac:dyDescent="0.25">
      <c r="A101" s="38"/>
      <c r="B101" s="38"/>
      <c r="C101" s="470"/>
      <c r="D101" s="470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</row>
    <row r="102" spans="1:21" ht="19.5" customHeight="1" x14ac:dyDescent="0.25">
      <c r="A102" s="38"/>
      <c r="B102" s="38"/>
      <c r="C102" s="470"/>
      <c r="D102" s="470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</row>
    <row r="103" spans="1:21" ht="19.5" customHeight="1" x14ac:dyDescent="0.25">
      <c r="A103" s="38"/>
      <c r="B103" s="38"/>
      <c r="C103" s="470"/>
      <c r="D103" s="470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</row>
    <row r="104" spans="1:21" ht="19.5" customHeight="1" x14ac:dyDescent="0.25">
      <c r="A104" s="38"/>
      <c r="B104" s="38"/>
      <c r="C104" s="470"/>
      <c r="D104" s="470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</row>
    <row r="105" spans="1:21" ht="19.5" customHeight="1" x14ac:dyDescent="0.25">
      <c r="A105" s="38"/>
      <c r="B105" s="38"/>
      <c r="C105" s="470"/>
      <c r="D105" s="470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</row>
    <row r="106" spans="1:21" ht="19.5" customHeight="1" x14ac:dyDescent="0.25">
      <c r="A106" s="38"/>
      <c r="B106" s="38"/>
      <c r="C106" s="470"/>
      <c r="D106" s="470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</row>
    <row r="107" spans="1:21" ht="19.5" customHeight="1" x14ac:dyDescent="0.25">
      <c r="A107" s="38"/>
      <c r="B107" s="38"/>
      <c r="C107" s="470"/>
      <c r="D107" s="470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</row>
    <row r="108" spans="1:21" ht="19.5" customHeight="1" x14ac:dyDescent="0.25">
      <c r="A108" s="38"/>
      <c r="B108" s="38"/>
      <c r="C108" s="470"/>
      <c r="D108" s="470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</row>
    <row r="109" spans="1:21" ht="19.5" customHeight="1" x14ac:dyDescent="0.25">
      <c r="A109" s="38"/>
      <c r="B109" s="38"/>
      <c r="C109" s="470"/>
      <c r="D109" s="470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</row>
    <row r="110" spans="1:21" ht="19.5" customHeight="1" x14ac:dyDescent="0.25">
      <c r="A110" s="38"/>
      <c r="B110" s="38"/>
      <c r="C110" s="470"/>
      <c r="D110" s="470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</row>
    <row r="111" spans="1:21" ht="19.5" customHeight="1" x14ac:dyDescent="0.25">
      <c r="A111" s="38"/>
      <c r="B111" s="38"/>
      <c r="C111" s="470"/>
      <c r="D111" s="470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</row>
    <row r="112" spans="1:21" ht="19.5" customHeight="1" x14ac:dyDescent="0.25">
      <c r="A112" s="38"/>
      <c r="B112" s="38"/>
      <c r="C112" s="470"/>
      <c r="D112" s="470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</row>
    <row r="113" spans="1:21" ht="19.5" customHeight="1" x14ac:dyDescent="0.25">
      <c r="A113" s="38"/>
      <c r="B113" s="38"/>
      <c r="C113" s="470"/>
      <c r="D113" s="470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</row>
    <row r="114" spans="1:21" ht="19.5" customHeight="1" x14ac:dyDescent="0.25">
      <c r="A114" s="38"/>
      <c r="B114" s="38"/>
      <c r="C114" s="470"/>
      <c r="D114" s="470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</row>
    <row r="115" spans="1:21" ht="19.5" customHeight="1" x14ac:dyDescent="0.25">
      <c r="A115" s="38"/>
      <c r="B115" s="38"/>
      <c r="C115" s="470"/>
      <c r="D115" s="470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</row>
    <row r="116" spans="1:21" ht="19.5" customHeight="1" x14ac:dyDescent="0.25">
      <c r="A116" s="38"/>
      <c r="B116" s="38"/>
      <c r="C116" s="470"/>
      <c r="D116" s="470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</row>
    <row r="117" spans="1:21" ht="19.5" customHeight="1" x14ac:dyDescent="0.25">
      <c r="A117" s="38"/>
      <c r="B117" s="38"/>
      <c r="C117" s="470"/>
      <c r="D117" s="470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</row>
    <row r="118" spans="1:21" ht="19.5" customHeight="1" x14ac:dyDescent="0.25">
      <c r="A118" s="38"/>
      <c r="B118" s="38"/>
      <c r="C118" s="470"/>
      <c r="D118" s="470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</row>
    <row r="119" spans="1:21" ht="19.5" customHeight="1" x14ac:dyDescent="0.25">
      <c r="A119" s="38"/>
      <c r="B119" s="38"/>
      <c r="C119" s="470"/>
      <c r="D119" s="470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</row>
    <row r="120" spans="1:21" ht="19.5" customHeight="1" x14ac:dyDescent="0.25">
      <c r="A120" s="38"/>
      <c r="B120" s="38"/>
      <c r="C120" s="470"/>
      <c r="D120" s="470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</row>
    <row r="121" spans="1:21" ht="19.5" customHeight="1" x14ac:dyDescent="0.25">
      <c r="A121" s="38"/>
      <c r="B121" s="38"/>
      <c r="C121" s="470"/>
      <c r="D121" s="470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</row>
    <row r="122" spans="1:21" ht="19.5" customHeight="1" x14ac:dyDescent="0.25">
      <c r="A122" s="38"/>
      <c r="B122" s="38"/>
      <c r="C122" s="470"/>
      <c r="D122" s="470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</row>
    <row r="123" spans="1:21" ht="19.5" customHeight="1" x14ac:dyDescent="0.25">
      <c r="A123" s="38"/>
      <c r="B123" s="38"/>
      <c r="C123" s="470"/>
      <c r="D123" s="470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</row>
    <row r="124" spans="1:21" ht="19.5" customHeight="1" x14ac:dyDescent="0.25">
      <c r="A124" s="38"/>
      <c r="B124" s="38"/>
      <c r="C124" s="470"/>
      <c r="D124" s="470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</row>
    <row r="125" spans="1:21" ht="19.5" customHeight="1" x14ac:dyDescent="0.25">
      <c r="A125" s="38"/>
      <c r="B125" s="38"/>
      <c r="C125" s="470"/>
      <c r="D125" s="470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</row>
    <row r="126" spans="1:21" ht="19.5" customHeight="1" x14ac:dyDescent="0.25">
      <c r="A126" s="38"/>
      <c r="B126" s="38"/>
      <c r="C126" s="470"/>
      <c r="D126" s="470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</row>
    <row r="127" spans="1:21" ht="19.5" customHeight="1" x14ac:dyDescent="0.25">
      <c r="A127" s="38"/>
      <c r="B127" s="38"/>
      <c r="C127" s="470"/>
      <c r="D127" s="470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</row>
    <row r="128" spans="1:21" ht="19.5" customHeight="1" x14ac:dyDescent="0.25">
      <c r="A128" s="38"/>
      <c r="B128" s="38"/>
      <c r="C128" s="470"/>
      <c r="D128" s="470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</row>
    <row r="129" spans="1:21" ht="19.5" customHeight="1" x14ac:dyDescent="0.25">
      <c r="A129" s="38"/>
      <c r="B129" s="38"/>
      <c r="C129" s="470"/>
      <c r="D129" s="470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</row>
    <row r="130" spans="1:21" ht="19.5" customHeight="1" x14ac:dyDescent="0.25">
      <c r="A130" s="38"/>
      <c r="B130" s="38"/>
      <c r="C130" s="470"/>
      <c r="D130" s="470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</row>
    <row r="131" spans="1:21" ht="19.5" customHeight="1" x14ac:dyDescent="0.25">
      <c r="A131" s="38"/>
      <c r="B131" s="38"/>
      <c r="C131" s="470"/>
      <c r="D131" s="470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</row>
    <row r="132" spans="1:21" ht="19.5" customHeight="1" x14ac:dyDescent="0.25">
      <c r="A132" s="38"/>
      <c r="B132" s="38"/>
      <c r="C132" s="470"/>
      <c r="D132" s="470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</row>
    <row r="133" spans="1:21" ht="19.5" customHeight="1" x14ac:dyDescent="0.25">
      <c r="A133" s="38"/>
      <c r="B133" s="38"/>
      <c r="C133" s="470"/>
      <c r="D133" s="470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</row>
    <row r="134" spans="1:21" ht="19.5" customHeight="1" x14ac:dyDescent="0.25">
      <c r="A134" s="38"/>
      <c r="B134" s="38"/>
      <c r="C134" s="470"/>
      <c r="D134" s="470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</row>
    <row r="135" spans="1:21" ht="19.5" customHeight="1" x14ac:dyDescent="0.25">
      <c r="A135" s="38"/>
      <c r="B135" s="38"/>
      <c r="C135" s="470"/>
      <c r="D135" s="470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</row>
    <row r="136" spans="1:21" ht="19.5" customHeight="1" x14ac:dyDescent="0.25">
      <c r="A136" s="38"/>
      <c r="B136" s="38"/>
      <c r="C136" s="470"/>
      <c r="D136" s="470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</row>
    <row r="137" spans="1:21" ht="19.5" customHeight="1" x14ac:dyDescent="0.25">
      <c r="A137" s="38"/>
      <c r="B137" s="38"/>
      <c r="C137" s="470"/>
      <c r="D137" s="470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</row>
    <row r="138" spans="1:21" ht="19.5" customHeight="1" x14ac:dyDescent="0.25">
      <c r="A138" s="38"/>
      <c r="B138" s="38"/>
      <c r="C138" s="470"/>
      <c r="D138" s="470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</row>
    <row r="139" spans="1:21" ht="19.5" customHeight="1" x14ac:dyDescent="0.25">
      <c r="A139" s="38"/>
      <c r="B139" s="38"/>
      <c r="C139" s="470"/>
      <c r="D139" s="470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</row>
    <row r="140" spans="1:21" ht="19.5" customHeight="1" x14ac:dyDescent="0.25">
      <c r="A140" s="38"/>
      <c r="B140" s="38"/>
      <c r="C140" s="470"/>
      <c r="D140" s="470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</row>
    <row r="141" spans="1:21" ht="19.5" customHeight="1" x14ac:dyDescent="0.25">
      <c r="A141" s="38"/>
      <c r="B141" s="38"/>
      <c r="C141" s="470"/>
      <c r="D141" s="470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</row>
    <row r="142" spans="1:21" ht="19.5" customHeight="1" x14ac:dyDescent="0.25">
      <c r="A142" s="38"/>
      <c r="B142" s="38"/>
      <c r="C142" s="470"/>
      <c r="D142" s="470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</row>
    <row r="143" spans="1:21" ht="19.5" customHeight="1" x14ac:dyDescent="0.25">
      <c r="A143" s="38"/>
      <c r="B143" s="38"/>
      <c r="C143" s="470"/>
      <c r="D143" s="470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</row>
    <row r="144" spans="1:21" ht="19.5" customHeight="1" x14ac:dyDescent="0.25">
      <c r="A144" s="38"/>
      <c r="B144" s="38"/>
      <c r="C144" s="470"/>
      <c r="D144" s="470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</row>
    <row r="145" spans="1:21" ht="19.5" customHeight="1" x14ac:dyDescent="0.25">
      <c r="A145" s="38"/>
      <c r="B145" s="38"/>
      <c r="C145" s="470"/>
      <c r="D145" s="470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</row>
    <row r="146" spans="1:21" ht="19.5" customHeight="1" x14ac:dyDescent="0.25">
      <c r="A146" s="38"/>
      <c r="B146" s="38"/>
      <c r="C146" s="470"/>
      <c r="D146" s="470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</row>
    <row r="147" spans="1:21" ht="19.5" customHeight="1" x14ac:dyDescent="0.25">
      <c r="A147" s="38"/>
      <c r="B147" s="38"/>
      <c r="C147" s="470"/>
      <c r="D147" s="470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</row>
    <row r="148" spans="1:21" ht="19.5" customHeight="1" x14ac:dyDescent="0.25">
      <c r="A148" s="38"/>
      <c r="B148" s="38"/>
      <c r="C148" s="470"/>
      <c r="D148" s="470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</row>
    <row r="149" spans="1:21" ht="19.5" customHeight="1" x14ac:dyDescent="0.25">
      <c r="A149" s="38"/>
      <c r="B149" s="38"/>
      <c r="C149" s="470"/>
      <c r="D149" s="470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</row>
    <row r="150" spans="1:21" ht="19.5" customHeight="1" x14ac:dyDescent="0.25">
      <c r="A150" s="38"/>
      <c r="B150" s="38"/>
      <c r="C150" s="470"/>
      <c r="D150" s="470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</row>
    <row r="151" spans="1:21" ht="19.5" customHeight="1" x14ac:dyDescent="0.25">
      <c r="A151" s="38"/>
      <c r="B151" s="38"/>
      <c r="C151" s="470"/>
      <c r="D151" s="470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</row>
    <row r="152" spans="1:21" ht="19.5" customHeight="1" x14ac:dyDescent="0.25">
      <c r="A152" s="38"/>
      <c r="B152" s="38"/>
      <c r="C152" s="470"/>
      <c r="D152" s="470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</row>
    <row r="153" spans="1:21" ht="19.5" customHeight="1" x14ac:dyDescent="0.25">
      <c r="A153" s="38"/>
      <c r="B153" s="38"/>
      <c r="C153" s="470"/>
      <c r="D153" s="470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</row>
    <row r="154" spans="1:21" ht="19.5" customHeight="1" x14ac:dyDescent="0.25">
      <c r="A154" s="38"/>
      <c r="B154" s="38"/>
      <c r="C154" s="470"/>
      <c r="D154" s="470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</row>
    <row r="155" spans="1:21" ht="19.5" customHeight="1" x14ac:dyDescent="0.25">
      <c r="A155" s="38"/>
      <c r="B155" s="38"/>
      <c r="C155" s="470"/>
      <c r="D155" s="470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</row>
    <row r="156" spans="1:21" ht="19.5" customHeight="1" x14ac:dyDescent="0.25">
      <c r="A156" s="38"/>
      <c r="B156" s="38"/>
      <c r="C156" s="470"/>
      <c r="D156" s="470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</row>
    <row r="157" spans="1:21" ht="19.5" customHeight="1" x14ac:dyDescent="0.25">
      <c r="A157" s="38"/>
      <c r="B157" s="38"/>
      <c r="C157" s="470"/>
      <c r="D157" s="470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</row>
    <row r="158" spans="1:21" ht="19.5" customHeight="1" x14ac:dyDescent="0.25">
      <c r="A158" s="38"/>
      <c r="B158" s="38"/>
      <c r="C158" s="470"/>
      <c r="D158" s="470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</row>
    <row r="159" spans="1:21" ht="19.5" customHeight="1" x14ac:dyDescent="0.25">
      <c r="A159" s="38"/>
      <c r="B159" s="38"/>
      <c r="C159" s="470"/>
      <c r="D159" s="470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</row>
    <row r="160" spans="1:21" ht="19.5" customHeight="1" x14ac:dyDescent="0.25">
      <c r="A160" s="38"/>
      <c r="B160" s="38"/>
      <c r="C160" s="470"/>
      <c r="D160" s="470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</row>
    <row r="161" spans="1:21" ht="19.5" customHeight="1" x14ac:dyDescent="0.25">
      <c r="A161" s="38"/>
      <c r="B161" s="38"/>
      <c r="C161" s="470"/>
      <c r="D161" s="470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</row>
    <row r="162" spans="1:21" ht="19.5" customHeight="1" x14ac:dyDescent="0.25">
      <c r="A162" s="38"/>
      <c r="B162" s="38"/>
      <c r="C162" s="470"/>
      <c r="D162" s="470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</row>
    <row r="163" spans="1:21" ht="19.5" customHeight="1" x14ac:dyDescent="0.25">
      <c r="A163" s="38"/>
      <c r="B163" s="38"/>
      <c r="C163" s="470"/>
      <c r="D163" s="470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</row>
    <row r="164" spans="1:21" ht="19.5" customHeight="1" x14ac:dyDescent="0.25">
      <c r="A164" s="38"/>
      <c r="B164" s="38"/>
      <c r="C164" s="470"/>
      <c r="D164" s="470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</row>
    <row r="165" spans="1:21" ht="19.5" customHeight="1" x14ac:dyDescent="0.25">
      <c r="A165" s="38"/>
      <c r="B165" s="38"/>
      <c r="C165" s="470"/>
      <c r="D165" s="470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</row>
    <row r="166" spans="1:21" ht="19.5" customHeight="1" x14ac:dyDescent="0.25">
      <c r="A166" s="38"/>
      <c r="B166" s="38"/>
      <c r="C166" s="470"/>
      <c r="D166" s="470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</row>
    <row r="167" spans="1:21" ht="19.5" customHeight="1" x14ac:dyDescent="0.25">
      <c r="A167" s="38"/>
      <c r="B167" s="38"/>
      <c r="C167" s="470"/>
      <c r="D167" s="470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</row>
    <row r="168" spans="1:21" ht="19.5" customHeight="1" x14ac:dyDescent="0.25">
      <c r="A168" s="38"/>
      <c r="B168" s="38"/>
      <c r="C168" s="470"/>
      <c r="D168" s="470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</row>
    <row r="169" spans="1:21" ht="19.5" customHeight="1" x14ac:dyDescent="0.25">
      <c r="A169" s="38"/>
      <c r="B169" s="38"/>
      <c r="C169" s="470"/>
      <c r="D169" s="470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</row>
    <row r="170" spans="1:21" ht="19.5" customHeight="1" x14ac:dyDescent="0.25">
      <c r="A170" s="38"/>
      <c r="B170" s="38"/>
      <c r="C170" s="470"/>
      <c r="D170" s="470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</row>
    <row r="171" spans="1:21" ht="19.5" customHeight="1" x14ac:dyDescent="0.25">
      <c r="A171" s="38"/>
      <c r="B171" s="38"/>
      <c r="C171" s="470"/>
      <c r="D171" s="470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</row>
    <row r="172" spans="1:21" ht="19.5" customHeight="1" x14ac:dyDescent="0.25">
      <c r="A172" s="38"/>
      <c r="B172" s="38"/>
      <c r="C172" s="470"/>
      <c r="D172" s="470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</row>
    <row r="173" spans="1:21" ht="19.5" customHeight="1" x14ac:dyDescent="0.25">
      <c r="A173" s="38"/>
      <c r="B173" s="38"/>
      <c r="C173" s="470"/>
      <c r="D173" s="470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</row>
    <row r="174" spans="1:21" ht="19.5" customHeight="1" x14ac:dyDescent="0.25">
      <c r="A174" s="38"/>
      <c r="B174" s="38"/>
      <c r="C174" s="470"/>
      <c r="D174" s="470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</row>
    <row r="175" spans="1:21" ht="19.5" customHeight="1" x14ac:dyDescent="0.25">
      <c r="A175" s="38"/>
      <c r="B175" s="38"/>
      <c r="C175" s="470"/>
      <c r="D175" s="470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</row>
    <row r="176" spans="1:21" ht="19.5" customHeight="1" x14ac:dyDescent="0.25">
      <c r="A176" s="38"/>
      <c r="B176" s="38"/>
      <c r="C176" s="470"/>
      <c r="D176" s="470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</row>
    <row r="177" spans="1:21" ht="19.5" customHeight="1" x14ac:dyDescent="0.25">
      <c r="A177" s="38"/>
      <c r="B177" s="38"/>
      <c r="C177" s="470"/>
      <c r="D177" s="470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</row>
    <row r="178" spans="1:21" ht="19.5" customHeight="1" x14ac:dyDescent="0.25">
      <c r="A178" s="38"/>
      <c r="B178" s="38"/>
      <c r="C178" s="470"/>
      <c r="D178" s="470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</row>
    <row r="179" spans="1:21" ht="19.5" customHeight="1" x14ac:dyDescent="0.25">
      <c r="A179" s="38"/>
      <c r="B179" s="38"/>
      <c r="C179" s="470"/>
      <c r="D179" s="470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</row>
    <row r="180" spans="1:21" ht="19.5" customHeight="1" x14ac:dyDescent="0.25">
      <c r="A180" s="38"/>
      <c r="B180" s="38"/>
      <c r="C180" s="470"/>
      <c r="D180" s="470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</row>
    <row r="181" spans="1:21" ht="19.5" customHeight="1" x14ac:dyDescent="0.25">
      <c r="A181" s="38"/>
      <c r="B181" s="38"/>
      <c r="C181" s="470"/>
      <c r="D181" s="470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</row>
    <row r="182" spans="1:21" ht="19.5" customHeight="1" x14ac:dyDescent="0.25">
      <c r="A182" s="38"/>
      <c r="B182" s="38"/>
      <c r="C182" s="470"/>
      <c r="D182" s="470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</row>
    <row r="183" spans="1:21" ht="19.5" customHeight="1" x14ac:dyDescent="0.25">
      <c r="A183" s="38"/>
      <c r="B183" s="38"/>
      <c r="C183" s="470"/>
      <c r="D183" s="470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</row>
    <row r="184" spans="1:21" ht="19.5" customHeight="1" x14ac:dyDescent="0.25">
      <c r="A184" s="38"/>
      <c r="B184" s="38"/>
      <c r="C184" s="470"/>
      <c r="D184" s="470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</row>
    <row r="185" spans="1:21" ht="19.5" customHeight="1" x14ac:dyDescent="0.25">
      <c r="A185" s="38"/>
      <c r="B185" s="38"/>
      <c r="C185" s="470"/>
      <c r="D185" s="470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</row>
    <row r="186" spans="1:21" ht="19.5" customHeight="1" x14ac:dyDescent="0.25">
      <c r="A186" s="38"/>
      <c r="B186" s="38"/>
      <c r="C186" s="470"/>
      <c r="D186" s="470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</row>
    <row r="187" spans="1:21" ht="19.5" customHeight="1" x14ac:dyDescent="0.25">
      <c r="A187" s="38"/>
      <c r="B187" s="38"/>
      <c r="C187" s="470"/>
      <c r="D187" s="470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</row>
    <row r="188" spans="1:21" ht="19.5" customHeight="1" x14ac:dyDescent="0.25">
      <c r="A188" s="38"/>
      <c r="B188" s="38"/>
      <c r="C188" s="470"/>
      <c r="D188" s="470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</row>
    <row r="189" spans="1:21" ht="19.5" customHeight="1" x14ac:dyDescent="0.25">
      <c r="A189" s="38"/>
      <c r="B189" s="38"/>
      <c r="C189" s="470"/>
      <c r="D189" s="470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</row>
    <row r="190" spans="1:21" ht="19.5" customHeight="1" x14ac:dyDescent="0.25">
      <c r="A190" s="38"/>
      <c r="B190" s="38"/>
      <c r="C190" s="470"/>
      <c r="D190" s="470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</row>
    <row r="191" spans="1:21" ht="19.5" customHeight="1" x14ac:dyDescent="0.25">
      <c r="A191" s="38"/>
      <c r="B191" s="38"/>
      <c r="C191" s="470"/>
      <c r="D191" s="470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</row>
    <row r="192" spans="1:21" ht="19.5" customHeight="1" x14ac:dyDescent="0.25">
      <c r="A192" s="38"/>
      <c r="B192" s="38"/>
      <c r="C192" s="470"/>
      <c r="D192" s="470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</row>
    <row r="193" spans="1:21" ht="19.5" customHeight="1" x14ac:dyDescent="0.25">
      <c r="A193" s="38"/>
      <c r="B193" s="38"/>
      <c r="C193" s="470"/>
      <c r="D193" s="470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</row>
    <row r="194" spans="1:21" ht="19.5" customHeight="1" x14ac:dyDescent="0.25">
      <c r="A194" s="38"/>
      <c r="B194" s="38"/>
      <c r="C194" s="470"/>
      <c r="D194" s="470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</row>
    <row r="195" spans="1:21" ht="19.5" customHeight="1" x14ac:dyDescent="0.25">
      <c r="A195" s="38"/>
      <c r="B195" s="38"/>
      <c r="C195" s="470"/>
      <c r="D195" s="470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</row>
    <row r="196" spans="1:21" ht="19.5" customHeight="1" x14ac:dyDescent="0.25">
      <c r="A196" s="38"/>
      <c r="B196" s="38"/>
      <c r="C196" s="470"/>
      <c r="D196" s="470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</row>
    <row r="197" spans="1:21" ht="19.5" customHeight="1" x14ac:dyDescent="0.25">
      <c r="A197" s="38"/>
      <c r="B197" s="38"/>
      <c r="C197" s="470"/>
      <c r="D197" s="470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</row>
    <row r="198" spans="1:21" ht="19.5" customHeight="1" x14ac:dyDescent="0.25">
      <c r="A198" s="38"/>
      <c r="B198" s="38"/>
      <c r="C198" s="470"/>
      <c r="D198" s="470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</row>
    <row r="199" spans="1:21" ht="19.5" customHeight="1" x14ac:dyDescent="0.25">
      <c r="A199" s="38"/>
      <c r="B199" s="38"/>
      <c r="C199" s="470"/>
      <c r="D199" s="470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</row>
    <row r="200" spans="1:21" ht="19.5" customHeight="1" x14ac:dyDescent="0.25">
      <c r="A200" s="38"/>
      <c r="B200" s="38"/>
      <c r="C200" s="470"/>
      <c r="D200" s="470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</row>
    <row r="201" spans="1:21" ht="19.5" customHeight="1" x14ac:dyDescent="0.25">
      <c r="A201" s="38"/>
      <c r="B201" s="38"/>
      <c r="C201" s="470"/>
      <c r="D201" s="470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</row>
    <row r="202" spans="1:21" ht="19.5" customHeight="1" x14ac:dyDescent="0.25">
      <c r="A202" s="38"/>
      <c r="B202" s="38"/>
      <c r="C202" s="470"/>
      <c r="D202" s="470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</row>
    <row r="203" spans="1:21" ht="19.5" customHeight="1" x14ac:dyDescent="0.25">
      <c r="A203" s="38"/>
      <c r="B203" s="38"/>
      <c r="C203" s="470"/>
      <c r="D203" s="470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</row>
    <row r="204" spans="1:21" ht="19.5" customHeight="1" x14ac:dyDescent="0.25">
      <c r="A204" s="38"/>
      <c r="B204" s="38"/>
      <c r="C204" s="470"/>
      <c r="D204" s="470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</row>
    <row r="205" spans="1:21" ht="19.5" customHeight="1" x14ac:dyDescent="0.25">
      <c r="A205" s="38"/>
      <c r="B205" s="38"/>
      <c r="C205" s="470"/>
      <c r="D205" s="470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</row>
    <row r="206" spans="1:21" ht="19.5" customHeight="1" x14ac:dyDescent="0.25">
      <c r="A206" s="38"/>
      <c r="B206" s="38"/>
      <c r="C206" s="470"/>
      <c r="D206" s="470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</row>
    <row r="207" spans="1:21" ht="19.5" customHeight="1" x14ac:dyDescent="0.25">
      <c r="A207" s="38"/>
      <c r="B207" s="38"/>
      <c r="C207" s="470"/>
      <c r="D207" s="470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</row>
    <row r="208" spans="1:21" ht="19.5" customHeight="1" x14ac:dyDescent="0.25">
      <c r="A208" s="38"/>
      <c r="B208" s="38"/>
      <c r="C208" s="470"/>
      <c r="D208" s="470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</row>
    <row r="209" spans="1:21" ht="19.5" customHeight="1" x14ac:dyDescent="0.25">
      <c r="A209" s="38"/>
      <c r="B209" s="38"/>
      <c r="C209" s="470"/>
      <c r="D209" s="470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</row>
    <row r="210" spans="1:21" ht="19.5" customHeight="1" x14ac:dyDescent="0.25">
      <c r="A210" s="38"/>
      <c r="B210" s="38"/>
      <c r="C210" s="470"/>
      <c r="D210" s="470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</row>
    <row r="211" spans="1:21" ht="19.5" customHeight="1" x14ac:dyDescent="0.25">
      <c r="A211" s="38"/>
      <c r="B211" s="38"/>
      <c r="C211" s="470"/>
      <c r="D211" s="470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</row>
    <row r="212" spans="1:21" ht="19.5" customHeight="1" x14ac:dyDescent="0.25">
      <c r="A212" s="38"/>
      <c r="B212" s="38"/>
      <c r="C212" s="470"/>
      <c r="D212" s="470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</row>
    <row r="213" spans="1:21" ht="19.5" customHeight="1" x14ac:dyDescent="0.25">
      <c r="A213" s="38"/>
      <c r="B213" s="38"/>
      <c r="C213" s="470"/>
      <c r="D213" s="470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</row>
    <row r="214" spans="1:21" ht="19.5" customHeight="1" x14ac:dyDescent="0.25">
      <c r="A214" s="38"/>
      <c r="B214" s="38"/>
      <c r="C214" s="470"/>
      <c r="D214" s="470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</row>
    <row r="215" spans="1:21" ht="19.5" customHeight="1" x14ac:dyDescent="0.25">
      <c r="A215" s="38"/>
      <c r="B215" s="38"/>
      <c r="C215" s="470"/>
      <c r="D215" s="470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</row>
    <row r="216" spans="1:21" ht="19.5" customHeight="1" x14ac:dyDescent="0.25">
      <c r="A216" s="38"/>
      <c r="B216" s="38"/>
      <c r="C216" s="470"/>
      <c r="D216" s="470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</row>
    <row r="217" spans="1:21" ht="19.5" customHeight="1" x14ac:dyDescent="0.25">
      <c r="A217" s="38"/>
      <c r="B217" s="38"/>
      <c r="C217" s="470"/>
      <c r="D217" s="470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</row>
    <row r="218" spans="1:21" ht="19.5" customHeight="1" x14ac:dyDescent="0.25">
      <c r="A218" s="38"/>
      <c r="B218" s="38"/>
      <c r="C218" s="470"/>
      <c r="D218" s="470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</row>
    <row r="219" spans="1:21" ht="19.5" customHeight="1" x14ac:dyDescent="0.25">
      <c r="A219" s="38"/>
      <c r="B219" s="38"/>
      <c r="C219" s="470"/>
      <c r="D219" s="470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</row>
    <row r="220" spans="1:21" ht="19.5" customHeight="1" x14ac:dyDescent="0.25">
      <c r="A220" s="38"/>
      <c r="B220" s="38"/>
      <c r="C220" s="470"/>
      <c r="D220" s="470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</row>
    <row r="221" spans="1:21" ht="19.5" customHeight="1" x14ac:dyDescent="0.25">
      <c r="A221" s="38"/>
      <c r="B221" s="38"/>
      <c r="C221" s="470"/>
      <c r="D221" s="470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</row>
    <row r="222" spans="1:21" ht="19.5" customHeight="1" x14ac:dyDescent="0.25">
      <c r="A222" s="38"/>
      <c r="B222" s="38"/>
      <c r="C222" s="470"/>
      <c r="D222" s="470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</row>
    <row r="223" spans="1:21" ht="19.5" customHeight="1" x14ac:dyDescent="0.25">
      <c r="A223" s="38"/>
      <c r="B223" s="38"/>
      <c r="C223" s="470"/>
      <c r="D223" s="470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</row>
    <row r="224" spans="1:21" ht="19.5" customHeight="1" x14ac:dyDescent="0.25">
      <c r="A224" s="38"/>
      <c r="B224" s="38"/>
      <c r="C224" s="470"/>
      <c r="D224" s="470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</row>
    <row r="225" spans="1:21" ht="19.5" customHeight="1" x14ac:dyDescent="0.25">
      <c r="A225" s="38"/>
      <c r="B225" s="38"/>
      <c r="C225" s="470"/>
      <c r="D225" s="470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</row>
    <row r="226" spans="1:21" ht="19.5" customHeight="1" x14ac:dyDescent="0.25">
      <c r="A226" s="38"/>
      <c r="B226" s="38"/>
      <c r="C226" s="470"/>
      <c r="D226" s="470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</row>
    <row r="227" spans="1:21" ht="19.5" customHeight="1" x14ac:dyDescent="0.25">
      <c r="A227" s="38"/>
      <c r="B227" s="38"/>
      <c r="C227" s="470"/>
      <c r="D227" s="470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</row>
    <row r="228" spans="1:21" ht="19.5" customHeight="1" x14ac:dyDescent="0.25">
      <c r="A228" s="38"/>
      <c r="B228" s="38"/>
      <c r="C228" s="470"/>
      <c r="D228" s="470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</row>
    <row r="229" spans="1:21" ht="19.5" customHeight="1" x14ac:dyDescent="0.25">
      <c r="A229" s="38"/>
      <c r="B229" s="38"/>
      <c r="C229" s="470"/>
      <c r="D229" s="470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</row>
    <row r="230" spans="1:21" ht="19.5" customHeight="1" x14ac:dyDescent="0.25">
      <c r="A230" s="38"/>
      <c r="B230" s="38"/>
      <c r="C230" s="470"/>
      <c r="D230" s="470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</row>
    <row r="231" spans="1:21" ht="19.5" customHeight="1" x14ac:dyDescent="0.25">
      <c r="A231" s="38"/>
      <c r="B231" s="38"/>
      <c r="C231" s="470"/>
      <c r="D231" s="470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</row>
    <row r="232" spans="1:21" ht="19.5" customHeight="1" x14ac:dyDescent="0.25">
      <c r="A232" s="38"/>
      <c r="B232" s="38"/>
      <c r="C232" s="470"/>
      <c r="D232" s="470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</row>
    <row r="233" spans="1:21" ht="19.5" customHeight="1" x14ac:dyDescent="0.25">
      <c r="A233" s="38"/>
      <c r="B233" s="38"/>
      <c r="C233" s="470"/>
      <c r="D233" s="470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</row>
    <row r="234" spans="1:21" ht="19.5" customHeight="1" x14ac:dyDescent="0.25">
      <c r="A234" s="38"/>
      <c r="B234" s="38"/>
      <c r="C234" s="470"/>
      <c r="D234" s="470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</row>
    <row r="235" spans="1:21" ht="19.5" customHeight="1" x14ac:dyDescent="0.25">
      <c r="A235" s="38"/>
      <c r="B235" s="38"/>
      <c r="C235" s="470"/>
      <c r="D235" s="470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</row>
    <row r="236" spans="1:21" ht="19.5" customHeight="1" x14ac:dyDescent="0.25">
      <c r="A236" s="38"/>
      <c r="B236" s="38"/>
      <c r="C236" s="470"/>
      <c r="D236" s="470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</row>
    <row r="237" spans="1:21" ht="19.5" customHeight="1" x14ac:dyDescent="0.25">
      <c r="A237" s="38"/>
      <c r="B237" s="38"/>
      <c r="C237" s="470"/>
      <c r="D237" s="470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</row>
    <row r="238" spans="1:21" ht="19.5" customHeight="1" x14ac:dyDescent="0.25">
      <c r="A238" s="38"/>
      <c r="B238" s="38"/>
      <c r="C238" s="470"/>
      <c r="D238" s="470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</row>
    <row r="239" spans="1:21" ht="19.5" customHeight="1" x14ac:dyDescent="0.25">
      <c r="A239" s="38"/>
      <c r="B239" s="38"/>
      <c r="C239" s="470"/>
      <c r="D239" s="470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</row>
    <row r="240" spans="1:21" ht="19.5" customHeight="1" x14ac:dyDescent="0.25">
      <c r="A240" s="38"/>
      <c r="B240" s="38"/>
      <c r="C240" s="470"/>
      <c r="D240" s="470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</row>
    <row r="241" spans="1:21" ht="19.5" customHeight="1" x14ac:dyDescent="0.25">
      <c r="A241" s="38"/>
      <c r="B241" s="38"/>
      <c r="C241" s="470"/>
      <c r="D241" s="470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</row>
    <row r="242" spans="1:21" ht="19.5" customHeight="1" x14ac:dyDescent="0.25">
      <c r="A242" s="38"/>
      <c r="B242" s="38"/>
      <c r="C242" s="470"/>
      <c r="D242" s="470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</row>
    <row r="243" spans="1:21" ht="19.5" customHeight="1" x14ac:dyDescent="0.25">
      <c r="A243" s="38"/>
      <c r="B243" s="38"/>
      <c r="C243" s="470"/>
      <c r="D243" s="470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</row>
    <row r="244" spans="1:21" ht="19.5" customHeight="1" x14ac:dyDescent="0.25">
      <c r="A244" s="38"/>
      <c r="B244" s="38"/>
      <c r="C244" s="470"/>
      <c r="D244" s="470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</row>
    <row r="245" spans="1:21" ht="19.5" customHeight="1" x14ac:dyDescent="0.25">
      <c r="A245" s="38"/>
      <c r="B245" s="38"/>
      <c r="C245" s="470"/>
      <c r="D245" s="470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</row>
    <row r="246" spans="1:21" ht="19.5" customHeight="1" x14ac:dyDescent="0.25">
      <c r="A246" s="38"/>
      <c r="B246" s="38"/>
      <c r="C246" s="470"/>
      <c r="D246" s="470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</row>
    <row r="247" spans="1:21" ht="19.5" customHeight="1" x14ac:dyDescent="0.25">
      <c r="A247" s="38"/>
      <c r="B247" s="38"/>
      <c r="C247" s="470"/>
      <c r="D247" s="470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</row>
    <row r="248" spans="1:21" ht="19.5" customHeight="1" x14ac:dyDescent="0.25">
      <c r="A248" s="38"/>
      <c r="B248" s="38"/>
      <c r="C248" s="470"/>
      <c r="D248" s="470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</row>
    <row r="249" spans="1:21" ht="19.5" customHeight="1" x14ac:dyDescent="0.25">
      <c r="A249" s="38"/>
      <c r="B249" s="38"/>
      <c r="C249" s="470"/>
      <c r="D249" s="470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</row>
    <row r="250" spans="1:21" ht="19.5" customHeight="1" x14ac:dyDescent="0.25">
      <c r="A250" s="38"/>
      <c r="B250" s="38"/>
      <c r="C250" s="470"/>
      <c r="D250" s="470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</row>
    <row r="251" spans="1:21" ht="19.5" customHeight="1" x14ac:dyDescent="0.25">
      <c r="A251" s="38"/>
      <c r="B251" s="38"/>
      <c r="C251" s="470"/>
      <c r="D251" s="470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</row>
    <row r="252" spans="1:21" ht="19.5" customHeight="1" x14ac:dyDescent="0.25">
      <c r="A252" s="38"/>
      <c r="B252" s="38"/>
      <c r="C252" s="470"/>
      <c r="D252" s="470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</row>
    <row r="253" spans="1:21" ht="19.5" customHeight="1" x14ac:dyDescent="0.25">
      <c r="A253" s="38"/>
      <c r="B253" s="38"/>
      <c r="C253" s="470"/>
      <c r="D253" s="470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</row>
    <row r="254" spans="1:21" ht="19.5" customHeight="1" x14ac:dyDescent="0.25">
      <c r="A254" s="38"/>
      <c r="B254" s="38"/>
      <c r="C254" s="470"/>
      <c r="D254" s="470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</row>
    <row r="255" spans="1:21" ht="19.5" customHeight="1" x14ac:dyDescent="0.25">
      <c r="A255" s="38"/>
      <c r="B255" s="38"/>
      <c r="C255" s="470"/>
      <c r="D255" s="470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</row>
    <row r="256" spans="1:21" ht="19.5" customHeight="1" x14ac:dyDescent="0.25">
      <c r="A256" s="38"/>
      <c r="B256" s="38"/>
      <c r="C256" s="470"/>
      <c r="D256" s="470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</row>
    <row r="257" spans="1:21" ht="19.5" customHeight="1" x14ac:dyDescent="0.25">
      <c r="A257" s="38"/>
      <c r="B257" s="38"/>
      <c r="C257" s="470"/>
      <c r="D257" s="470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</row>
    <row r="258" spans="1:21" ht="19.5" customHeight="1" x14ac:dyDescent="0.25">
      <c r="A258" s="38"/>
      <c r="B258" s="38"/>
      <c r="C258" s="470"/>
      <c r="D258" s="470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</row>
    <row r="259" spans="1:21" ht="19.5" customHeight="1" x14ac:dyDescent="0.25">
      <c r="A259" s="38"/>
      <c r="B259" s="38"/>
      <c r="C259" s="470"/>
      <c r="D259" s="470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</row>
    <row r="260" spans="1:21" ht="19.5" customHeight="1" x14ac:dyDescent="0.25">
      <c r="A260" s="38"/>
      <c r="B260" s="38"/>
      <c r="C260" s="470"/>
      <c r="D260" s="470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</row>
    <row r="261" spans="1:21" ht="19.5" customHeight="1" x14ac:dyDescent="0.25">
      <c r="A261" s="38"/>
      <c r="B261" s="38"/>
      <c r="C261" s="470"/>
      <c r="D261" s="470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</row>
    <row r="262" spans="1:21" ht="19.5" customHeight="1" x14ac:dyDescent="0.25">
      <c r="A262" s="38"/>
      <c r="B262" s="38"/>
      <c r="C262" s="470"/>
      <c r="D262" s="470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</row>
    <row r="263" spans="1:21" ht="19.5" customHeight="1" x14ac:dyDescent="0.25">
      <c r="A263" s="38"/>
      <c r="B263" s="38"/>
      <c r="C263" s="470"/>
      <c r="D263" s="470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</row>
    <row r="264" spans="1:21" ht="19.5" customHeight="1" x14ac:dyDescent="0.25">
      <c r="A264" s="38"/>
      <c r="B264" s="38"/>
      <c r="C264" s="470"/>
      <c r="D264" s="470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</row>
    <row r="265" spans="1:21" ht="19.5" customHeight="1" x14ac:dyDescent="0.25">
      <c r="A265" s="38"/>
      <c r="B265" s="38"/>
      <c r="C265" s="470"/>
      <c r="D265" s="470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</row>
    <row r="266" spans="1:21" ht="19.5" customHeight="1" x14ac:dyDescent="0.25">
      <c r="A266" s="38"/>
      <c r="B266" s="38"/>
      <c r="C266" s="470"/>
      <c r="D266" s="470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</row>
    <row r="267" spans="1:21" ht="19.5" customHeight="1" x14ac:dyDescent="0.25">
      <c r="A267" s="38"/>
      <c r="B267" s="38"/>
      <c r="C267" s="470"/>
      <c r="D267" s="470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</row>
    <row r="268" spans="1:21" ht="19.5" customHeight="1" x14ac:dyDescent="0.25">
      <c r="A268" s="38"/>
      <c r="B268" s="38"/>
      <c r="C268" s="470"/>
      <c r="D268" s="470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</row>
    <row r="269" spans="1:21" ht="19.5" customHeight="1" x14ac:dyDescent="0.25">
      <c r="A269" s="38"/>
      <c r="B269" s="38"/>
      <c r="C269" s="470"/>
      <c r="D269" s="470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</row>
    <row r="270" spans="1:21" ht="19.5" customHeight="1" x14ac:dyDescent="0.25">
      <c r="A270" s="38"/>
      <c r="B270" s="38"/>
      <c r="C270" s="470"/>
      <c r="D270" s="470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</row>
    <row r="271" spans="1:21" ht="19.5" customHeight="1" x14ac:dyDescent="0.25">
      <c r="A271" s="38"/>
      <c r="B271" s="38"/>
      <c r="C271" s="470"/>
      <c r="D271" s="470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</row>
    <row r="272" spans="1:21" ht="19.5" customHeight="1" x14ac:dyDescent="0.25">
      <c r="A272" s="38"/>
      <c r="B272" s="38"/>
      <c r="C272" s="470"/>
      <c r="D272" s="470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</row>
    <row r="273" spans="1:21" ht="19.5" customHeight="1" x14ac:dyDescent="0.25">
      <c r="A273" s="38"/>
      <c r="B273" s="38"/>
      <c r="C273" s="470"/>
      <c r="D273" s="470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</row>
    <row r="274" spans="1:21" ht="19.5" customHeight="1" x14ac:dyDescent="0.25">
      <c r="A274" s="38"/>
      <c r="B274" s="38"/>
      <c r="C274" s="470"/>
      <c r="D274" s="470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</row>
    <row r="275" spans="1:21" ht="19.5" customHeight="1" x14ac:dyDescent="0.25">
      <c r="A275" s="38"/>
      <c r="B275" s="38"/>
      <c r="C275" s="470"/>
      <c r="D275" s="470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</row>
    <row r="276" spans="1:21" ht="19.5" customHeight="1" x14ac:dyDescent="0.25">
      <c r="A276" s="38"/>
      <c r="B276" s="38"/>
      <c r="C276" s="470"/>
      <c r="D276" s="470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</row>
    <row r="277" spans="1:21" ht="19.5" customHeight="1" x14ac:dyDescent="0.25">
      <c r="A277" s="38"/>
      <c r="B277" s="38"/>
      <c r="C277" s="470"/>
      <c r="D277" s="470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</row>
    <row r="278" spans="1:21" ht="19.5" customHeight="1" x14ac:dyDescent="0.25">
      <c r="A278" s="38"/>
      <c r="B278" s="38"/>
      <c r="C278" s="470"/>
      <c r="D278" s="470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</row>
    <row r="279" spans="1:21" ht="19.5" customHeight="1" x14ac:dyDescent="0.25">
      <c r="A279" s="38"/>
      <c r="B279" s="38"/>
      <c r="C279" s="470"/>
      <c r="D279" s="470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</row>
    <row r="280" spans="1:21" ht="19.5" customHeight="1" x14ac:dyDescent="0.25">
      <c r="A280" s="38"/>
      <c r="B280" s="38"/>
      <c r="C280" s="470"/>
      <c r="D280" s="470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</row>
    <row r="281" spans="1:21" ht="19.5" customHeight="1" x14ac:dyDescent="0.25">
      <c r="A281" s="38"/>
      <c r="B281" s="38"/>
      <c r="C281" s="470"/>
      <c r="D281" s="470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</row>
    <row r="282" spans="1:21" ht="19.5" customHeight="1" x14ac:dyDescent="0.25">
      <c r="A282" s="38"/>
      <c r="B282" s="38"/>
      <c r="C282" s="470"/>
      <c r="D282" s="470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</row>
    <row r="283" spans="1:21" ht="19.5" customHeight="1" x14ac:dyDescent="0.25">
      <c r="A283" s="38"/>
      <c r="B283" s="38"/>
      <c r="C283" s="470"/>
      <c r="D283" s="470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</row>
    <row r="284" spans="1:21" ht="19.5" customHeight="1" x14ac:dyDescent="0.25">
      <c r="A284" s="38"/>
      <c r="B284" s="38"/>
      <c r="C284" s="470"/>
      <c r="D284" s="470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</row>
    <row r="285" spans="1:21" ht="19.5" customHeight="1" x14ac:dyDescent="0.25">
      <c r="A285" s="38"/>
      <c r="B285" s="38"/>
      <c r="C285" s="470"/>
      <c r="D285" s="470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</row>
    <row r="286" spans="1:21" ht="19.5" customHeight="1" x14ac:dyDescent="0.25">
      <c r="A286" s="38"/>
      <c r="B286" s="38"/>
      <c r="C286" s="470"/>
      <c r="D286" s="470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</row>
    <row r="287" spans="1:21" ht="19.5" customHeight="1" x14ac:dyDescent="0.25">
      <c r="A287" s="38"/>
      <c r="B287" s="38"/>
      <c r="C287" s="470"/>
      <c r="D287" s="470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</row>
    <row r="288" spans="1:21" ht="19.5" customHeight="1" x14ac:dyDescent="0.25">
      <c r="A288" s="38"/>
      <c r="B288" s="38"/>
      <c r="C288" s="470"/>
      <c r="D288" s="470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</row>
    <row r="289" spans="1:21" ht="19.5" customHeight="1" x14ac:dyDescent="0.25">
      <c r="A289" s="38"/>
      <c r="B289" s="38"/>
      <c r="C289" s="470"/>
      <c r="D289" s="470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</row>
    <row r="290" spans="1:21" ht="19.5" customHeight="1" x14ac:dyDescent="0.25">
      <c r="A290" s="38"/>
      <c r="B290" s="38"/>
      <c r="C290" s="470"/>
      <c r="D290" s="470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</row>
    <row r="291" spans="1:21" ht="19.5" customHeight="1" x14ac:dyDescent="0.25">
      <c r="A291" s="38"/>
      <c r="B291" s="38"/>
      <c r="C291" s="470"/>
      <c r="D291" s="470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</row>
    <row r="292" spans="1:21" ht="19.5" customHeight="1" x14ac:dyDescent="0.25">
      <c r="A292" s="38"/>
      <c r="B292" s="38"/>
      <c r="C292" s="470"/>
      <c r="D292" s="470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</row>
    <row r="293" spans="1:21" ht="19.5" customHeight="1" x14ac:dyDescent="0.25">
      <c r="A293" s="38"/>
      <c r="B293" s="38"/>
      <c r="C293" s="470"/>
      <c r="D293" s="470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</row>
    <row r="294" spans="1:21" ht="19.5" customHeight="1" x14ac:dyDescent="0.25">
      <c r="A294" s="38"/>
      <c r="B294" s="38"/>
      <c r="C294" s="470"/>
      <c r="D294" s="470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</row>
    <row r="295" spans="1:21" ht="19.5" customHeight="1" x14ac:dyDescent="0.25">
      <c r="A295" s="38"/>
      <c r="B295" s="38"/>
      <c r="C295" s="470"/>
      <c r="D295" s="470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</row>
    <row r="296" spans="1:21" ht="19.5" customHeight="1" x14ac:dyDescent="0.25">
      <c r="A296" s="38"/>
      <c r="B296" s="38"/>
      <c r="C296" s="470"/>
      <c r="D296" s="470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</row>
    <row r="297" spans="1:21" ht="19.5" customHeight="1" x14ac:dyDescent="0.25">
      <c r="A297" s="38"/>
      <c r="B297" s="38"/>
      <c r="C297" s="470"/>
      <c r="D297" s="470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</row>
    <row r="298" spans="1:21" ht="19.5" customHeight="1" x14ac:dyDescent="0.25">
      <c r="A298" s="38"/>
      <c r="B298" s="38"/>
      <c r="C298" s="470"/>
      <c r="D298" s="470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</row>
    <row r="299" spans="1:21" ht="19.5" customHeight="1" x14ac:dyDescent="0.25">
      <c r="A299" s="38"/>
      <c r="B299" s="38"/>
      <c r="C299" s="470"/>
      <c r="D299" s="470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</row>
    <row r="300" spans="1:21" ht="19.5" customHeight="1" x14ac:dyDescent="0.25">
      <c r="A300" s="38"/>
      <c r="B300" s="38"/>
      <c r="C300" s="470"/>
      <c r="D300" s="470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</row>
    <row r="301" spans="1:21" ht="19.5" customHeight="1" x14ac:dyDescent="0.25">
      <c r="A301" s="38"/>
      <c r="B301" s="38"/>
      <c r="C301" s="470"/>
      <c r="D301" s="470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</row>
    <row r="302" spans="1:21" ht="19.5" customHeight="1" x14ac:dyDescent="0.25">
      <c r="A302" s="38"/>
      <c r="B302" s="38"/>
      <c r="C302" s="470"/>
      <c r="D302" s="470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</row>
    <row r="303" spans="1:21" ht="19.5" customHeight="1" x14ac:dyDescent="0.25">
      <c r="A303" s="38"/>
      <c r="B303" s="38"/>
      <c r="C303" s="470"/>
      <c r="D303" s="470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</row>
    <row r="304" spans="1:21" ht="19.5" customHeight="1" x14ac:dyDescent="0.25">
      <c r="A304" s="38"/>
      <c r="B304" s="38"/>
      <c r="C304" s="470"/>
      <c r="D304" s="470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</row>
    <row r="305" spans="1:21" ht="19.5" customHeight="1" x14ac:dyDescent="0.25">
      <c r="A305" s="38"/>
      <c r="B305" s="38"/>
      <c r="C305" s="470"/>
      <c r="D305" s="470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</row>
    <row r="306" spans="1:21" ht="19.5" customHeight="1" x14ac:dyDescent="0.25">
      <c r="A306" s="38"/>
      <c r="B306" s="38"/>
      <c r="C306" s="470"/>
      <c r="D306" s="470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</row>
    <row r="307" spans="1:21" ht="19.5" customHeight="1" x14ac:dyDescent="0.25">
      <c r="A307" s="38"/>
      <c r="B307" s="38"/>
      <c r="C307" s="470"/>
      <c r="D307" s="470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</row>
    <row r="308" spans="1:21" ht="19.5" customHeight="1" x14ac:dyDescent="0.25">
      <c r="A308" s="38"/>
      <c r="B308" s="38"/>
      <c r="C308" s="470"/>
      <c r="D308" s="470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</row>
    <row r="309" spans="1:21" ht="19.5" customHeight="1" x14ac:dyDescent="0.25">
      <c r="A309" s="38"/>
      <c r="B309" s="38"/>
      <c r="C309" s="470"/>
      <c r="D309" s="470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</row>
    <row r="310" spans="1:21" ht="19.5" customHeight="1" x14ac:dyDescent="0.25">
      <c r="A310" s="38"/>
      <c r="B310" s="38"/>
      <c r="C310" s="470"/>
      <c r="D310" s="470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</row>
    <row r="311" spans="1:21" ht="19.5" customHeight="1" x14ac:dyDescent="0.25">
      <c r="A311" s="38"/>
      <c r="B311" s="38"/>
      <c r="C311" s="470"/>
      <c r="D311" s="470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</row>
    <row r="312" spans="1:21" ht="19.5" customHeight="1" x14ac:dyDescent="0.25">
      <c r="A312" s="38"/>
      <c r="B312" s="38"/>
      <c r="C312" s="470"/>
      <c r="D312" s="470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</row>
    <row r="313" spans="1:21" ht="19.5" customHeight="1" x14ac:dyDescent="0.25">
      <c r="A313" s="38"/>
      <c r="B313" s="38"/>
      <c r="C313" s="470"/>
      <c r="D313" s="470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</row>
    <row r="314" spans="1:21" ht="19.5" customHeight="1" x14ac:dyDescent="0.25">
      <c r="A314" s="38"/>
      <c r="B314" s="38"/>
      <c r="C314" s="470"/>
      <c r="D314" s="470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</row>
    <row r="315" spans="1:21" ht="19.5" customHeight="1" x14ac:dyDescent="0.25">
      <c r="A315" s="38"/>
      <c r="B315" s="38"/>
      <c r="C315" s="470"/>
      <c r="D315" s="470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</row>
    <row r="316" spans="1:21" ht="19.5" customHeight="1" x14ac:dyDescent="0.25">
      <c r="A316" s="38"/>
      <c r="B316" s="38"/>
      <c r="C316" s="470"/>
      <c r="D316" s="470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</row>
    <row r="317" spans="1:21" ht="19.5" customHeight="1" x14ac:dyDescent="0.25">
      <c r="A317" s="38"/>
      <c r="B317" s="38"/>
      <c r="C317" s="470"/>
      <c r="D317" s="470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</row>
    <row r="318" spans="1:21" ht="19.5" customHeight="1" x14ac:dyDescent="0.25">
      <c r="A318" s="38"/>
      <c r="B318" s="38"/>
      <c r="C318" s="470"/>
      <c r="D318" s="470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</row>
    <row r="319" spans="1:21" ht="19.5" customHeight="1" x14ac:dyDescent="0.25">
      <c r="A319" s="38"/>
      <c r="B319" s="38"/>
      <c r="C319" s="470"/>
      <c r="D319" s="470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</row>
    <row r="320" spans="1:21" ht="19.5" customHeight="1" x14ac:dyDescent="0.25">
      <c r="A320" s="38"/>
      <c r="B320" s="38"/>
      <c r="C320" s="470"/>
      <c r="D320" s="470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</row>
    <row r="321" spans="1:21" ht="19.5" customHeight="1" x14ac:dyDescent="0.25">
      <c r="A321" s="38"/>
      <c r="B321" s="38"/>
      <c r="C321" s="470"/>
      <c r="D321" s="470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</row>
    <row r="322" spans="1:21" ht="19.5" customHeight="1" x14ac:dyDescent="0.25">
      <c r="A322" s="38"/>
      <c r="B322" s="38"/>
      <c r="C322" s="470"/>
      <c r="D322" s="470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</row>
    <row r="323" spans="1:21" ht="19.5" customHeight="1" x14ac:dyDescent="0.25">
      <c r="A323" s="38"/>
      <c r="B323" s="38"/>
      <c r="C323" s="470"/>
      <c r="D323" s="470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</row>
    <row r="324" spans="1:21" ht="19.5" customHeight="1" x14ac:dyDescent="0.25">
      <c r="A324" s="38"/>
      <c r="B324" s="38"/>
      <c r="C324" s="470"/>
      <c r="D324" s="470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</row>
    <row r="325" spans="1:21" ht="19.5" customHeight="1" x14ac:dyDescent="0.25">
      <c r="A325" s="38"/>
      <c r="B325" s="38"/>
      <c r="C325" s="470"/>
      <c r="D325" s="470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</row>
    <row r="326" spans="1:21" ht="19.5" customHeight="1" x14ac:dyDescent="0.25">
      <c r="A326" s="38"/>
      <c r="B326" s="38"/>
      <c r="C326" s="470"/>
      <c r="D326" s="470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</row>
    <row r="327" spans="1:21" ht="19.5" customHeight="1" x14ac:dyDescent="0.25">
      <c r="A327" s="38"/>
      <c r="B327" s="38"/>
      <c r="C327" s="470"/>
      <c r="D327" s="470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</row>
    <row r="328" spans="1:21" ht="19.5" customHeight="1" x14ac:dyDescent="0.25">
      <c r="A328" s="38"/>
      <c r="B328" s="38"/>
      <c r="C328" s="470"/>
      <c r="D328" s="470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</row>
    <row r="329" spans="1:21" ht="19.5" customHeight="1" x14ac:dyDescent="0.25">
      <c r="A329" s="38"/>
      <c r="B329" s="38"/>
      <c r="C329" s="470"/>
      <c r="D329" s="470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</row>
    <row r="330" spans="1:21" ht="19.5" customHeight="1" x14ac:dyDescent="0.25">
      <c r="A330" s="38"/>
      <c r="B330" s="38"/>
      <c r="C330" s="470"/>
      <c r="D330" s="470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</row>
    <row r="331" spans="1:21" ht="19.5" customHeight="1" x14ac:dyDescent="0.25">
      <c r="A331" s="38"/>
      <c r="B331" s="38"/>
      <c r="C331" s="470"/>
      <c r="D331" s="470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</row>
    <row r="332" spans="1:21" ht="19.5" customHeight="1" x14ac:dyDescent="0.25">
      <c r="A332" s="38"/>
      <c r="B332" s="38"/>
      <c r="C332" s="470"/>
      <c r="D332" s="470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</row>
    <row r="333" spans="1:21" ht="19.5" customHeight="1" x14ac:dyDescent="0.25">
      <c r="A333" s="38"/>
      <c r="B333" s="38"/>
      <c r="C333" s="470"/>
      <c r="D333" s="470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</row>
    <row r="334" spans="1:21" ht="19.5" customHeight="1" x14ac:dyDescent="0.25">
      <c r="A334" s="38"/>
      <c r="B334" s="38"/>
      <c r="C334" s="470"/>
      <c r="D334" s="470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</row>
    <row r="335" spans="1:21" ht="19.5" customHeight="1" x14ac:dyDescent="0.25">
      <c r="A335" s="38"/>
      <c r="B335" s="38"/>
      <c r="C335" s="470"/>
      <c r="D335" s="470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</row>
    <row r="336" spans="1:21" ht="19.5" customHeight="1" x14ac:dyDescent="0.25">
      <c r="A336" s="38"/>
      <c r="B336" s="38"/>
      <c r="C336" s="470"/>
      <c r="D336" s="470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</row>
    <row r="337" spans="1:21" ht="19.5" customHeight="1" x14ac:dyDescent="0.25">
      <c r="A337" s="38"/>
      <c r="B337" s="38"/>
      <c r="C337" s="470"/>
      <c r="D337" s="470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</row>
    <row r="338" spans="1:21" ht="19.5" customHeight="1" x14ac:dyDescent="0.25">
      <c r="A338" s="38"/>
      <c r="B338" s="38"/>
      <c r="C338" s="470"/>
      <c r="D338" s="470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</row>
    <row r="339" spans="1:21" ht="19.5" customHeight="1" x14ac:dyDescent="0.25">
      <c r="A339" s="38"/>
      <c r="B339" s="38"/>
      <c r="C339" s="470"/>
      <c r="D339" s="470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</row>
    <row r="340" spans="1:21" ht="19.5" customHeight="1" x14ac:dyDescent="0.25">
      <c r="A340" s="38"/>
      <c r="B340" s="38"/>
      <c r="C340" s="470"/>
      <c r="D340" s="470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</row>
    <row r="341" spans="1:21" ht="19.5" customHeight="1" x14ac:dyDescent="0.25">
      <c r="A341" s="38"/>
      <c r="B341" s="38"/>
      <c r="C341" s="470"/>
      <c r="D341" s="470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</row>
    <row r="342" spans="1:21" ht="19.5" customHeight="1" x14ac:dyDescent="0.25">
      <c r="A342" s="38"/>
      <c r="B342" s="38"/>
      <c r="C342" s="470"/>
      <c r="D342" s="470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</row>
    <row r="343" spans="1:21" ht="19.5" customHeight="1" x14ac:dyDescent="0.25">
      <c r="A343" s="38"/>
      <c r="B343" s="38"/>
      <c r="C343" s="470"/>
      <c r="D343" s="470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</row>
    <row r="344" spans="1:21" ht="19.5" customHeight="1" x14ac:dyDescent="0.25">
      <c r="A344" s="38"/>
      <c r="B344" s="38"/>
      <c r="C344" s="470"/>
      <c r="D344" s="470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</row>
    <row r="345" spans="1:21" ht="19.5" customHeight="1" x14ac:dyDescent="0.25">
      <c r="A345" s="38"/>
      <c r="B345" s="38"/>
      <c r="C345" s="470"/>
      <c r="D345" s="470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</row>
    <row r="346" spans="1:21" ht="19.5" customHeight="1" x14ac:dyDescent="0.25">
      <c r="A346" s="38"/>
      <c r="B346" s="38"/>
      <c r="C346" s="470"/>
      <c r="D346" s="470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</row>
    <row r="347" spans="1:21" ht="19.5" customHeight="1" x14ac:dyDescent="0.25">
      <c r="A347" s="38"/>
      <c r="B347" s="38"/>
      <c r="C347" s="470"/>
      <c r="D347" s="470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</row>
    <row r="348" spans="1:21" ht="19.5" customHeight="1" x14ac:dyDescent="0.25">
      <c r="A348" s="38"/>
      <c r="B348" s="38"/>
      <c r="C348" s="470"/>
      <c r="D348" s="470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</row>
    <row r="349" spans="1:21" ht="19.5" customHeight="1" x14ac:dyDescent="0.25">
      <c r="A349" s="38"/>
      <c r="B349" s="38"/>
      <c r="C349" s="470"/>
      <c r="D349" s="470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</row>
    <row r="350" spans="1:21" ht="19.5" customHeight="1" x14ac:dyDescent="0.25">
      <c r="A350" s="38"/>
      <c r="B350" s="38"/>
      <c r="C350" s="470"/>
      <c r="D350" s="470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</row>
    <row r="351" spans="1:21" ht="19.5" customHeight="1" x14ac:dyDescent="0.25">
      <c r="A351" s="38"/>
      <c r="B351" s="38"/>
      <c r="C351" s="470"/>
      <c r="D351" s="470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</row>
    <row r="352" spans="1:21" ht="19.5" customHeight="1" x14ac:dyDescent="0.25">
      <c r="A352" s="38"/>
      <c r="B352" s="38"/>
      <c r="C352" s="470"/>
      <c r="D352" s="470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</row>
    <row r="353" spans="1:21" ht="19.5" customHeight="1" x14ac:dyDescent="0.25">
      <c r="A353" s="38"/>
      <c r="B353" s="38"/>
      <c r="C353" s="470"/>
      <c r="D353" s="470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</row>
    <row r="354" spans="1:21" ht="19.5" customHeight="1" x14ac:dyDescent="0.25">
      <c r="A354" s="38"/>
      <c r="B354" s="38"/>
      <c r="C354" s="470"/>
      <c r="D354" s="470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</row>
    <row r="355" spans="1:21" ht="19.5" customHeight="1" x14ac:dyDescent="0.25">
      <c r="A355" s="38"/>
      <c r="B355" s="38"/>
      <c r="C355" s="470"/>
      <c r="D355" s="470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</row>
    <row r="356" spans="1:21" ht="19.5" customHeight="1" x14ac:dyDescent="0.25">
      <c r="A356" s="38"/>
      <c r="B356" s="38"/>
      <c r="C356" s="470"/>
      <c r="D356" s="470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</row>
    <row r="357" spans="1:21" ht="19.5" customHeight="1" x14ac:dyDescent="0.25">
      <c r="A357" s="38"/>
      <c r="B357" s="38"/>
      <c r="C357" s="470"/>
      <c r="D357" s="470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</row>
    <row r="358" spans="1:21" ht="19.5" customHeight="1" x14ac:dyDescent="0.25">
      <c r="A358" s="38"/>
      <c r="B358" s="38"/>
      <c r="C358" s="470"/>
      <c r="D358" s="470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</row>
    <row r="359" spans="1:21" ht="19.5" customHeight="1" x14ac:dyDescent="0.25">
      <c r="A359" s="38"/>
      <c r="B359" s="38"/>
      <c r="C359" s="470"/>
      <c r="D359" s="470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</row>
    <row r="360" spans="1:21" ht="19.5" customHeight="1" x14ac:dyDescent="0.25">
      <c r="A360" s="38"/>
      <c r="B360" s="38"/>
      <c r="C360" s="470"/>
      <c r="D360" s="470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</row>
    <row r="361" spans="1:21" ht="19.5" customHeight="1" x14ac:dyDescent="0.25">
      <c r="A361" s="38"/>
      <c r="B361" s="38"/>
      <c r="C361" s="470"/>
      <c r="D361" s="470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</row>
    <row r="362" spans="1:21" ht="19.5" customHeight="1" x14ac:dyDescent="0.25">
      <c r="A362" s="38"/>
      <c r="B362" s="38"/>
      <c r="C362" s="470"/>
      <c r="D362" s="470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</row>
    <row r="363" spans="1:21" ht="19.5" customHeight="1" x14ac:dyDescent="0.25">
      <c r="A363" s="38"/>
      <c r="B363" s="38"/>
      <c r="C363" s="470"/>
      <c r="D363" s="470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</row>
    <row r="364" spans="1:21" ht="19.5" customHeight="1" x14ac:dyDescent="0.25">
      <c r="A364" s="38"/>
      <c r="B364" s="38"/>
      <c r="C364" s="470"/>
      <c r="D364" s="470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</row>
    <row r="365" spans="1:21" ht="19.5" customHeight="1" x14ac:dyDescent="0.25">
      <c r="A365" s="38"/>
      <c r="B365" s="38"/>
      <c r="C365" s="470"/>
      <c r="D365" s="470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</row>
    <row r="366" spans="1:21" ht="19.5" customHeight="1" x14ac:dyDescent="0.25">
      <c r="A366" s="38"/>
      <c r="B366" s="38"/>
      <c r="C366" s="470"/>
      <c r="D366" s="470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</row>
    <row r="367" spans="1:21" ht="19.5" customHeight="1" x14ac:dyDescent="0.25">
      <c r="A367" s="38"/>
      <c r="B367" s="38"/>
      <c r="C367" s="470"/>
      <c r="D367" s="470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</row>
    <row r="368" spans="1:21" ht="19.5" customHeight="1" x14ac:dyDescent="0.25">
      <c r="A368" s="38"/>
      <c r="B368" s="38"/>
      <c r="C368" s="470"/>
      <c r="D368" s="470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</row>
    <row r="369" spans="1:21" ht="19.5" customHeight="1" x14ac:dyDescent="0.25">
      <c r="A369" s="38"/>
      <c r="B369" s="38"/>
      <c r="C369" s="470"/>
      <c r="D369" s="470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</row>
    <row r="370" spans="1:21" ht="19.5" customHeight="1" x14ac:dyDescent="0.25">
      <c r="A370" s="38"/>
      <c r="B370" s="38"/>
      <c r="C370" s="470"/>
      <c r="D370" s="470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</row>
    <row r="371" spans="1:21" ht="19.5" customHeight="1" x14ac:dyDescent="0.25">
      <c r="A371" s="38"/>
      <c r="B371" s="38"/>
      <c r="C371" s="470"/>
      <c r="D371" s="470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</row>
    <row r="372" spans="1:21" ht="19.5" customHeight="1" x14ac:dyDescent="0.25">
      <c r="A372" s="38"/>
      <c r="B372" s="38"/>
      <c r="C372" s="470"/>
      <c r="D372" s="470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</row>
    <row r="373" spans="1:21" ht="19.5" customHeight="1" x14ac:dyDescent="0.25">
      <c r="A373" s="38"/>
      <c r="B373" s="38"/>
      <c r="C373" s="470"/>
      <c r="D373" s="470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</row>
    <row r="374" spans="1:21" ht="19.5" customHeight="1" x14ac:dyDescent="0.25">
      <c r="A374" s="38"/>
      <c r="B374" s="38"/>
      <c r="C374" s="470"/>
      <c r="D374" s="470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</row>
    <row r="375" spans="1:21" ht="19.5" customHeight="1" x14ac:dyDescent="0.25">
      <c r="A375" s="38"/>
      <c r="B375" s="38"/>
      <c r="C375" s="470"/>
      <c r="D375" s="470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</row>
    <row r="376" spans="1:21" ht="19.5" customHeight="1" x14ac:dyDescent="0.25">
      <c r="A376" s="38"/>
      <c r="B376" s="38"/>
      <c r="C376" s="470"/>
      <c r="D376" s="470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</row>
    <row r="377" spans="1:21" ht="19.5" customHeight="1" x14ac:dyDescent="0.25">
      <c r="A377" s="38"/>
      <c r="B377" s="38"/>
      <c r="C377" s="470"/>
      <c r="D377" s="470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</row>
    <row r="378" spans="1:21" ht="19.5" customHeight="1" x14ac:dyDescent="0.25">
      <c r="A378" s="38"/>
      <c r="B378" s="38"/>
      <c r="C378" s="470"/>
      <c r="D378" s="470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</row>
    <row r="379" spans="1:21" ht="19.5" customHeight="1" x14ac:dyDescent="0.25">
      <c r="A379" s="38"/>
      <c r="B379" s="38"/>
      <c r="C379" s="470"/>
      <c r="D379" s="470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</row>
    <row r="380" spans="1:21" ht="19.5" customHeight="1" x14ac:dyDescent="0.25">
      <c r="A380" s="38"/>
      <c r="B380" s="38"/>
      <c r="C380" s="470"/>
      <c r="D380" s="470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</row>
    <row r="381" spans="1:21" ht="19.5" customHeight="1" x14ac:dyDescent="0.25">
      <c r="A381" s="38"/>
      <c r="B381" s="38"/>
      <c r="C381" s="470"/>
      <c r="D381" s="470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</row>
    <row r="382" spans="1:21" ht="19.5" customHeight="1" x14ac:dyDescent="0.25">
      <c r="A382" s="38"/>
      <c r="B382" s="38"/>
      <c r="C382" s="470"/>
      <c r="D382" s="470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</row>
    <row r="383" spans="1:21" ht="19.5" customHeight="1" x14ac:dyDescent="0.25">
      <c r="A383" s="38"/>
      <c r="B383" s="38"/>
      <c r="C383" s="470"/>
      <c r="D383" s="470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</row>
    <row r="384" spans="1:21" ht="19.5" customHeight="1" x14ac:dyDescent="0.25">
      <c r="A384" s="38"/>
      <c r="B384" s="38"/>
      <c r="C384" s="470"/>
      <c r="D384" s="470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</row>
    <row r="385" spans="1:21" ht="19.5" customHeight="1" x14ac:dyDescent="0.25">
      <c r="A385" s="38"/>
      <c r="B385" s="38"/>
      <c r="C385" s="470"/>
      <c r="D385" s="470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</row>
    <row r="386" spans="1:21" ht="19.5" customHeight="1" x14ac:dyDescent="0.25">
      <c r="A386" s="38"/>
      <c r="B386" s="38"/>
      <c r="C386" s="470"/>
      <c r="D386" s="470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</row>
    <row r="387" spans="1:21" ht="19.5" customHeight="1" x14ac:dyDescent="0.25">
      <c r="A387" s="38"/>
      <c r="B387" s="38"/>
      <c r="C387" s="470"/>
      <c r="D387" s="470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</row>
    <row r="388" spans="1:21" ht="19.5" customHeight="1" x14ac:dyDescent="0.25">
      <c r="A388" s="38"/>
      <c r="B388" s="38"/>
      <c r="C388" s="470"/>
      <c r="D388" s="470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</row>
    <row r="389" spans="1:21" ht="19.5" customHeight="1" x14ac:dyDescent="0.25">
      <c r="A389" s="38"/>
      <c r="B389" s="38"/>
      <c r="C389" s="470"/>
      <c r="D389" s="470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</row>
    <row r="390" spans="1:21" ht="19.5" customHeight="1" x14ac:dyDescent="0.25">
      <c r="A390" s="38"/>
      <c r="B390" s="38"/>
      <c r="C390" s="470"/>
      <c r="D390" s="470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</row>
    <row r="391" spans="1:21" ht="19.5" customHeight="1" x14ac:dyDescent="0.25">
      <c r="A391" s="38"/>
      <c r="B391" s="38"/>
      <c r="C391" s="470"/>
      <c r="D391" s="470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</row>
    <row r="392" spans="1:21" ht="19.5" customHeight="1" x14ac:dyDescent="0.25">
      <c r="A392" s="38"/>
      <c r="B392" s="38"/>
      <c r="C392" s="470"/>
      <c r="D392" s="470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</row>
    <row r="393" spans="1:21" ht="19.5" customHeight="1" x14ac:dyDescent="0.25">
      <c r="A393" s="38"/>
      <c r="B393" s="38"/>
      <c r="C393" s="470"/>
      <c r="D393" s="470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</row>
    <row r="394" spans="1:21" ht="19.5" customHeight="1" x14ac:dyDescent="0.25">
      <c r="A394" s="38"/>
      <c r="B394" s="38"/>
      <c r="C394" s="470"/>
      <c r="D394" s="470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</row>
    <row r="395" spans="1:21" ht="19.5" customHeight="1" x14ac:dyDescent="0.25">
      <c r="A395" s="38"/>
      <c r="B395" s="38"/>
      <c r="C395" s="470"/>
      <c r="D395" s="470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</row>
    <row r="396" spans="1:21" ht="19.5" customHeight="1" x14ac:dyDescent="0.25">
      <c r="A396" s="38"/>
      <c r="B396" s="38"/>
      <c r="C396" s="470"/>
      <c r="D396" s="470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</row>
    <row r="397" spans="1:21" ht="19.5" customHeight="1" x14ac:dyDescent="0.25">
      <c r="A397" s="38"/>
      <c r="B397" s="38"/>
      <c r="C397" s="470"/>
      <c r="D397" s="470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</row>
    <row r="398" spans="1:21" ht="19.5" customHeight="1" x14ac:dyDescent="0.25">
      <c r="A398" s="38"/>
      <c r="B398" s="38"/>
      <c r="C398" s="470"/>
      <c r="D398" s="470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</row>
    <row r="399" spans="1:21" ht="19.5" customHeight="1" x14ac:dyDescent="0.25">
      <c r="A399" s="38"/>
      <c r="B399" s="38"/>
      <c r="C399" s="470"/>
      <c r="D399" s="470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</row>
    <row r="400" spans="1:21" ht="19.5" customHeight="1" x14ac:dyDescent="0.25">
      <c r="A400" s="38"/>
      <c r="B400" s="38"/>
      <c r="C400" s="470"/>
      <c r="D400" s="470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</row>
    <row r="401" spans="1:21" ht="19.5" customHeight="1" x14ac:dyDescent="0.25">
      <c r="A401" s="38"/>
      <c r="B401" s="38"/>
      <c r="C401" s="470"/>
      <c r="D401" s="470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</row>
    <row r="402" spans="1:21" ht="19.5" customHeight="1" x14ac:dyDescent="0.25">
      <c r="A402" s="38"/>
      <c r="B402" s="38"/>
      <c r="C402" s="470"/>
      <c r="D402" s="470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</row>
    <row r="403" spans="1:21" ht="19.5" customHeight="1" x14ac:dyDescent="0.25">
      <c r="A403" s="38"/>
      <c r="B403" s="38"/>
      <c r="C403" s="470"/>
      <c r="D403" s="470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</row>
    <row r="404" spans="1:21" ht="19.5" customHeight="1" x14ac:dyDescent="0.25">
      <c r="A404" s="38"/>
      <c r="B404" s="38"/>
      <c r="C404" s="470"/>
      <c r="D404" s="470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</row>
    <row r="405" spans="1:21" ht="19.5" customHeight="1" x14ac:dyDescent="0.25">
      <c r="A405" s="38"/>
      <c r="B405" s="38"/>
      <c r="C405" s="470"/>
      <c r="D405" s="470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</row>
    <row r="406" spans="1:21" ht="19.5" customHeight="1" x14ac:dyDescent="0.25">
      <c r="A406" s="38"/>
      <c r="B406" s="38"/>
      <c r="C406" s="470"/>
      <c r="D406" s="470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</row>
    <row r="407" spans="1:21" ht="19.5" customHeight="1" x14ac:dyDescent="0.25">
      <c r="A407" s="38"/>
      <c r="B407" s="38"/>
      <c r="C407" s="470"/>
      <c r="D407" s="470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</row>
    <row r="408" spans="1:21" ht="19.5" customHeight="1" x14ac:dyDescent="0.25">
      <c r="A408" s="38"/>
      <c r="B408" s="38"/>
      <c r="C408" s="470"/>
      <c r="D408" s="470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</row>
    <row r="409" spans="1:21" ht="19.5" customHeight="1" x14ac:dyDescent="0.25">
      <c r="A409" s="38"/>
      <c r="B409" s="38"/>
      <c r="C409" s="470"/>
      <c r="D409" s="470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</row>
    <row r="410" spans="1:21" ht="19.5" customHeight="1" x14ac:dyDescent="0.25">
      <c r="A410" s="38"/>
      <c r="B410" s="38"/>
      <c r="C410" s="470"/>
      <c r="D410" s="470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</row>
    <row r="411" spans="1:21" ht="19.5" customHeight="1" x14ac:dyDescent="0.25">
      <c r="A411" s="38"/>
      <c r="B411" s="38"/>
      <c r="C411" s="470"/>
      <c r="D411" s="470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</row>
    <row r="412" spans="1:21" ht="19.5" customHeight="1" x14ac:dyDescent="0.25">
      <c r="A412" s="38"/>
      <c r="B412" s="38"/>
      <c r="C412" s="470"/>
      <c r="D412" s="470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</row>
    <row r="413" spans="1:21" ht="19.5" customHeight="1" x14ac:dyDescent="0.25">
      <c r="A413" s="38"/>
      <c r="B413" s="38"/>
      <c r="C413" s="470"/>
      <c r="D413" s="470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</row>
    <row r="414" spans="1:21" ht="19.5" customHeight="1" x14ac:dyDescent="0.25">
      <c r="A414" s="38"/>
      <c r="B414" s="38"/>
      <c r="C414" s="470"/>
      <c r="D414" s="470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</row>
    <row r="415" spans="1:21" ht="19.5" customHeight="1" x14ac:dyDescent="0.25">
      <c r="A415" s="38"/>
      <c r="B415" s="38"/>
      <c r="C415" s="470"/>
      <c r="D415" s="470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</row>
    <row r="416" spans="1:21" ht="19.5" customHeight="1" x14ac:dyDescent="0.25">
      <c r="A416" s="38"/>
      <c r="B416" s="38"/>
      <c r="C416" s="470"/>
      <c r="D416" s="470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</row>
    <row r="417" spans="1:21" ht="19.5" customHeight="1" x14ac:dyDescent="0.25">
      <c r="A417" s="38"/>
      <c r="B417" s="38"/>
      <c r="C417" s="470"/>
      <c r="D417" s="470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</row>
    <row r="418" spans="1:21" ht="19.5" customHeight="1" x14ac:dyDescent="0.25">
      <c r="A418" s="38"/>
      <c r="B418" s="38"/>
      <c r="C418" s="470"/>
      <c r="D418" s="470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</row>
    <row r="419" spans="1:21" ht="19.5" customHeight="1" x14ac:dyDescent="0.25">
      <c r="A419" s="38"/>
      <c r="B419" s="38"/>
      <c r="C419" s="470"/>
      <c r="D419" s="470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</row>
    <row r="420" spans="1:21" ht="19.5" customHeight="1" x14ac:dyDescent="0.25">
      <c r="A420" s="38"/>
      <c r="B420" s="38"/>
      <c r="C420" s="470"/>
      <c r="D420" s="470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</row>
    <row r="421" spans="1:21" ht="19.5" customHeight="1" x14ac:dyDescent="0.25">
      <c r="A421" s="38"/>
      <c r="B421" s="38"/>
      <c r="C421" s="470"/>
      <c r="D421" s="470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</row>
    <row r="422" spans="1:21" ht="19.5" customHeight="1" x14ac:dyDescent="0.25">
      <c r="A422" s="38"/>
      <c r="B422" s="38"/>
      <c r="C422" s="470"/>
      <c r="D422" s="470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</row>
    <row r="423" spans="1:21" ht="19.5" customHeight="1" x14ac:dyDescent="0.25">
      <c r="A423" s="38"/>
      <c r="B423" s="38"/>
      <c r="C423" s="470"/>
      <c r="D423" s="470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</row>
    <row r="424" spans="1:21" ht="19.5" customHeight="1" x14ac:dyDescent="0.25">
      <c r="A424" s="38"/>
      <c r="B424" s="38"/>
      <c r="C424" s="470"/>
      <c r="D424" s="470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</row>
    <row r="425" spans="1:21" ht="19.5" customHeight="1" x14ac:dyDescent="0.25">
      <c r="A425" s="38"/>
      <c r="B425" s="38"/>
      <c r="C425" s="470"/>
      <c r="D425" s="470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</row>
    <row r="426" spans="1:21" ht="19.5" customHeight="1" x14ac:dyDescent="0.25">
      <c r="A426" s="38"/>
      <c r="B426" s="38"/>
      <c r="C426" s="470"/>
      <c r="D426" s="470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</row>
    <row r="427" spans="1:21" ht="19.5" customHeight="1" x14ac:dyDescent="0.25">
      <c r="A427" s="38"/>
      <c r="B427" s="38"/>
      <c r="C427" s="470"/>
      <c r="D427" s="470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</row>
    <row r="428" spans="1:21" ht="19.5" customHeight="1" x14ac:dyDescent="0.25">
      <c r="A428" s="38"/>
      <c r="B428" s="38"/>
      <c r="C428" s="470"/>
      <c r="D428" s="470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</row>
    <row r="429" spans="1:21" ht="19.5" customHeight="1" x14ac:dyDescent="0.25">
      <c r="A429" s="38"/>
      <c r="B429" s="38"/>
      <c r="C429" s="470"/>
      <c r="D429" s="470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</row>
    <row r="430" spans="1:21" ht="19.5" customHeight="1" x14ac:dyDescent="0.25">
      <c r="A430" s="38"/>
      <c r="B430" s="38"/>
      <c r="C430" s="470"/>
      <c r="D430" s="470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</row>
    <row r="431" spans="1:21" ht="19.5" customHeight="1" x14ac:dyDescent="0.25">
      <c r="A431" s="38"/>
      <c r="B431" s="38"/>
      <c r="C431" s="470"/>
      <c r="D431" s="470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</row>
    <row r="432" spans="1:21" ht="19.5" customHeight="1" x14ac:dyDescent="0.25">
      <c r="A432" s="38"/>
      <c r="B432" s="38"/>
      <c r="C432" s="470"/>
      <c r="D432" s="470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</row>
    <row r="433" spans="1:21" ht="19.5" customHeight="1" x14ac:dyDescent="0.25">
      <c r="A433" s="38"/>
      <c r="B433" s="38"/>
      <c r="C433" s="470"/>
      <c r="D433" s="470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</row>
    <row r="434" spans="1:21" ht="19.5" customHeight="1" x14ac:dyDescent="0.25">
      <c r="A434" s="38"/>
      <c r="B434" s="38"/>
      <c r="C434" s="470"/>
      <c r="D434" s="470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</row>
    <row r="435" spans="1:21" ht="19.5" customHeight="1" x14ac:dyDescent="0.25">
      <c r="A435" s="38"/>
      <c r="B435" s="38"/>
      <c r="C435" s="470"/>
      <c r="D435" s="470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</row>
    <row r="436" spans="1:21" ht="19.5" customHeight="1" x14ac:dyDescent="0.25">
      <c r="A436" s="38"/>
      <c r="B436" s="38"/>
      <c r="C436" s="470"/>
      <c r="D436" s="470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</row>
    <row r="437" spans="1:21" ht="19.5" customHeight="1" x14ac:dyDescent="0.25">
      <c r="A437" s="38"/>
      <c r="B437" s="38"/>
      <c r="C437" s="470"/>
      <c r="D437" s="470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</row>
    <row r="438" spans="1:21" ht="19.5" customHeight="1" x14ac:dyDescent="0.25">
      <c r="A438" s="38"/>
      <c r="B438" s="38"/>
      <c r="C438" s="470"/>
      <c r="D438" s="470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</row>
    <row r="439" spans="1:21" ht="19.5" customHeight="1" x14ac:dyDescent="0.25">
      <c r="A439" s="38"/>
      <c r="B439" s="38"/>
      <c r="C439" s="470"/>
      <c r="D439" s="470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</row>
    <row r="440" spans="1:21" ht="19.5" customHeight="1" x14ac:dyDescent="0.25">
      <c r="A440" s="38"/>
      <c r="B440" s="38"/>
      <c r="C440" s="470"/>
      <c r="D440" s="470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</row>
    <row r="441" spans="1:21" ht="19.5" customHeight="1" x14ac:dyDescent="0.25">
      <c r="A441" s="38"/>
      <c r="B441" s="38"/>
      <c r="C441" s="470"/>
      <c r="D441" s="470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</row>
    <row r="442" spans="1:21" ht="19.5" customHeight="1" x14ac:dyDescent="0.25">
      <c r="A442" s="38"/>
      <c r="B442" s="38"/>
      <c r="C442" s="470"/>
      <c r="D442" s="470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</row>
    <row r="443" spans="1:21" ht="19.5" customHeight="1" x14ac:dyDescent="0.25">
      <c r="A443" s="38"/>
      <c r="B443" s="38"/>
      <c r="C443" s="470"/>
      <c r="D443" s="470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</row>
    <row r="444" spans="1:21" ht="19.5" customHeight="1" x14ac:dyDescent="0.25">
      <c r="A444" s="38"/>
      <c r="B444" s="38"/>
      <c r="C444" s="470"/>
      <c r="D444" s="470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</row>
    <row r="445" spans="1:21" ht="19.5" customHeight="1" x14ac:dyDescent="0.25">
      <c r="A445" s="38"/>
      <c r="B445" s="38"/>
      <c r="C445" s="470"/>
      <c r="D445" s="470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</row>
    <row r="446" spans="1:21" ht="19.5" customHeight="1" x14ac:dyDescent="0.25">
      <c r="A446" s="38"/>
      <c r="B446" s="38"/>
      <c r="C446" s="470"/>
      <c r="D446" s="470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</row>
    <row r="447" spans="1:21" ht="19.5" customHeight="1" x14ac:dyDescent="0.25">
      <c r="A447" s="38"/>
      <c r="B447" s="38"/>
      <c r="C447" s="470"/>
      <c r="D447" s="470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</row>
    <row r="448" spans="1:21" ht="19.5" customHeight="1" x14ac:dyDescent="0.25">
      <c r="A448" s="38"/>
      <c r="B448" s="38"/>
      <c r="C448" s="470"/>
      <c r="D448" s="470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</row>
    <row r="449" spans="1:21" ht="19.5" customHeight="1" x14ac:dyDescent="0.25">
      <c r="A449" s="38"/>
      <c r="B449" s="38"/>
      <c r="C449" s="470"/>
      <c r="D449" s="470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</row>
    <row r="450" spans="1:21" ht="19.5" customHeight="1" x14ac:dyDescent="0.25">
      <c r="A450" s="38"/>
      <c r="B450" s="38"/>
      <c r="C450" s="470"/>
      <c r="D450" s="470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</row>
    <row r="451" spans="1:21" ht="19.5" customHeight="1" x14ac:dyDescent="0.25">
      <c r="A451" s="38"/>
      <c r="B451" s="38"/>
      <c r="C451" s="470"/>
      <c r="D451" s="470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</row>
    <row r="452" spans="1:21" ht="19.5" customHeight="1" x14ac:dyDescent="0.25">
      <c r="A452" s="38"/>
      <c r="B452" s="38"/>
      <c r="C452" s="470"/>
      <c r="D452" s="470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</row>
    <row r="453" spans="1:21" ht="19.5" customHeight="1" x14ac:dyDescent="0.25">
      <c r="A453" s="38"/>
      <c r="B453" s="38"/>
      <c r="C453" s="470"/>
      <c r="D453" s="470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</row>
    <row r="454" spans="1:21" ht="19.5" customHeight="1" x14ac:dyDescent="0.25">
      <c r="A454" s="38"/>
      <c r="B454" s="38"/>
      <c r="C454" s="470"/>
      <c r="D454" s="470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</row>
    <row r="455" spans="1:21" ht="19.5" customHeight="1" x14ac:dyDescent="0.25">
      <c r="A455" s="38"/>
      <c r="B455" s="38"/>
      <c r="C455" s="470"/>
      <c r="D455" s="470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</row>
    <row r="456" spans="1:21" ht="19.5" customHeight="1" x14ac:dyDescent="0.25">
      <c r="A456" s="38"/>
      <c r="B456" s="38"/>
      <c r="C456" s="470"/>
      <c r="D456" s="470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</row>
    <row r="457" spans="1:21" ht="19.5" customHeight="1" x14ac:dyDescent="0.25">
      <c r="A457" s="38"/>
      <c r="B457" s="38"/>
      <c r="C457" s="470"/>
      <c r="D457" s="470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</row>
    <row r="458" spans="1:21" ht="19.5" customHeight="1" x14ac:dyDescent="0.25">
      <c r="A458" s="38"/>
      <c r="B458" s="38"/>
      <c r="C458" s="470"/>
      <c r="D458" s="470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</row>
    <row r="459" spans="1:21" ht="19.5" customHeight="1" x14ac:dyDescent="0.25">
      <c r="A459" s="38"/>
      <c r="B459" s="38"/>
      <c r="C459" s="470"/>
      <c r="D459" s="470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</row>
    <row r="460" spans="1:21" ht="19.5" customHeight="1" x14ac:dyDescent="0.25">
      <c r="A460" s="38"/>
      <c r="B460" s="38"/>
      <c r="C460" s="470"/>
      <c r="D460" s="470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</row>
    <row r="461" spans="1:21" ht="19.5" customHeight="1" x14ac:dyDescent="0.25">
      <c r="A461" s="38"/>
      <c r="B461" s="38"/>
      <c r="C461" s="470"/>
      <c r="D461" s="470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</row>
    <row r="462" spans="1:21" ht="19.5" customHeight="1" x14ac:dyDescent="0.25">
      <c r="A462" s="38"/>
      <c r="B462" s="38"/>
      <c r="C462" s="470"/>
      <c r="D462" s="470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</row>
    <row r="463" spans="1:21" ht="19.5" customHeight="1" x14ac:dyDescent="0.25">
      <c r="A463" s="38"/>
      <c r="B463" s="38"/>
      <c r="C463" s="470"/>
      <c r="D463" s="470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</row>
    <row r="464" spans="1:21" ht="19.5" customHeight="1" x14ac:dyDescent="0.25">
      <c r="A464" s="38"/>
      <c r="B464" s="38"/>
      <c r="C464" s="470"/>
      <c r="D464" s="470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</row>
    <row r="465" spans="1:21" ht="19.5" customHeight="1" x14ac:dyDescent="0.25">
      <c r="A465" s="38"/>
      <c r="B465" s="38"/>
      <c r="C465" s="470"/>
      <c r="D465" s="470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</row>
    <row r="466" spans="1:21" ht="19.5" customHeight="1" x14ac:dyDescent="0.25">
      <c r="A466" s="38"/>
      <c r="B466" s="38"/>
      <c r="C466" s="470"/>
      <c r="D466" s="470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</row>
    <row r="467" spans="1:21" ht="19.5" customHeight="1" x14ac:dyDescent="0.25">
      <c r="A467" s="38"/>
      <c r="B467" s="38"/>
      <c r="C467" s="470"/>
      <c r="D467" s="470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</row>
    <row r="468" spans="1:21" ht="19.5" customHeight="1" x14ac:dyDescent="0.25">
      <c r="A468" s="38"/>
      <c r="B468" s="38"/>
      <c r="C468" s="470"/>
      <c r="D468" s="470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</row>
    <row r="469" spans="1:21" ht="19.5" customHeight="1" x14ac:dyDescent="0.25">
      <c r="A469" s="38"/>
      <c r="B469" s="38"/>
      <c r="C469" s="470"/>
      <c r="D469" s="470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</row>
    <row r="470" spans="1:21" ht="19.5" customHeight="1" x14ac:dyDescent="0.25">
      <c r="A470" s="38"/>
      <c r="B470" s="38"/>
      <c r="C470" s="470"/>
      <c r="D470" s="470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</row>
    <row r="471" spans="1:21" ht="19.5" customHeight="1" x14ac:dyDescent="0.25">
      <c r="A471" s="38"/>
      <c r="B471" s="38"/>
      <c r="C471" s="470"/>
      <c r="D471" s="470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</row>
    <row r="472" spans="1:21" ht="19.5" customHeight="1" x14ac:dyDescent="0.25">
      <c r="A472" s="38"/>
      <c r="B472" s="38"/>
      <c r="C472" s="470"/>
      <c r="D472" s="470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</row>
    <row r="473" spans="1:21" ht="19.5" customHeight="1" x14ac:dyDescent="0.25">
      <c r="A473" s="38"/>
      <c r="B473" s="38"/>
      <c r="C473" s="470"/>
      <c r="D473" s="470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</row>
    <row r="474" spans="1:21" ht="19.5" customHeight="1" x14ac:dyDescent="0.25">
      <c r="A474" s="38"/>
      <c r="B474" s="38"/>
      <c r="C474" s="470"/>
      <c r="D474" s="470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</row>
    <row r="475" spans="1:21" ht="19.5" customHeight="1" x14ac:dyDescent="0.25">
      <c r="A475" s="38"/>
      <c r="B475" s="38"/>
      <c r="C475" s="470"/>
      <c r="D475" s="470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</row>
    <row r="476" spans="1:21" ht="19.5" customHeight="1" x14ac:dyDescent="0.25">
      <c r="A476" s="38"/>
      <c r="B476" s="38"/>
      <c r="C476" s="470"/>
      <c r="D476" s="470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</row>
    <row r="477" spans="1:21" ht="19.5" customHeight="1" x14ac:dyDescent="0.25">
      <c r="A477" s="38"/>
      <c r="B477" s="38"/>
      <c r="C477" s="470"/>
      <c r="D477" s="470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</row>
    <row r="478" spans="1:21" ht="19.5" customHeight="1" x14ac:dyDescent="0.25">
      <c r="A478" s="38"/>
      <c r="B478" s="38"/>
      <c r="C478" s="470"/>
      <c r="D478" s="470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</row>
    <row r="479" spans="1:21" ht="19.5" customHeight="1" x14ac:dyDescent="0.25">
      <c r="A479" s="38"/>
      <c r="B479" s="38"/>
      <c r="C479" s="470"/>
      <c r="D479" s="470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</row>
    <row r="480" spans="1:21" ht="19.5" customHeight="1" x14ac:dyDescent="0.25">
      <c r="A480" s="38"/>
      <c r="B480" s="38"/>
      <c r="C480" s="470"/>
      <c r="D480" s="470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</row>
    <row r="481" spans="1:21" ht="19.5" customHeight="1" x14ac:dyDescent="0.25">
      <c r="A481" s="38"/>
      <c r="B481" s="38"/>
      <c r="C481" s="470"/>
      <c r="D481" s="470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</row>
    <row r="482" spans="1:21" ht="19.5" customHeight="1" x14ac:dyDescent="0.25">
      <c r="A482" s="38"/>
      <c r="B482" s="38"/>
      <c r="C482" s="470"/>
      <c r="D482" s="470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</row>
    <row r="483" spans="1:21" ht="19.5" customHeight="1" x14ac:dyDescent="0.25">
      <c r="A483" s="38"/>
      <c r="B483" s="38"/>
      <c r="C483" s="470"/>
      <c r="D483" s="470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</row>
    <row r="484" spans="1:21" ht="19.5" customHeight="1" x14ac:dyDescent="0.25">
      <c r="A484" s="38"/>
      <c r="B484" s="38"/>
      <c r="C484" s="470"/>
      <c r="D484" s="470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</row>
    <row r="485" spans="1:21" ht="19.5" customHeight="1" x14ac:dyDescent="0.25">
      <c r="A485" s="38"/>
      <c r="B485" s="38"/>
      <c r="C485" s="470"/>
      <c r="D485" s="470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</row>
    <row r="486" spans="1:21" ht="19.5" customHeight="1" x14ac:dyDescent="0.25">
      <c r="A486" s="38"/>
      <c r="B486" s="38"/>
      <c r="C486" s="470"/>
      <c r="D486" s="470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</row>
    <row r="487" spans="1:21" ht="19.5" customHeight="1" x14ac:dyDescent="0.25">
      <c r="A487" s="38"/>
      <c r="B487" s="38"/>
      <c r="C487" s="470"/>
      <c r="D487" s="470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</row>
    <row r="488" spans="1:21" ht="19.5" customHeight="1" x14ac:dyDescent="0.25">
      <c r="A488" s="38"/>
      <c r="B488" s="38"/>
      <c r="C488" s="470"/>
      <c r="D488" s="470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</row>
    <row r="489" spans="1:21" ht="19.5" customHeight="1" x14ac:dyDescent="0.25">
      <c r="A489" s="38"/>
      <c r="B489" s="38"/>
      <c r="C489" s="470"/>
      <c r="D489" s="470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</row>
    <row r="490" spans="1:21" ht="19.5" customHeight="1" x14ac:dyDescent="0.25">
      <c r="A490" s="38"/>
      <c r="B490" s="38"/>
      <c r="C490" s="470"/>
      <c r="D490" s="470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</row>
    <row r="491" spans="1:21" ht="19.5" customHeight="1" x14ac:dyDescent="0.25">
      <c r="A491" s="38"/>
      <c r="B491" s="38"/>
      <c r="C491" s="470"/>
      <c r="D491" s="470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</row>
    <row r="492" spans="1:21" ht="19.5" customHeight="1" x14ac:dyDescent="0.25">
      <c r="A492" s="38"/>
      <c r="B492" s="38"/>
      <c r="C492" s="470"/>
      <c r="D492" s="470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</row>
    <row r="493" spans="1:21" ht="19.5" customHeight="1" x14ac:dyDescent="0.25">
      <c r="A493" s="38"/>
      <c r="B493" s="38"/>
      <c r="C493" s="470"/>
      <c r="D493" s="470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</row>
    <row r="494" spans="1:21" ht="19.5" customHeight="1" x14ac:dyDescent="0.25">
      <c r="A494" s="38"/>
      <c r="B494" s="38"/>
      <c r="C494" s="470"/>
      <c r="D494" s="470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</row>
    <row r="495" spans="1:21" ht="19.5" customHeight="1" x14ac:dyDescent="0.25">
      <c r="A495" s="38"/>
      <c r="B495" s="38"/>
      <c r="C495" s="470"/>
      <c r="D495" s="470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</row>
    <row r="496" spans="1:21" ht="19.5" customHeight="1" x14ac:dyDescent="0.25">
      <c r="A496" s="38"/>
      <c r="B496" s="38"/>
      <c r="C496" s="470"/>
      <c r="D496" s="470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</row>
    <row r="497" spans="1:21" ht="19.5" customHeight="1" x14ac:dyDescent="0.25">
      <c r="A497" s="38"/>
      <c r="B497" s="38"/>
      <c r="C497" s="470"/>
      <c r="D497" s="470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</row>
    <row r="498" spans="1:21" ht="19.5" customHeight="1" x14ac:dyDescent="0.25">
      <c r="A498" s="38"/>
      <c r="B498" s="38"/>
      <c r="C498" s="470"/>
      <c r="D498" s="470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</row>
    <row r="499" spans="1:21" ht="19.5" customHeight="1" x14ac:dyDescent="0.25">
      <c r="A499" s="38"/>
      <c r="B499" s="38"/>
      <c r="C499" s="470"/>
      <c r="D499" s="470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</row>
    <row r="500" spans="1:21" ht="19.5" customHeight="1" x14ac:dyDescent="0.25">
      <c r="A500" s="38"/>
      <c r="B500" s="38"/>
      <c r="C500" s="470"/>
      <c r="D500" s="470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</row>
    <row r="501" spans="1:21" ht="19.5" customHeight="1" x14ac:dyDescent="0.25">
      <c r="A501" s="38"/>
      <c r="B501" s="38"/>
      <c r="C501" s="470"/>
      <c r="D501" s="470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</row>
    <row r="502" spans="1:21" ht="19.5" customHeight="1" x14ac:dyDescent="0.25">
      <c r="A502" s="38"/>
      <c r="B502" s="38"/>
      <c r="C502" s="470"/>
      <c r="D502" s="470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</row>
    <row r="503" spans="1:21" ht="19.5" customHeight="1" x14ac:dyDescent="0.25">
      <c r="A503" s="38"/>
      <c r="B503" s="38"/>
      <c r="C503" s="470"/>
      <c r="D503" s="470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</row>
    <row r="504" spans="1:21" ht="19.5" customHeight="1" x14ac:dyDescent="0.25">
      <c r="A504" s="38"/>
      <c r="B504" s="38"/>
      <c r="C504" s="470"/>
      <c r="D504" s="470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</row>
    <row r="505" spans="1:21" ht="19.5" customHeight="1" x14ac:dyDescent="0.25">
      <c r="A505" s="38"/>
      <c r="B505" s="38"/>
      <c r="C505" s="470"/>
      <c r="D505" s="470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</row>
    <row r="506" spans="1:21" ht="19.5" customHeight="1" x14ac:dyDescent="0.25">
      <c r="A506" s="38"/>
      <c r="B506" s="38"/>
      <c r="C506" s="470"/>
      <c r="D506" s="470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</row>
    <row r="507" spans="1:21" ht="19.5" customHeight="1" x14ac:dyDescent="0.25">
      <c r="A507" s="38"/>
      <c r="B507" s="38"/>
      <c r="C507" s="470"/>
      <c r="D507" s="470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</row>
    <row r="508" spans="1:21" ht="19.5" customHeight="1" x14ac:dyDescent="0.25">
      <c r="A508" s="38"/>
      <c r="B508" s="38"/>
      <c r="C508" s="470"/>
      <c r="D508" s="470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</row>
    <row r="509" spans="1:21" ht="19.5" customHeight="1" x14ac:dyDescent="0.25">
      <c r="A509" s="38"/>
      <c r="B509" s="38"/>
      <c r="C509" s="470"/>
      <c r="D509" s="470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</row>
    <row r="510" spans="1:21" ht="19.5" customHeight="1" x14ac:dyDescent="0.25">
      <c r="A510" s="38"/>
      <c r="B510" s="38"/>
      <c r="C510" s="470"/>
      <c r="D510" s="470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</row>
    <row r="511" spans="1:21" ht="19.5" customHeight="1" x14ac:dyDescent="0.25">
      <c r="A511" s="38"/>
      <c r="B511" s="38"/>
      <c r="C511" s="470"/>
      <c r="D511" s="470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</row>
    <row r="512" spans="1:21" ht="19.5" customHeight="1" x14ac:dyDescent="0.25">
      <c r="A512" s="38"/>
      <c r="B512" s="38"/>
      <c r="C512" s="470"/>
      <c r="D512" s="470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</row>
    <row r="513" spans="1:21" ht="19.5" customHeight="1" x14ac:dyDescent="0.25">
      <c r="A513" s="38"/>
      <c r="B513" s="38"/>
      <c r="C513" s="470"/>
      <c r="D513" s="470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</row>
    <row r="514" spans="1:21" ht="19.5" customHeight="1" x14ac:dyDescent="0.25">
      <c r="A514" s="38"/>
      <c r="B514" s="38"/>
      <c r="C514" s="470"/>
      <c r="D514" s="470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</row>
    <row r="515" spans="1:21" ht="19.5" customHeight="1" x14ac:dyDescent="0.25">
      <c r="A515" s="38"/>
      <c r="B515" s="38"/>
      <c r="C515" s="470"/>
      <c r="D515" s="470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</row>
    <row r="516" spans="1:21" ht="19.5" customHeight="1" x14ac:dyDescent="0.25">
      <c r="A516" s="38"/>
      <c r="B516" s="38"/>
      <c r="C516" s="470"/>
      <c r="D516" s="470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</row>
    <row r="517" spans="1:21" ht="19.5" customHeight="1" x14ac:dyDescent="0.25">
      <c r="A517" s="38"/>
      <c r="B517" s="38"/>
      <c r="C517" s="470"/>
      <c r="D517" s="470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</row>
    <row r="518" spans="1:21" ht="19.5" customHeight="1" x14ac:dyDescent="0.25">
      <c r="A518" s="38"/>
      <c r="B518" s="38"/>
      <c r="C518" s="470"/>
      <c r="D518" s="470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</row>
    <row r="519" spans="1:21" ht="19.5" customHeight="1" x14ac:dyDescent="0.25">
      <c r="A519" s="38"/>
      <c r="B519" s="38"/>
      <c r="C519" s="470"/>
      <c r="D519" s="470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</row>
    <row r="520" spans="1:21" ht="19.5" customHeight="1" x14ac:dyDescent="0.25">
      <c r="A520" s="38"/>
      <c r="B520" s="38"/>
      <c r="C520" s="470"/>
      <c r="D520" s="470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</row>
    <row r="521" spans="1:21" ht="19.5" customHeight="1" x14ac:dyDescent="0.25">
      <c r="A521" s="38"/>
      <c r="B521" s="38"/>
      <c r="C521" s="470"/>
      <c r="D521" s="470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</row>
    <row r="522" spans="1:21" ht="19.5" customHeight="1" x14ac:dyDescent="0.25">
      <c r="A522" s="38"/>
      <c r="B522" s="38"/>
      <c r="C522" s="470"/>
      <c r="D522" s="470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</row>
    <row r="523" spans="1:21" ht="19.5" customHeight="1" x14ac:dyDescent="0.25">
      <c r="A523" s="38"/>
      <c r="B523" s="38"/>
      <c r="C523" s="470"/>
      <c r="D523" s="470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</row>
    <row r="524" spans="1:21" ht="19.5" customHeight="1" x14ac:dyDescent="0.25">
      <c r="A524" s="38"/>
      <c r="B524" s="38"/>
      <c r="C524" s="470"/>
      <c r="D524" s="470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</row>
    <row r="525" spans="1:21" ht="19.5" customHeight="1" x14ac:dyDescent="0.25">
      <c r="A525" s="38"/>
      <c r="B525" s="38"/>
      <c r="C525" s="470"/>
      <c r="D525" s="470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</row>
    <row r="526" spans="1:21" ht="19.5" customHeight="1" x14ac:dyDescent="0.25">
      <c r="A526" s="38"/>
      <c r="B526" s="38"/>
      <c r="C526" s="470"/>
      <c r="D526" s="470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</row>
    <row r="527" spans="1:21" ht="19.5" customHeight="1" x14ac:dyDescent="0.25">
      <c r="A527" s="38"/>
      <c r="B527" s="38"/>
      <c r="C527" s="470"/>
      <c r="D527" s="470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</row>
    <row r="528" spans="1:21" ht="19.5" customHeight="1" x14ac:dyDescent="0.25">
      <c r="A528" s="38"/>
      <c r="B528" s="38"/>
      <c r="C528" s="470"/>
      <c r="D528" s="470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</row>
    <row r="529" spans="1:21" ht="19.5" customHeight="1" x14ac:dyDescent="0.25">
      <c r="A529" s="38"/>
      <c r="B529" s="38"/>
      <c r="C529" s="470"/>
      <c r="D529" s="470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</row>
    <row r="530" spans="1:21" ht="19.5" customHeight="1" x14ac:dyDescent="0.25">
      <c r="A530" s="38"/>
      <c r="B530" s="38"/>
      <c r="C530" s="470"/>
      <c r="D530" s="470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</row>
    <row r="531" spans="1:21" ht="19.5" customHeight="1" x14ac:dyDescent="0.25">
      <c r="A531" s="38"/>
      <c r="B531" s="38"/>
      <c r="C531" s="470"/>
      <c r="D531" s="470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</row>
    <row r="532" spans="1:21" ht="19.5" customHeight="1" x14ac:dyDescent="0.25">
      <c r="A532" s="38"/>
      <c r="B532" s="38"/>
      <c r="C532" s="470"/>
      <c r="D532" s="470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</row>
    <row r="533" spans="1:21" ht="19.5" customHeight="1" x14ac:dyDescent="0.25">
      <c r="A533" s="38"/>
      <c r="B533" s="38"/>
      <c r="C533" s="470"/>
      <c r="D533" s="470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</row>
    <row r="534" spans="1:21" ht="19.5" customHeight="1" x14ac:dyDescent="0.25">
      <c r="A534" s="38"/>
      <c r="B534" s="38"/>
      <c r="C534" s="470"/>
      <c r="D534" s="470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</row>
    <row r="535" spans="1:21" ht="19.5" customHeight="1" x14ac:dyDescent="0.25">
      <c r="A535" s="38"/>
      <c r="B535" s="38"/>
      <c r="C535" s="470"/>
      <c r="D535" s="470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</row>
    <row r="536" spans="1:21" ht="19.5" customHeight="1" x14ac:dyDescent="0.25">
      <c r="A536" s="38"/>
      <c r="B536" s="38"/>
      <c r="C536" s="470"/>
      <c r="D536" s="470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</row>
    <row r="537" spans="1:21" ht="19.5" customHeight="1" x14ac:dyDescent="0.25">
      <c r="A537" s="38"/>
      <c r="B537" s="38"/>
      <c r="C537" s="470"/>
      <c r="D537" s="470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</row>
    <row r="538" spans="1:21" ht="19.5" customHeight="1" x14ac:dyDescent="0.25">
      <c r="A538" s="38"/>
      <c r="B538" s="38"/>
      <c r="C538" s="470"/>
      <c r="D538" s="470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</row>
    <row r="539" spans="1:21" ht="19.5" customHeight="1" x14ac:dyDescent="0.25">
      <c r="A539" s="38"/>
      <c r="B539" s="38"/>
      <c r="C539" s="470"/>
      <c r="D539" s="470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</row>
    <row r="540" spans="1:21" ht="19.5" customHeight="1" x14ac:dyDescent="0.25">
      <c r="A540" s="38"/>
      <c r="B540" s="38"/>
      <c r="C540" s="470"/>
      <c r="D540" s="470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</row>
    <row r="541" spans="1:21" ht="19.5" customHeight="1" x14ac:dyDescent="0.25">
      <c r="A541" s="38"/>
      <c r="B541" s="38"/>
      <c r="C541" s="470"/>
      <c r="D541" s="470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</row>
    <row r="542" spans="1:21" ht="19.5" customHeight="1" x14ac:dyDescent="0.25">
      <c r="A542" s="38"/>
      <c r="B542" s="38"/>
      <c r="C542" s="470"/>
      <c r="D542" s="470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</row>
    <row r="543" spans="1:21" ht="19.5" customHeight="1" x14ac:dyDescent="0.25">
      <c r="A543" s="38"/>
      <c r="B543" s="38"/>
      <c r="C543" s="470"/>
      <c r="D543" s="470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</row>
    <row r="544" spans="1:21" ht="19.5" customHeight="1" x14ac:dyDescent="0.25">
      <c r="A544" s="38"/>
      <c r="B544" s="38"/>
      <c r="C544" s="470"/>
      <c r="D544" s="470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</row>
    <row r="545" spans="1:21" ht="19.5" customHeight="1" x14ac:dyDescent="0.25">
      <c r="A545" s="38"/>
      <c r="B545" s="38"/>
      <c r="C545" s="470"/>
      <c r="D545" s="470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</row>
    <row r="546" spans="1:21" ht="19.5" customHeight="1" x14ac:dyDescent="0.25">
      <c r="A546" s="38"/>
      <c r="B546" s="38"/>
      <c r="C546" s="470"/>
      <c r="D546" s="470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</row>
    <row r="547" spans="1:21" ht="19.5" customHeight="1" x14ac:dyDescent="0.25">
      <c r="A547" s="38"/>
      <c r="B547" s="38"/>
      <c r="C547" s="470"/>
      <c r="D547" s="470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</row>
    <row r="548" spans="1:21" ht="19.5" customHeight="1" x14ac:dyDescent="0.25">
      <c r="A548" s="38"/>
      <c r="B548" s="38"/>
      <c r="C548" s="470"/>
      <c r="D548" s="470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</row>
    <row r="549" spans="1:21" ht="19.5" customHeight="1" x14ac:dyDescent="0.25">
      <c r="A549" s="38"/>
      <c r="B549" s="38"/>
      <c r="C549" s="470"/>
      <c r="D549" s="470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</row>
    <row r="550" spans="1:21" ht="19.5" customHeight="1" x14ac:dyDescent="0.25">
      <c r="A550" s="38"/>
      <c r="B550" s="38"/>
      <c r="C550" s="470"/>
      <c r="D550" s="470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</row>
    <row r="551" spans="1:21" ht="19.5" customHeight="1" x14ac:dyDescent="0.25">
      <c r="A551" s="38"/>
      <c r="B551" s="38"/>
      <c r="C551" s="470"/>
      <c r="D551" s="470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</row>
    <row r="552" spans="1:21" ht="19.5" customHeight="1" x14ac:dyDescent="0.25">
      <c r="A552" s="38"/>
      <c r="B552" s="38"/>
      <c r="C552" s="470"/>
      <c r="D552" s="470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</row>
    <row r="553" spans="1:21" ht="19.5" customHeight="1" x14ac:dyDescent="0.25">
      <c r="A553" s="38"/>
      <c r="B553" s="38"/>
      <c r="C553" s="470"/>
      <c r="D553" s="470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</row>
    <row r="554" spans="1:21" ht="19.5" customHeight="1" x14ac:dyDescent="0.25">
      <c r="A554" s="38"/>
      <c r="B554" s="38"/>
      <c r="C554" s="470"/>
      <c r="D554" s="470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</row>
    <row r="555" spans="1:21" ht="19.5" customHeight="1" x14ac:dyDescent="0.25">
      <c r="A555" s="38"/>
      <c r="B555" s="38"/>
      <c r="C555" s="470"/>
      <c r="D555" s="470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</row>
    <row r="556" spans="1:21" ht="19.5" customHeight="1" x14ac:dyDescent="0.25">
      <c r="A556" s="38"/>
      <c r="B556" s="38"/>
      <c r="C556" s="470"/>
      <c r="D556" s="470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</row>
    <row r="557" spans="1:21" ht="19.5" customHeight="1" x14ac:dyDescent="0.25">
      <c r="A557" s="38"/>
      <c r="B557" s="38"/>
      <c r="C557" s="470"/>
      <c r="D557" s="470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</row>
    <row r="558" spans="1:21" ht="19.5" customHeight="1" x14ac:dyDescent="0.25">
      <c r="A558" s="38"/>
      <c r="B558" s="38"/>
      <c r="C558" s="470"/>
      <c r="D558" s="470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</row>
    <row r="559" spans="1:21" ht="19.5" customHeight="1" x14ac:dyDescent="0.25">
      <c r="A559" s="38"/>
      <c r="B559" s="38"/>
      <c r="C559" s="470"/>
      <c r="D559" s="470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</row>
    <row r="560" spans="1:21" ht="19.5" customHeight="1" x14ac:dyDescent="0.25">
      <c r="A560" s="38"/>
      <c r="B560" s="38"/>
      <c r="C560" s="470"/>
      <c r="D560" s="470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</row>
    <row r="561" spans="1:21" ht="19.5" customHeight="1" x14ac:dyDescent="0.25">
      <c r="A561" s="38"/>
      <c r="B561" s="38"/>
      <c r="C561" s="470"/>
      <c r="D561" s="470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</row>
    <row r="562" spans="1:21" ht="19.5" customHeight="1" x14ac:dyDescent="0.25">
      <c r="A562" s="38"/>
      <c r="B562" s="38"/>
      <c r="C562" s="470"/>
      <c r="D562" s="470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</row>
    <row r="563" spans="1:21" ht="19.5" customHeight="1" x14ac:dyDescent="0.25">
      <c r="A563" s="38"/>
      <c r="B563" s="38"/>
      <c r="C563" s="470"/>
      <c r="D563" s="470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</row>
    <row r="564" spans="1:21" ht="19.5" customHeight="1" x14ac:dyDescent="0.25">
      <c r="A564" s="38"/>
      <c r="B564" s="38"/>
      <c r="C564" s="470"/>
      <c r="D564" s="470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</row>
    <row r="565" spans="1:21" ht="19.5" customHeight="1" x14ac:dyDescent="0.25">
      <c r="A565" s="38"/>
      <c r="B565" s="38"/>
      <c r="C565" s="470"/>
      <c r="D565" s="470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</row>
    <row r="566" spans="1:21" ht="19.5" customHeight="1" x14ac:dyDescent="0.25">
      <c r="A566" s="38"/>
      <c r="B566" s="38"/>
      <c r="C566" s="470"/>
      <c r="D566" s="470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</row>
    <row r="567" spans="1:21" ht="19.5" customHeight="1" x14ac:dyDescent="0.25">
      <c r="A567" s="38"/>
      <c r="B567" s="38"/>
      <c r="C567" s="470"/>
      <c r="D567" s="470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</row>
    <row r="568" spans="1:21" ht="19.5" customHeight="1" x14ac:dyDescent="0.25">
      <c r="A568" s="38"/>
      <c r="B568" s="38"/>
      <c r="C568" s="470"/>
      <c r="D568" s="470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</row>
    <row r="569" spans="1:21" ht="19.5" customHeight="1" x14ac:dyDescent="0.25">
      <c r="A569" s="38"/>
      <c r="B569" s="38"/>
      <c r="C569" s="470"/>
      <c r="D569" s="470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</row>
    <row r="570" spans="1:21" ht="19.5" customHeight="1" x14ac:dyDescent="0.25">
      <c r="A570" s="38"/>
      <c r="B570" s="38"/>
      <c r="C570" s="470"/>
      <c r="D570" s="470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</row>
    <row r="571" spans="1:21" ht="19.5" customHeight="1" x14ac:dyDescent="0.25">
      <c r="A571" s="38"/>
      <c r="B571" s="38"/>
      <c r="C571" s="470"/>
      <c r="D571" s="470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</row>
    <row r="572" spans="1:21" ht="19.5" customHeight="1" x14ac:dyDescent="0.25">
      <c r="A572" s="38"/>
      <c r="B572" s="38"/>
      <c r="C572" s="470"/>
      <c r="D572" s="470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</row>
    <row r="573" spans="1:21" ht="19.5" customHeight="1" x14ac:dyDescent="0.25">
      <c r="A573" s="38"/>
      <c r="B573" s="38"/>
      <c r="C573" s="470"/>
      <c r="D573" s="470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</row>
    <row r="574" spans="1:21" ht="19.5" customHeight="1" x14ac:dyDescent="0.25">
      <c r="A574" s="38"/>
      <c r="B574" s="38"/>
      <c r="C574" s="470"/>
      <c r="D574" s="470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</row>
    <row r="575" spans="1:21" ht="19.5" customHeight="1" x14ac:dyDescent="0.25">
      <c r="A575" s="38"/>
      <c r="B575" s="38"/>
      <c r="C575" s="470"/>
      <c r="D575" s="470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</row>
    <row r="576" spans="1:21" ht="19.5" customHeight="1" x14ac:dyDescent="0.25">
      <c r="A576" s="38"/>
      <c r="B576" s="38"/>
      <c r="C576" s="470"/>
      <c r="D576" s="470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</row>
    <row r="577" spans="1:21" ht="19.5" customHeight="1" x14ac:dyDescent="0.25">
      <c r="A577" s="38"/>
      <c r="B577" s="38"/>
      <c r="C577" s="470"/>
      <c r="D577" s="470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</row>
    <row r="578" spans="1:21" ht="19.5" customHeight="1" x14ac:dyDescent="0.25">
      <c r="A578" s="38"/>
      <c r="B578" s="38"/>
      <c r="C578" s="470"/>
      <c r="D578" s="470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</row>
    <row r="579" spans="1:21" ht="19.5" customHeight="1" x14ac:dyDescent="0.25">
      <c r="A579" s="38"/>
      <c r="B579" s="38"/>
      <c r="C579" s="470"/>
      <c r="D579" s="470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</row>
    <row r="580" spans="1:21" ht="19.5" customHeight="1" x14ac:dyDescent="0.25">
      <c r="A580" s="38"/>
      <c r="B580" s="38"/>
      <c r="C580" s="470"/>
      <c r="D580" s="470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</row>
    <row r="581" spans="1:21" ht="19.5" customHeight="1" x14ac:dyDescent="0.25">
      <c r="A581" s="38"/>
      <c r="B581" s="38"/>
      <c r="C581" s="470"/>
      <c r="D581" s="470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</row>
    <row r="582" spans="1:21" ht="19.5" customHeight="1" x14ac:dyDescent="0.25">
      <c r="A582" s="38"/>
      <c r="B582" s="38"/>
      <c r="C582" s="470"/>
      <c r="D582" s="470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</row>
    <row r="583" spans="1:21" ht="19.5" customHeight="1" x14ac:dyDescent="0.25">
      <c r="A583" s="38"/>
      <c r="B583" s="38"/>
      <c r="C583" s="470"/>
      <c r="D583" s="470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</row>
    <row r="584" spans="1:21" ht="19.5" customHeight="1" x14ac:dyDescent="0.25">
      <c r="A584" s="38"/>
      <c r="B584" s="38"/>
      <c r="C584" s="470"/>
      <c r="D584" s="470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</row>
    <row r="585" spans="1:21" ht="19.5" customHeight="1" x14ac:dyDescent="0.25">
      <c r="A585" s="38"/>
      <c r="B585" s="38"/>
      <c r="C585" s="470"/>
      <c r="D585" s="470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</row>
    <row r="586" spans="1:21" ht="19.5" customHeight="1" x14ac:dyDescent="0.25">
      <c r="A586" s="38"/>
      <c r="B586" s="38"/>
      <c r="C586" s="470"/>
      <c r="D586" s="470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</row>
    <row r="587" spans="1:21" ht="19.5" customHeight="1" x14ac:dyDescent="0.25">
      <c r="A587" s="38"/>
      <c r="B587" s="38"/>
      <c r="C587" s="470"/>
      <c r="D587" s="470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</row>
    <row r="588" spans="1:21" ht="19.5" customHeight="1" x14ac:dyDescent="0.25">
      <c r="A588" s="38"/>
      <c r="B588" s="38"/>
      <c r="C588" s="470"/>
      <c r="D588" s="470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</row>
    <row r="589" spans="1:21" ht="19.5" customHeight="1" x14ac:dyDescent="0.25">
      <c r="A589" s="38"/>
      <c r="B589" s="38"/>
      <c r="C589" s="470"/>
      <c r="D589" s="470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</row>
    <row r="590" spans="1:21" ht="19.5" customHeight="1" x14ac:dyDescent="0.25">
      <c r="A590" s="38"/>
      <c r="B590" s="38"/>
      <c r="C590" s="470"/>
      <c r="D590" s="470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</row>
    <row r="591" spans="1:21" ht="19.5" customHeight="1" x14ac:dyDescent="0.25">
      <c r="A591" s="38"/>
      <c r="B591" s="38"/>
      <c r="C591" s="470"/>
      <c r="D591" s="470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</row>
    <row r="592" spans="1:21" ht="19.5" customHeight="1" x14ac:dyDescent="0.25">
      <c r="A592" s="38"/>
      <c r="B592" s="38"/>
      <c r="C592" s="470"/>
      <c r="D592" s="470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</row>
    <row r="593" spans="1:21" ht="19.5" customHeight="1" x14ac:dyDescent="0.25">
      <c r="A593" s="38"/>
      <c r="B593" s="38"/>
      <c r="C593" s="470"/>
      <c r="D593" s="470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</row>
    <row r="594" spans="1:21" ht="19.5" customHeight="1" x14ac:dyDescent="0.25">
      <c r="A594" s="38"/>
      <c r="B594" s="38"/>
      <c r="C594" s="470"/>
      <c r="D594" s="470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</row>
    <row r="595" spans="1:21" ht="19.5" customHeight="1" x14ac:dyDescent="0.25">
      <c r="A595" s="38"/>
      <c r="B595" s="38"/>
      <c r="C595" s="470"/>
      <c r="D595" s="470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</row>
    <row r="596" spans="1:21" ht="19.5" customHeight="1" x14ac:dyDescent="0.25">
      <c r="A596" s="38"/>
      <c r="B596" s="38"/>
      <c r="C596" s="470"/>
      <c r="D596" s="470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</row>
    <row r="597" spans="1:21" ht="19.5" customHeight="1" x14ac:dyDescent="0.25">
      <c r="A597" s="38"/>
      <c r="B597" s="38"/>
      <c r="C597" s="470"/>
      <c r="D597" s="470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</row>
    <row r="598" spans="1:21" ht="19.5" customHeight="1" x14ac:dyDescent="0.25">
      <c r="A598" s="38"/>
      <c r="B598" s="38"/>
      <c r="C598" s="470"/>
      <c r="D598" s="470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</row>
    <row r="599" spans="1:21" ht="19.5" customHeight="1" x14ac:dyDescent="0.25">
      <c r="A599" s="38"/>
      <c r="B599" s="38"/>
      <c r="C599" s="470"/>
      <c r="D599" s="470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</row>
    <row r="600" spans="1:21" ht="19.5" customHeight="1" x14ac:dyDescent="0.25">
      <c r="A600" s="38"/>
      <c r="B600" s="38"/>
      <c r="C600" s="470"/>
      <c r="D600" s="470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</row>
    <row r="601" spans="1:21" ht="19.5" customHeight="1" x14ac:dyDescent="0.25">
      <c r="A601" s="38"/>
      <c r="B601" s="38"/>
      <c r="C601" s="470"/>
      <c r="D601" s="470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</row>
    <row r="602" spans="1:21" ht="19.5" customHeight="1" x14ac:dyDescent="0.25">
      <c r="A602" s="38"/>
      <c r="B602" s="38"/>
      <c r="C602" s="470"/>
      <c r="D602" s="470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</row>
    <row r="603" spans="1:21" ht="19.5" customHeight="1" x14ac:dyDescent="0.25">
      <c r="A603" s="38"/>
      <c r="B603" s="38"/>
      <c r="C603" s="470"/>
      <c r="D603" s="470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</row>
    <row r="604" spans="1:21" ht="19.5" customHeight="1" x14ac:dyDescent="0.25">
      <c r="A604" s="38"/>
      <c r="B604" s="38"/>
      <c r="C604" s="470"/>
      <c r="D604" s="470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</row>
    <row r="605" spans="1:21" ht="19.5" customHeight="1" x14ac:dyDescent="0.25">
      <c r="A605" s="38"/>
      <c r="B605" s="38"/>
      <c r="C605" s="470"/>
      <c r="D605" s="470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</row>
    <row r="606" spans="1:21" ht="19.5" customHeight="1" x14ac:dyDescent="0.25">
      <c r="A606" s="38"/>
      <c r="B606" s="38"/>
      <c r="C606" s="470"/>
      <c r="D606" s="470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</row>
    <row r="607" spans="1:21" ht="19.5" customHeight="1" x14ac:dyDescent="0.25">
      <c r="A607" s="38"/>
      <c r="B607" s="38"/>
      <c r="C607" s="470"/>
      <c r="D607" s="470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</row>
    <row r="608" spans="1:21" ht="19.5" customHeight="1" x14ac:dyDescent="0.25">
      <c r="A608" s="38"/>
      <c r="B608" s="38"/>
      <c r="C608" s="470"/>
      <c r="D608" s="470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</row>
    <row r="609" spans="1:21" ht="19.5" customHeight="1" x14ac:dyDescent="0.25">
      <c r="A609" s="38"/>
      <c r="B609" s="38"/>
      <c r="C609" s="470"/>
      <c r="D609" s="470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</row>
    <row r="610" spans="1:21" ht="19.5" customHeight="1" x14ac:dyDescent="0.25">
      <c r="A610" s="38"/>
      <c r="B610" s="38"/>
      <c r="C610" s="470"/>
      <c r="D610" s="470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</row>
    <row r="611" spans="1:21" ht="19.5" customHeight="1" x14ac:dyDescent="0.25">
      <c r="A611" s="38"/>
      <c r="B611" s="38"/>
      <c r="C611" s="470"/>
      <c r="D611" s="470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</row>
    <row r="612" spans="1:21" ht="19.5" customHeight="1" x14ac:dyDescent="0.25">
      <c r="A612" s="38"/>
      <c r="B612" s="38"/>
      <c r="C612" s="470"/>
      <c r="D612" s="470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</row>
    <row r="613" spans="1:21" ht="19.5" customHeight="1" x14ac:dyDescent="0.25">
      <c r="A613" s="38"/>
      <c r="B613" s="38"/>
      <c r="C613" s="470"/>
      <c r="D613" s="470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</row>
    <row r="614" spans="1:21" ht="19.5" customHeight="1" x14ac:dyDescent="0.25">
      <c r="A614" s="38"/>
      <c r="B614" s="38"/>
      <c r="C614" s="470"/>
      <c r="D614" s="470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</row>
    <row r="615" spans="1:21" ht="19.5" customHeight="1" x14ac:dyDescent="0.25">
      <c r="A615" s="38"/>
      <c r="B615" s="38"/>
      <c r="C615" s="470"/>
      <c r="D615" s="470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</row>
    <row r="616" spans="1:21" ht="19.5" customHeight="1" x14ac:dyDescent="0.25">
      <c r="A616" s="38"/>
      <c r="B616" s="38"/>
      <c r="C616" s="470"/>
      <c r="D616" s="470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</row>
    <row r="617" spans="1:21" ht="19.5" customHeight="1" x14ac:dyDescent="0.25">
      <c r="A617" s="38"/>
      <c r="B617" s="38"/>
      <c r="C617" s="470"/>
      <c r="D617" s="470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</row>
    <row r="618" spans="1:21" ht="19.5" customHeight="1" x14ac:dyDescent="0.25">
      <c r="A618" s="38"/>
      <c r="B618" s="38"/>
      <c r="C618" s="470"/>
      <c r="D618" s="470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</row>
    <row r="619" spans="1:21" ht="19.5" customHeight="1" x14ac:dyDescent="0.25">
      <c r="A619" s="38"/>
      <c r="B619" s="38"/>
      <c r="C619" s="470"/>
      <c r="D619" s="470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</row>
    <row r="620" spans="1:21" ht="19.5" customHeight="1" x14ac:dyDescent="0.25">
      <c r="A620" s="38"/>
      <c r="B620" s="38"/>
      <c r="C620" s="470"/>
      <c r="D620" s="470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</row>
    <row r="621" spans="1:21" ht="19.5" customHeight="1" x14ac:dyDescent="0.25">
      <c r="A621" s="38"/>
      <c r="B621" s="38"/>
      <c r="C621" s="470"/>
      <c r="D621" s="470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</row>
    <row r="622" spans="1:21" ht="19.5" customHeight="1" x14ac:dyDescent="0.25">
      <c r="A622" s="38"/>
      <c r="B622" s="38"/>
      <c r="C622" s="470"/>
      <c r="D622" s="470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</row>
    <row r="623" spans="1:21" ht="19.5" customHeight="1" x14ac:dyDescent="0.25">
      <c r="A623" s="38"/>
      <c r="B623" s="38"/>
      <c r="C623" s="470"/>
      <c r="D623" s="470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</row>
    <row r="624" spans="1:21" ht="19.5" customHeight="1" x14ac:dyDescent="0.25">
      <c r="A624" s="38"/>
      <c r="B624" s="38"/>
      <c r="C624" s="470"/>
      <c r="D624" s="470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</row>
    <row r="625" spans="1:21" ht="19.5" customHeight="1" x14ac:dyDescent="0.25">
      <c r="A625" s="38"/>
      <c r="B625" s="38"/>
      <c r="C625" s="470"/>
      <c r="D625" s="470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</row>
    <row r="626" spans="1:21" ht="19.5" customHeight="1" x14ac:dyDescent="0.25">
      <c r="A626" s="38"/>
      <c r="B626" s="38"/>
      <c r="C626" s="470"/>
      <c r="D626" s="470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</row>
    <row r="627" spans="1:21" ht="19.5" customHeight="1" x14ac:dyDescent="0.25">
      <c r="A627" s="38"/>
      <c r="B627" s="38"/>
      <c r="C627" s="470"/>
      <c r="D627" s="470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</row>
    <row r="628" spans="1:21" ht="19.5" customHeight="1" x14ac:dyDescent="0.25">
      <c r="A628" s="38"/>
      <c r="B628" s="38"/>
      <c r="C628" s="470"/>
      <c r="D628" s="470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</row>
    <row r="629" spans="1:21" ht="19.5" customHeight="1" x14ac:dyDescent="0.25">
      <c r="A629" s="38"/>
      <c r="B629" s="38"/>
      <c r="C629" s="470"/>
      <c r="D629" s="470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</row>
    <row r="630" spans="1:21" ht="19.5" customHeight="1" x14ac:dyDescent="0.25">
      <c r="A630" s="38"/>
      <c r="B630" s="38"/>
      <c r="C630" s="470"/>
      <c r="D630" s="470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</row>
    <row r="631" spans="1:21" ht="19.5" customHeight="1" x14ac:dyDescent="0.25">
      <c r="A631" s="38"/>
      <c r="B631" s="38"/>
      <c r="C631" s="470"/>
      <c r="D631" s="470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</row>
    <row r="632" spans="1:21" ht="19.5" customHeight="1" x14ac:dyDescent="0.25">
      <c r="A632" s="38"/>
      <c r="B632" s="38"/>
      <c r="C632" s="470"/>
      <c r="D632" s="470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</row>
    <row r="633" spans="1:21" ht="19.5" customHeight="1" x14ac:dyDescent="0.25">
      <c r="A633" s="38"/>
      <c r="B633" s="38"/>
      <c r="C633" s="470"/>
      <c r="D633" s="470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</row>
    <row r="634" spans="1:21" ht="19.5" customHeight="1" x14ac:dyDescent="0.25">
      <c r="A634" s="38"/>
      <c r="B634" s="38"/>
      <c r="C634" s="470"/>
      <c r="D634" s="470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</row>
    <row r="635" spans="1:21" ht="19.5" customHeight="1" x14ac:dyDescent="0.25">
      <c r="A635" s="38"/>
      <c r="B635" s="38"/>
      <c r="C635" s="470"/>
      <c r="D635" s="470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</row>
    <row r="636" spans="1:21" ht="19.5" customHeight="1" x14ac:dyDescent="0.25">
      <c r="A636" s="38"/>
      <c r="B636" s="38"/>
      <c r="C636" s="470"/>
      <c r="D636" s="470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</row>
    <row r="637" spans="1:21" ht="19.5" customHeight="1" x14ac:dyDescent="0.25">
      <c r="A637" s="38"/>
      <c r="B637" s="38"/>
      <c r="C637" s="470"/>
      <c r="D637" s="470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</row>
    <row r="638" spans="1:21" ht="19.5" customHeight="1" x14ac:dyDescent="0.25">
      <c r="A638" s="38"/>
      <c r="B638" s="38"/>
      <c r="C638" s="470"/>
      <c r="D638" s="470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</row>
    <row r="639" spans="1:21" ht="19.5" customHeight="1" x14ac:dyDescent="0.25">
      <c r="A639" s="38"/>
      <c r="B639" s="38"/>
      <c r="C639" s="470"/>
      <c r="D639" s="470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</row>
    <row r="640" spans="1:21" ht="19.5" customHeight="1" x14ac:dyDescent="0.25">
      <c r="A640" s="38"/>
      <c r="B640" s="38"/>
      <c r="C640" s="470"/>
      <c r="D640" s="470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</row>
    <row r="641" spans="1:21" ht="19.5" customHeight="1" x14ac:dyDescent="0.25">
      <c r="A641" s="38"/>
      <c r="B641" s="38"/>
      <c r="C641" s="470"/>
      <c r="D641" s="470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</row>
    <row r="642" spans="1:21" ht="19.5" customHeight="1" x14ac:dyDescent="0.25">
      <c r="A642" s="38"/>
      <c r="B642" s="38"/>
      <c r="C642" s="470"/>
      <c r="D642" s="470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</row>
    <row r="643" spans="1:21" ht="19.5" customHeight="1" x14ac:dyDescent="0.25">
      <c r="A643" s="38"/>
      <c r="B643" s="38"/>
      <c r="C643" s="470"/>
      <c r="D643" s="470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</row>
    <row r="644" spans="1:21" ht="19.5" customHeight="1" x14ac:dyDescent="0.25">
      <c r="A644" s="38"/>
      <c r="B644" s="38"/>
      <c r="C644" s="470"/>
      <c r="D644" s="470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</row>
    <row r="645" spans="1:21" ht="19.5" customHeight="1" x14ac:dyDescent="0.25">
      <c r="A645" s="38"/>
      <c r="B645" s="38"/>
      <c r="C645" s="470"/>
      <c r="D645" s="470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</row>
    <row r="646" spans="1:21" ht="19.5" customHeight="1" x14ac:dyDescent="0.25">
      <c r="A646" s="38"/>
      <c r="B646" s="38"/>
      <c r="C646" s="470"/>
      <c r="D646" s="470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</row>
    <row r="647" spans="1:21" ht="19.5" customHeight="1" x14ac:dyDescent="0.25">
      <c r="A647" s="38"/>
      <c r="B647" s="38"/>
      <c r="C647" s="470"/>
      <c r="D647" s="470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</row>
    <row r="648" spans="1:21" ht="19.5" customHeight="1" x14ac:dyDescent="0.25">
      <c r="A648" s="38"/>
      <c r="B648" s="38"/>
      <c r="C648" s="470"/>
      <c r="D648" s="470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</row>
    <row r="649" spans="1:21" ht="19.5" customHeight="1" x14ac:dyDescent="0.25">
      <c r="A649" s="38"/>
      <c r="B649" s="38"/>
      <c r="C649" s="470"/>
      <c r="D649" s="470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</row>
    <row r="650" spans="1:21" ht="19.5" customHeight="1" x14ac:dyDescent="0.25">
      <c r="A650" s="38"/>
      <c r="B650" s="38"/>
      <c r="C650" s="470"/>
      <c r="D650" s="470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</row>
    <row r="651" spans="1:21" ht="19.5" customHeight="1" x14ac:dyDescent="0.25">
      <c r="A651" s="38"/>
      <c r="B651" s="38"/>
      <c r="C651" s="470"/>
      <c r="D651" s="470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</row>
    <row r="652" spans="1:21" ht="19.5" customHeight="1" x14ac:dyDescent="0.25">
      <c r="A652" s="38"/>
      <c r="B652" s="38"/>
      <c r="C652" s="470"/>
      <c r="D652" s="470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</row>
    <row r="653" spans="1:21" ht="19.5" customHeight="1" x14ac:dyDescent="0.25">
      <c r="A653" s="38"/>
      <c r="B653" s="38"/>
      <c r="C653" s="470"/>
      <c r="D653" s="470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</row>
    <row r="654" spans="1:21" ht="19.5" customHeight="1" x14ac:dyDescent="0.25">
      <c r="A654" s="38"/>
      <c r="B654" s="38"/>
      <c r="C654" s="470"/>
      <c r="D654" s="470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</row>
    <row r="655" spans="1:21" ht="19.5" customHeight="1" x14ac:dyDescent="0.25">
      <c r="A655" s="38"/>
      <c r="B655" s="38"/>
      <c r="C655" s="470"/>
      <c r="D655" s="470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</row>
    <row r="656" spans="1:21" ht="19.5" customHeight="1" x14ac:dyDescent="0.25">
      <c r="A656" s="38"/>
      <c r="B656" s="38"/>
      <c r="C656" s="470"/>
      <c r="D656" s="470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</row>
    <row r="657" spans="1:21" ht="19.5" customHeight="1" x14ac:dyDescent="0.25">
      <c r="A657" s="38"/>
      <c r="B657" s="38"/>
      <c r="C657" s="470"/>
      <c r="D657" s="470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</row>
    <row r="658" spans="1:21" ht="19.5" customHeight="1" x14ac:dyDescent="0.25">
      <c r="A658" s="38"/>
      <c r="B658" s="38"/>
      <c r="C658" s="470"/>
      <c r="D658" s="470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</row>
    <row r="659" spans="1:21" ht="19.5" customHeight="1" x14ac:dyDescent="0.25">
      <c r="A659" s="38"/>
      <c r="B659" s="38"/>
      <c r="C659" s="470"/>
      <c r="D659" s="470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</row>
    <row r="660" spans="1:21" ht="19.5" customHeight="1" x14ac:dyDescent="0.25">
      <c r="A660" s="38"/>
      <c r="B660" s="38"/>
      <c r="C660" s="470"/>
      <c r="D660" s="470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</row>
    <row r="661" spans="1:21" ht="19.5" customHeight="1" x14ac:dyDescent="0.25">
      <c r="A661" s="38"/>
      <c r="B661" s="38"/>
      <c r="C661" s="470"/>
      <c r="D661" s="470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</row>
    <row r="662" spans="1:21" ht="19.5" customHeight="1" x14ac:dyDescent="0.25">
      <c r="A662" s="38"/>
      <c r="B662" s="38"/>
      <c r="C662" s="470"/>
      <c r="D662" s="470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</row>
    <row r="663" spans="1:21" ht="19.5" customHeight="1" x14ac:dyDescent="0.25">
      <c r="A663" s="38"/>
      <c r="B663" s="38"/>
      <c r="C663" s="470"/>
      <c r="D663" s="470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</row>
    <row r="664" spans="1:21" ht="19.5" customHeight="1" x14ac:dyDescent="0.25">
      <c r="A664" s="38"/>
      <c r="B664" s="38"/>
      <c r="C664" s="470"/>
      <c r="D664" s="470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</row>
    <row r="665" spans="1:21" ht="19.5" customHeight="1" x14ac:dyDescent="0.25">
      <c r="A665" s="38"/>
      <c r="B665" s="38"/>
      <c r="C665" s="470"/>
      <c r="D665" s="470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</row>
    <row r="666" spans="1:21" ht="19.5" customHeight="1" x14ac:dyDescent="0.25">
      <c r="A666" s="38"/>
      <c r="B666" s="38"/>
      <c r="C666" s="470"/>
      <c r="D666" s="470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</row>
    <row r="667" spans="1:21" ht="19.5" customHeight="1" x14ac:dyDescent="0.25">
      <c r="A667" s="38"/>
      <c r="B667" s="38"/>
      <c r="C667" s="470"/>
      <c r="D667" s="470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</row>
    <row r="668" spans="1:21" ht="19.5" customHeight="1" x14ac:dyDescent="0.25">
      <c r="A668" s="38"/>
      <c r="B668" s="38"/>
      <c r="C668" s="470"/>
      <c r="D668" s="470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</row>
    <row r="669" spans="1:21" ht="19.5" customHeight="1" x14ac:dyDescent="0.25">
      <c r="A669" s="38"/>
      <c r="B669" s="38"/>
      <c r="C669" s="470"/>
      <c r="D669" s="470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</row>
    <row r="670" spans="1:21" ht="19.5" customHeight="1" x14ac:dyDescent="0.25">
      <c r="A670" s="38"/>
      <c r="B670" s="38"/>
      <c r="C670" s="470"/>
      <c r="D670" s="470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</row>
    <row r="671" spans="1:21" ht="19.5" customHeight="1" x14ac:dyDescent="0.25">
      <c r="A671" s="38"/>
      <c r="B671" s="38"/>
      <c r="C671" s="470"/>
      <c r="D671" s="470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</row>
    <row r="672" spans="1:21" ht="19.5" customHeight="1" x14ac:dyDescent="0.25">
      <c r="A672" s="38"/>
      <c r="B672" s="38"/>
      <c r="C672" s="470"/>
      <c r="D672" s="470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</row>
    <row r="673" spans="1:21" ht="19.5" customHeight="1" x14ac:dyDescent="0.25">
      <c r="A673" s="38"/>
      <c r="B673" s="38"/>
      <c r="C673" s="470"/>
      <c r="D673" s="470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</row>
    <row r="674" spans="1:21" ht="19.5" customHeight="1" x14ac:dyDescent="0.25">
      <c r="A674" s="38"/>
      <c r="B674" s="38"/>
      <c r="C674" s="470"/>
      <c r="D674" s="470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</row>
    <row r="675" spans="1:21" ht="19.5" customHeight="1" x14ac:dyDescent="0.25">
      <c r="A675" s="38"/>
      <c r="B675" s="38"/>
      <c r="C675" s="470"/>
      <c r="D675" s="470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</row>
    <row r="676" spans="1:21" ht="19.5" customHeight="1" x14ac:dyDescent="0.25">
      <c r="A676" s="38"/>
      <c r="B676" s="38"/>
      <c r="C676" s="470"/>
      <c r="D676" s="470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</row>
    <row r="677" spans="1:21" ht="19.5" customHeight="1" x14ac:dyDescent="0.25">
      <c r="A677" s="38"/>
      <c r="B677" s="38"/>
      <c r="C677" s="470"/>
      <c r="D677" s="470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</row>
    <row r="678" spans="1:21" ht="19.5" customHeight="1" x14ac:dyDescent="0.25">
      <c r="A678" s="38"/>
      <c r="B678" s="38"/>
      <c r="C678" s="470"/>
      <c r="D678" s="470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</row>
    <row r="679" spans="1:21" ht="19.5" customHeight="1" x14ac:dyDescent="0.25">
      <c r="A679" s="38"/>
      <c r="B679" s="38"/>
      <c r="C679" s="470"/>
      <c r="D679" s="470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</row>
    <row r="680" spans="1:21" ht="19.5" customHeight="1" x14ac:dyDescent="0.25">
      <c r="A680" s="38"/>
      <c r="B680" s="38"/>
      <c r="C680" s="470"/>
      <c r="D680" s="470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</row>
    <row r="681" spans="1:21" ht="19.5" customHeight="1" x14ac:dyDescent="0.25">
      <c r="A681" s="38"/>
      <c r="B681" s="38"/>
      <c r="C681" s="470"/>
      <c r="D681" s="470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</row>
    <row r="682" spans="1:21" ht="19.5" customHeight="1" x14ac:dyDescent="0.25">
      <c r="A682" s="38"/>
      <c r="B682" s="38"/>
      <c r="C682" s="470"/>
      <c r="D682" s="470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</row>
    <row r="683" spans="1:21" ht="19.5" customHeight="1" x14ac:dyDescent="0.25">
      <c r="A683" s="38"/>
      <c r="B683" s="38"/>
      <c r="C683" s="470"/>
      <c r="D683" s="470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</row>
    <row r="684" spans="1:21" ht="19.5" customHeight="1" x14ac:dyDescent="0.25">
      <c r="A684" s="38"/>
      <c r="B684" s="38"/>
      <c r="C684" s="470"/>
      <c r="D684" s="470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</row>
    <row r="685" spans="1:21" ht="19.5" customHeight="1" x14ac:dyDescent="0.25">
      <c r="A685" s="38"/>
      <c r="B685" s="38"/>
      <c r="C685" s="470"/>
      <c r="D685" s="470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</row>
    <row r="686" spans="1:21" ht="19.5" customHeight="1" x14ac:dyDescent="0.25">
      <c r="A686" s="38"/>
      <c r="B686" s="38"/>
      <c r="C686" s="470"/>
      <c r="D686" s="470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</row>
    <row r="687" spans="1:21" ht="19.5" customHeight="1" x14ac:dyDescent="0.25">
      <c r="A687" s="38"/>
      <c r="B687" s="38"/>
      <c r="C687" s="470"/>
      <c r="D687" s="470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</row>
    <row r="688" spans="1:21" ht="19.5" customHeight="1" x14ac:dyDescent="0.25">
      <c r="A688" s="38"/>
      <c r="B688" s="38"/>
      <c r="C688" s="470"/>
      <c r="D688" s="470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</row>
    <row r="689" spans="1:21" ht="19.5" customHeight="1" x14ac:dyDescent="0.25">
      <c r="A689" s="38"/>
      <c r="B689" s="38"/>
      <c r="C689" s="470"/>
      <c r="D689" s="470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</row>
    <row r="690" spans="1:21" ht="19.5" customHeight="1" x14ac:dyDescent="0.25">
      <c r="A690" s="38"/>
      <c r="B690" s="38"/>
      <c r="C690" s="470"/>
      <c r="D690" s="470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</row>
    <row r="691" spans="1:21" ht="19.5" customHeight="1" x14ac:dyDescent="0.25">
      <c r="A691" s="38"/>
      <c r="B691" s="38"/>
      <c r="C691" s="470"/>
      <c r="D691" s="470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</row>
    <row r="692" spans="1:21" ht="19.5" customHeight="1" x14ac:dyDescent="0.25">
      <c r="A692" s="38"/>
      <c r="B692" s="38"/>
      <c r="C692" s="470"/>
      <c r="D692" s="470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</row>
    <row r="693" spans="1:21" ht="19.5" customHeight="1" x14ac:dyDescent="0.25">
      <c r="A693" s="38"/>
      <c r="B693" s="38"/>
      <c r="C693" s="470"/>
      <c r="D693" s="470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</row>
    <row r="694" spans="1:21" ht="19.5" customHeight="1" x14ac:dyDescent="0.25">
      <c r="A694" s="38"/>
      <c r="B694" s="38"/>
      <c r="C694" s="470"/>
      <c r="D694" s="470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</row>
    <row r="695" spans="1:21" ht="19.5" customHeight="1" x14ac:dyDescent="0.25">
      <c r="A695" s="38"/>
      <c r="B695" s="38"/>
      <c r="C695" s="470"/>
      <c r="D695" s="470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</row>
    <row r="696" spans="1:21" ht="19.5" customHeight="1" x14ac:dyDescent="0.25">
      <c r="A696" s="38"/>
      <c r="B696" s="38"/>
      <c r="C696" s="470"/>
      <c r="D696" s="470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</row>
    <row r="697" spans="1:21" ht="19.5" customHeight="1" x14ac:dyDescent="0.25">
      <c r="A697" s="38"/>
      <c r="B697" s="38"/>
      <c r="C697" s="470"/>
      <c r="D697" s="470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</row>
    <row r="698" spans="1:21" ht="19.5" customHeight="1" x14ac:dyDescent="0.25">
      <c r="A698" s="38"/>
      <c r="B698" s="38"/>
      <c r="C698" s="470"/>
      <c r="D698" s="470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</row>
    <row r="699" spans="1:21" ht="19.5" customHeight="1" x14ac:dyDescent="0.25">
      <c r="A699" s="38"/>
      <c r="B699" s="38"/>
      <c r="C699" s="470"/>
      <c r="D699" s="470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</row>
    <row r="700" spans="1:21" ht="19.5" customHeight="1" x14ac:dyDescent="0.25">
      <c r="A700" s="38"/>
      <c r="B700" s="38"/>
      <c r="C700" s="470"/>
      <c r="D700" s="470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</row>
    <row r="701" spans="1:21" ht="19.5" customHeight="1" x14ac:dyDescent="0.25">
      <c r="A701" s="38"/>
      <c r="B701" s="38"/>
      <c r="C701" s="470"/>
      <c r="D701" s="470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</row>
    <row r="702" spans="1:21" ht="19.5" customHeight="1" x14ac:dyDescent="0.25">
      <c r="A702" s="38"/>
      <c r="B702" s="38"/>
      <c r="C702" s="470"/>
      <c r="D702" s="470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</row>
    <row r="703" spans="1:21" ht="19.5" customHeight="1" x14ac:dyDescent="0.25">
      <c r="A703" s="38"/>
      <c r="B703" s="38"/>
      <c r="C703" s="470"/>
      <c r="D703" s="470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</row>
    <row r="704" spans="1:21" ht="19.5" customHeight="1" x14ac:dyDescent="0.25">
      <c r="A704" s="38"/>
      <c r="B704" s="38"/>
      <c r="C704" s="470"/>
      <c r="D704" s="470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</row>
    <row r="705" spans="1:21" ht="19.5" customHeight="1" x14ac:dyDescent="0.25">
      <c r="A705" s="38"/>
      <c r="B705" s="38"/>
      <c r="C705" s="470"/>
      <c r="D705" s="470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</row>
    <row r="706" spans="1:21" ht="19.5" customHeight="1" x14ac:dyDescent="0.25">
      <c r="A706" s="38"/>
      <c r="B706" s="38"/>
      <c r="C706" s="470"/>
      <c r="D706" s="470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</row>
    <row r="707" spans="1:21" ht="19.5" customHeight="1" x14ac:dyDescent="0.25">
      <c r="A707" s="38"/>
      <c r="B707" s="38"/>
      <c r="C707" s="470"/>
      <c r="D707" s="470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</row>
    <row r="708" spans="1:21" ht="19.5" customHeight="1" x14ac:dyDescent="0.25">
      <c r="A708" s="38"/>
      <c r="B708" s="38"/>
      <c r="C708" s="470"/>
      <c r="D708" s="470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</row>
    <row r="709" spans="1:21" ht="19.5" customHeight="1" x14ac:dyDescent="0.25">
      <c r="A709" s="38"/>
      <c r="B709" s="38"/>
      <c r="C709" s="470"/>
      <c r="D709" s="470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</row>
    <row r="710" spans="1:21" ht="19.5" customHeight="1" x14ac:dyDescent="0.25">
      <c r="A710" s="38"/>
      <c r="B710" s="38"/>
      <c r="C710" s="470"/>
      <c r="D710" s="470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</row>
    <row r="711" spans="1:21" ht="19.5" customHeight="1" x14ac:dyDescent="0.25">
      <c r="A711" s="38"/>
      <c r="B711" s="38"/>
      <c r="C711" s="470"/>
      <c r="D711" s="470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</row>
    <row r="712" spans="1:21" ht="19.5" customHeight="1" x14ac:dyDescent="0.25">
      <c r="A712" s="38"/>
      <c r="B712" s="38"/>
      <c r="C712" s="470"/>
      <c r="D712" s="470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</row>
    <row r="713" spans="1:21" ht="19.5" customHeight="1" x14ac:dyDescent="0.25">
      <c r="A713" s="38"/>
      <c r="B713" s="38"/>
      <c r="C713" s="470"/>
      <c r="D713" s="470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</row>
    <row r="714" spans="1:21" ht="19.5" customHeight="1" x14ac:dyDescent="0.25">
      <c r="A714" s="38"/>
      <c r="B714" s="38"/>
      <c r="C714" s="470"/>
      <c r="D714" s="470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</row>
    <row r="715" spans="1:21" ht="19.5" customHeight="1" x14ac:dyDescent="0.25">
      <c r="A715" s="38"/>
      <c r="B715" s="38"/>
      <c r="C715" s="470"/>
      <c r="D715" s="470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</row>
    <row r="716" spans="1:21" ht="19.5" customHeight="1" x14ac:dyDescent="0.25">
      <c r="A716" s="38"/>
      <c r="B716" s="38"/>
      <c r="C716" s="470"/>
      <c r="D716" s="470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</row>
    <row r="717" spans="1:21" ht="19.5" customHeight="1" x14ac:dyDescent="0.25">
      <c r="A717" s="38"/>
      <c r="B717" s="38"/>
      <c r="C717" s="470"/>
      <c r="D717" s="470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</row>
    <row r="718" spans="1:21" ht="19.5" customHeight="1" x14ac:dyDescent="0.25">
      <c r="A718" s="38"/>
      <c r="B718" s="38"/>
      <c r="C718" s="470"/>
      <c r="D718" s="470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</row>
    <row r="719" spans="1:21" ht="19.5" customHeight="1" x14ac:dyDescent="0.25">
      <c r="A719" s="38"/>
      <c r="B719" s="38"/>
      <c r="C719" s="470"/>
      <c r="D719" s="470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</row>
    <row r="720" spans="1:21" ht="19.5" customHeight="1" x14ac:dyDescent="0.25">
      <c r="A720" s="38"/>
      <c r="B720" s="38"/>
      <c r="C720" s="470"/>
      <c r="D720" s="470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</row>
    <row r="721" spans="1:21" ht="19.5" customHeight="1" x14ac:dyDescent="0.25">
      <c r="A721" s="38"/>
      <c r="B721" s="38"/>
      <c r="C721" s="470"/>
      <c r="D721" s="470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</row>
    <row r="722" spans="1:21" ht="19.5" customHeight="1" x14ac:dyDescent="0.25">
      <c r="A722" s="38"/>
      <c r="B722" s="38"/>
      <c r="C722" s="470"/>
      <c r="D722" s="470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</row>
    <row r="723" spans="1:21" ht="19.5" customHeight="1" x14ac:dyDescent="0.25">
      <c r="A723" s="38"/>
      <c r="B723" s="38"/>
      <c r="C723" s="470"/>
      <c r="D723" s="470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</row>
    <row r="724" spans="1:21" ht="19.5" customHeight="1" x14ac:dyDescent="0.25">
      <c r="A724" s="38"/>
      <c r="B724" s="38"/>
      <c r="C724" s="470"/>
      <c r="D724" s="470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</row>
    <row r="725" spans="1:21" ht="19.5" customHeight="1" x14ac:dyDescent="0.25">
      <c r="A725" s="38"/>
      <c r="B725" s="38"/>
      <c r="C725" s="470"/>
      <c r="D725" s="470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</row>
    <row r="726" spans="1:21" ht="19.5" customHeight="1" x14ac:dyDescent="0.25">
      <c r="A726" s="38"/>
      <c r="B726" s="38"/>
      <c r="C726" s="470"/>
      <c r="D726" s="470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</row>
    <row r="727" spans="1:21" ht="19.5" customHeight="1" x14ac:dyDescent="0.25">
      <c r="A727" s="38"/>
      <c r="B727" s="38"/>
      <c r="C727" s="470"/>
      <c r="D727" s="470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</row>
    <row r="728" spans="1:21" ht="19.5" customHeight="1" x14ac:dyDescent="0.25">
      <c r="A728" s="38"/>
      <c r="B728" s="38"/>
      <c r="C728" s="470"/>
      <c r="D728" s="470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</row>
    <row r="729" spans="1:21" ht="19.5" customHeight="1" x14ac:dyDescent="0.25">
      <c r="A729" s="38"/>
      <c r="B729" s="38"/>
      <c r="C729" s="470"/>
      <c r="D729" s="470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</row>
    <row r="730" spans="1:21" ht="19.5" customHeight="1" x14ac:dyDescent="0.25">
      <c r="A730" s="38"/>
      <c r="B730" s="38"/>
      <c r="C730" s="470"/>
      <c r="D730" s="470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</row>
    <row r="731" spans="1:21" ht="19.5" customHeight="1" x14ac:dyDescent="0.25">
      <c r="A731" s="38"/>
      <c r="B731" s="38"/>
      <c r="C731" s="470"/>
      <c r="D731" s="470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</row>
    <row r="732" spans="1:21" ht="19.5" customHeight="1" x14ac:dyDescent="0.25">
      <c r="A732" s="38"/>
      <c r="B732" s="38"/>
      <c r="C732" s="470"/>
      <c r="D732" s="470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</row>
    <row r="733" spans="1:21" ht="19.5" customHeight="1" x14ac:dyDescent="0.25">
      <c r="A733" s="38"/>
      <c r="B733" s="38"/>
      <c r="C733" s="470"/>
      <c r="D733" s="470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</row>
    <row r="734" spans="1:21" ht="19.5" customHeight="1" x14ac:dyDescent="0.25">
      <c r="A734" s="38"/>
      <c r="B734" s="38"/>
      <c r="C734" s="470"/>
      <c r="D734" s="470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</row>
    <row r="735" spans="1:21" ht="19.5" customHeight="1" x14ac:dyDescent="0.25">
      <c r="A735" s="38"/>
      <c r="B735" s="38"/>
      <c r="C735" s="470"/>
      <c r="D735" s="470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</row>
    <row r="736" spans="1:21" ht="19.5" customHeight="1" x14ac:dyDescent="0.25">
      <c r="A736" s="38"/>
      <c r="B736" s="38"/>
      <c r="C736" s="470"/>
      <c r="D736" s="470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</row>
    <row r="737" spans="1:21" ht="19.5" customHeight="1" x14ac:dyDescent="0.25">
      <c r="A737" s="38"/>
      <c r="B737" s="38"/>
      <c r="C737" s="470"/>
      <c r="D737" s="470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</row>
    <row r="738" spans="1:21" ht="19.5" customHeight="1" x14ac:dyDescent="0.25">
      <c r="A738" s="38"/>
      <c r="B738" s="38"/>
      <c r="C738" s="470"/>
      <c r="D738" s="470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</row>
    <row r="739" spans="1:21" ht="19.5" customHeight="1" x14ac:dyDescent="0.25">
      <c r="A739" s="38"/>
      <c r="B739" s="38"/>
      <c r="C739" s="470"/>
      <c r="D739" s="470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</row>
    <row r="740" spans="1:21" ht="19.5" customHeight="1" x14ac:dyDescent="0.25">
      <c r="A740" s="38"/>
      <c r="B740" s="38"/>
      <c r="C740" s="470"/>
      <c r="D740" s="470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</row>
    <row r="741" spans="1:21" ht="19.5" customHeight="1" x14ac:dyDescent="0.25">
      <c r="A741" s="38"/>
      <c r="B741" s="38"/>
      <c r="C741" s="470"/>
      <c r="D741" s="470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</row>
    <row r="742" spans="1:21" ht="19.5" customHeight="1" x14ac:dyDescent="0.25">
      <c r="A742" s="38"/>
      <c r="B742" s="38"/>
      <c r="C742" s="470"/>
      <c r="D742" s="470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</row>
    <row r="743" spans="1:21" ht="19.5" customHeight="1" x14ac:dyDescent="0.25">
      <c r="A743" s="38"/>
      <c r="B743" s="38"/>
      <c r="C743" s="470"/>
      <c r="D743" s="470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</row>
    <row r="744" spans="1:21" ht="19.5" customHeight="1" x14ac:dyDescent="0.25">
      <c r="A744" s="38"/>
      <c r="B744" s="38"/>
      <c r="C744" s="470"/>
      <c r="D744" s="470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</row>
    <row r="745" spans="1:21" ht="19.5" customHeight="1" x14ac:dyDescent="0.25">
      <c r="A745" s="38"/>
      <c r="B745" s="38"/>
      <c r="C745" s="470"/>
      <c r="D745" s="470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</row>
    <row r="746" spans="1:21" ht="19.5" customHeight="1" x14ac:dyDescent="0.25">
      <c r="A746" s="38"/>
      <c r="B746" s="38"/>
      <c r="C746" s="470"/>
      <c r="D746" s="470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</row>
    <row r="747" spans="1:21" ht="19.5" customHeight="1" x14ac:dyDescent="0.25">
      <c r="A747" s="38"/>
      <c r="B747" s="38"/>
      <c r="C747" s="470"/>
      <c r="D747" s="470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</row>
    <row r="748" spans="1:21" ht="19.5" customHeight="1" x14ac:dyDescent="0.25">
      <c r="A748" s="38"/>
      <c r="B748" s="38"/>
      <c r="C748" s="470"/>
      <c r="D748" s="470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</row>
    <row r="749" spans="1:21" ht="19.5" customHeight="1" x14ac:dyDescent="0.25">
      <c r="A749" s="38"/>
      <c r="B749" s="38"/>
      <c r="C749" s="470"/>
      <c r="D749" s="470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</row>
    <row r="750" spans="1:21" ht="19.5" customHeight="1" x14ac:dyDescent="0.25">
      <c r="A750" s="38"/>
      <c r="B750" s="38"/>
      <c r="C750" s="470"/>
      <c r="D750" s="470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</row>
    <row r="751" spans="1:21" ht="19.5" customHeight="1" x14ac:dyDescent="0.25">
      <c r="A751" s="38"/>
      <c r="B751" s="38"/>
      <c r="C751" s="470"/>
      <c r="D751" s="470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</row>
    <row r="752" spans="1:21" ht="19.5" customHeight="1" x14ac:dyDescent="0.25">
      <c r="A752" s="38"/>
      <c r="B752" s="38"/>
      <c r="C752" s="470"/>
      <c r="D752" s="470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</row>
    <row r="753" spans="1:21" ht="19.5" customHeight="1" x14ac:dyDescent="0.25">
      <c r="A753" s="38"/>
      <c r="B753" s="38"/>
      <c r="C753" s="470"/>
      <c r="D753" s="470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</row>
    <row r="754" spans="1:21" ht="19.5" customHeight="1" x14ac:dyDescent="0.25">
      <c r="A754" s="38"/>
      <c r="B754" s="38"/>
      <c r="C754" s="470"/>
      <c r="D754" s="470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</row>
    <row r="755" spans="1:21" ht="19.5" customHeight="1" x14ac:dyDescent="0.25">
      <c r="A755" s="38"/>
      <c r="B755" s="38"/>
      <c r="C755" s="470"/>
      <c r="D755" s="470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</row>
    <row r="756" spans="1:21" ht="19.5" customHeight="1" x14ac:dyDescent="0.25">
      <c r="A756" s="38"/>
      <c r="B756" s="38"/>
      <c r="C756" s="470"/>
      <c r="D756" s="470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</row>
    <row r="757" spans="1:21" ht="19.5" customHeight="1" x14ac:dyDescent="0.25">
      <c r="A757" s="38"/>
      <c r="B757" s="38"/>
      <c r="C757" s="470"/>
      <c r="D757" s="470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</row>
    <row r="758" spans="1:21" ht="19.5" customHeight="1" x14ac:dyDescent="0.25">
      <c r="A758" s="38"/>
      <c r="B758" s="38"/>
      <c r="C758" s="470"/>
      <c r="D758" s="470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</row>
    <row r="759" spans="1:21" ht="19.5" customHeight="1" x14ac:dyDescent="0.25">
      <c r="A759" s="38"/>
      <c r="B759" s="38"/>
      <c r="C759" s="470"/>
      <c r="D759" s="470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</row>
    <row r="760" spans="1:21" ht="19.5" customHeight="1" x14ac:dyDescent="0.25">
      <c r="A760" s="38"/>
      <c r="B760" s="38"/>
      <c r="C760" s="470"/>
      <c r="D760" s="470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</row>
    <row r="761" spans="1:21" ht="19.5" customHeight="1" x14ac:dyDescent="0.25">
      <c r="A761" s="38"/>
      <c r="B761" s="38"/>
      <c r="C761" s="470"/>
      <c r="D761" s="470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</row>
    <row r="762" spans="1:21" ht="19.5" customHeight="1" x14ac:dyDescent="0.25">
      <c r="A762" s="38"/>
      <c r="B762" s="38"/>
      <c r="C762" s="470"/>
      <c r="D762" s="470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</row>
    <row r="763" spans="1:21" ht="19.5" customHeight="1" x14ac:dyDescent="0.25">
      <c r="A763" s="38"/>
      <c r="B763" s="38"/>
      <c r="C763" s="470"/>
      <c r="D763" s="470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</row>
    <row r="764" spans="1:21" ht="19.5" customHeight="1" x14ac:dyDescent="0.25">
      <c r="A764" s="38"/>
      <c r="B764" s="38"/>
      <c r="C764" s="470"/>
      <c r="D764" s="470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</row>
    <row r="765" spans="1:21" ht="19.5" customHeight="1" x14ac:dyDescent="0.25">
      <c r="A765" s="38"/>
      <c r="B765" s="38"/>
      <c r="C765" s="470"/>
      <c r="D765" s="470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</row>
    <row r="766" spans="1:21" ht="19.5" customHeight="1" x14ac:dyDescent="0.25">
      <c r="A766" s="38"/>
      <c r="B766" s="38"/>
      <c r="C766" s="470"/>
      <c r="D766" s="470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</row>
    <row r="767" spans="1:21" ht="19.5" customHeight="1" x14ac:dyDescent="0.25">
      <c r="A767" s="38"/>
      <c r="B767" s="38"/>
      <c r="C767" s="470"/>
      <c r="D767" s="470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</row>
    <row r="768" spans="1:21" ht="19.5" customHeight="1" x14ac:dyDescent="0.25">
      <c r="A768" s="38"/>
      <c r="B768" s="38"/>
      <c r="C768" s="470"/>
      <c r="D768" s="470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</row>
    <row r="769" spans="1:21" ht="19.5" customHeight="1" x14ac:dyDescent="0.25">
      <c r="A769" s="38"/>
      <c r="B769" s="38"/>
      <c r="C769" s="470"/>
      <c r="D769" s="470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</row>
    <row r="770" spans="1:21" ht="19.5" customHeight="1" x14ac:dyDescent="0.25">
      <c r="A770" s="38"/>
      <c r="B770" s="38"/>
      <c r="C770" s="470"/>
      <c r="D770" s="470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</row>
    <row r="771" spans="1:21" ht="19.5" customHeight="1" x14ac:dyDescent="0.25">
      <c r="A771" s="38"/>
      <c r="B771" s="38"/>
      <c r="C771" s="470"/>
      <c r="D771" s="470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</row>
    <row r="772" spans="1:21" ht="19.5" customHeight="1" x14ac:dyDescent="0.25">
      <c r="A772" s="38"/>
      <c r="B772" s="38"/>
      <c r="C772" s="470"/>
      <c r="D772" s="470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</row>
    <row r="773" spans="1:21" ht="19.5" customHeight="1" x14ac:dyDescent="0.25">
      <c r="A773" s="38"/>
      <c r="B773" s="38"/>
      <c r="C773" s="470"/>
      <c r="D773" s="470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</row>
    <row r="774" spans="1:21" ht="19.5" customHeight="1" x14ac:dyDescent="0.25">
      <c r="A774" s="38"/>
      <c r="B774" s="38"/>
      <c r="C774" s="470"/>
      <c r="D774" s="470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</row>
    <row r="775" spans="1:21" ht="19.5" customHeight="1" x14ac:dyDescent="0.25">
      <c r="A775" s="38"/>
      <c r="B775" s="38"/>
      <c r="C775" s="470"/>
      <c r="D775" s="470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</row>
    <row r="776" spans="1:21" ht="19.5" customHeight="1" x14ac:dyDescent="0.25">
      <c r="A776" s="38"/>
      <c r="B776" s="38"/>
      <c r="C776" s="470"/>
      <c r="D776" s="470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</row>
    <row r="777" spans="1:21" ht="19.5" customHeight="1" x14ac:dyDescent="0.25">
      <c r="A777" s="38"/>
      <c r="B777" s="38"/>
      <c r="C777" s="470"/>
      <c r="D777" s="470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</row>
    <row r="778" spans="1:21" ht="19.5" customHeight="1" x14ac:dyDescent="0.25">
      <c r="A778" s="38"/>
      <c r="B778" s="38"/>
      <c r="C778" s="470"/>
      <c r="D778" s="470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</row>
    <row r="779" spans="1:21" ht="19.5" customHeight="1" x14ac:dyDescent="0.25">
      <c r="A779" s="38"/>
      <c r="B779" s="38"/>
      <c r="C779" s="470"/>
      <c r="D779" s="470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</row>
    <row r="780" spans="1:21" ht="19.5" customHeight="1" x14ac:dyDescent="0.25">
      <c r="A780" s="38"/>
      <c r="B780" s="38"/>
      <c r="C780" s="470"/>
      <c r="D780" s="470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</row>
    <row r="781" spans="1:21" ht="19.5" customHeight="1" x14ac:dyDescent="0.25">
      <c r="A781" s="38"/>
      <c r="B781" s="38"/>
      <c r="C781" s="470"/>
      <c r="D781" s="470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</row>
    <row r="782" spans="1:21" ht="19.5" customHeight="1" x14ac:dyDescent="0.25">
      <c r="A782" s="38"/>
      <c r="B782" s="38"/>
      <c r="C782" s="470"/>
      <c r="D782" s="470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</row>
    <row r="783" spans="1:21" ht="19.5" customHeight="1" x14ac:dyDescent="0.25">
      <c r="A783" s="38"/>
      <c r="B783" s="38"/>
      <c r="C783" s="470"/>
      <c r="D783" s="470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</row>
    <row r="784" spans="1:21" ht="19.5" customHeight="1" x14ac:dyDescent="0.25">
      <c r="A784" s="38"/>
      <c r="B784" s="38"/>
      <c r="C784" s="470"/>
      <c r="D784" s="470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</row>
    <row r="785" spans="1:21" ht="19.5" customHeight="1" x14ac:dyDescent="0.25">
      <c r="A785" s="38"/>
      <c r="B785" s="38"/>
      <c r="C785" s="470"/>
      <c r="D785" s="470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</row>
    <row r="786" spans="1:21" ht="19.5" customHeight="1" x14ac:dyDescent="0.25">
      <c r="A786" s="38"/>
      <c r="B786" s="38"/>
      <c r="C786" s="470"/>
      <c r="D786" s="470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</row>
    <row r="787" spans="1:21" ht="19.5" customHeight="1" x14ac:dyDescent="0.25">
      <c r="A787" s="38"/>
      <c r="B787" s="38"/>
      <c r="C787" s="470"/>
      <c r="D787" s="470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</row>
    <row r="788" spans="1:21" ht="19.5" customHeight="1" x14ac:dyDescent="0.25">
      <c r="A788" s="38"/>
      <c r="B788" s="38"/>
      <c r="C788" s="470"/>
      <c r="D788" s="470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</row>
    <row r="789" spans="1:21" ht="19.5" customHeight="1" x14ac:dyDescent="0.25">
      <c r="A789" s="38"/>
      <c r="B789" s="38"/>
      <c r="C789" s="470"/>
      <c r="D789" s="470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</row>
    <row r="790" spans="1:21" ht="19.5" customHeight="1" x14ac:dyDescent="0.25">
      <c r="A790" s="38"/>
      <c r="B790" s="38"/>
      <c r="C790" s="470"/>
      <c r="D790" s="470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</row>
    <row r="791" spans="1:21" ht="19.5" customHeight="1" x14ac:dyDescent="0.25">
      <c r="A791" s="38"/>
      <c r="B791" s="38"/>
      <c r="C791" s="470"/>
      <c r="D791" s="470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</row>
    <row r="792" spans="1:21" ht="19.5" customHeight="1" x14ac:dyDescent="0.25">
      <c r="A792" s="38"/>
      <c r="B792" s="38"/>
      <c r="C792" s="470"/>
      <c r="D792" s="470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</row>
    <row r="793" spans="1:21" ht="19.5" customHeight="1" x14ac:dyDescent="0.25">
      <c r="A793" s="38"/>
      <c r="B793" s="38"/>
      <c r="C793" s="470"/>
      <c r="D793" s="470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</row>
    <row r="794" spans="1:21" ht="19.5" customHeight="1" x14ac:dyDescent="0.25">
      <c r="A794" s="38"/>
      <c r="B794" s="38"/>
      <c r="C794" s="470"/>
      <c r="D794" s="470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</row>
    <row r="795" spans="1:21" ht="19.5" customHeight="1" x14ac:dyDescent="0.25">
      <c r="A795" s="38"/>
      <c r="B795" s="38"/>
      <c r="C795" s="470"/>
      <c r="D795" s="470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</row>
    <row r="796" spans="1:21" ht="19.5" customHeight="1" x14ac:dyDescent="0.25">
      <c r="A796" s="38"/>
      <c r="B796" s="38"/>
      <c r="C796" s="470"/>
      <c r="D796" s="470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</row>
    <row r="797" spans="1:21" ht="19.5" customHeight="1" x14ac:dyDescent="0.25">
      <c r="A797" s="38"/>
      <c r="B797" s="38"/>
      <c r="C797" s="470"/>
      <c r="D797" s="470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</row>
    <row r="798" spans="1:21" ht="19.5" customHeight="1" x14ac:dyDescent="0.25">
      <c r="A798" s="38"/>
      <c r="B798" s="38"/>
      <c r="C798" s="470"/>
      <c r="D798" s="470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</row>
    <row r="799" spans="1:21" ht="19.5" customHeight="1" x14ac:dyDescent="0.25">
      <c r="A799" s="38"/>
      <c r="B799" s="38"/>
      <c r="C799" s="470"/>
      <c r="D799" s="470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</row>
    <row r="800" spans="1:21" ht="19.5" customHeight="1" x14ac:dyDescent="0.25">
      <c r="A800" s="38"/>
      <c r="B800" s="38"/>
      <c r="C800" s="470"/>
      <c r="D800" s="470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</row>
    <row r="801" spans="1:21" ht="19.5" customHeight="1" x14ac:dyDescent="0.25">
      <c r="A801" s="38"/>
      <c r="B801" s="38"/>
      <c r="C801" s="470"/>
      <c r="D801" s="470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</row>
    <row r="802" spans="1:21" ht="19.5" customHeight="1" x14ac:dyDescent="0.25">
      <c r="A802" s="38"/>
      <c r="B802" s="38"/>
      <c r="C802" s="470"/>
      <c r="D802" s="470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</row>
    <row r="803" spans="1:21" ht="19.5" customHeight="1" x14ac:dyDescent="0.25">
      <c r="A803" s="38"/>
      <c r="B803" s="38"/>
      <c r="C803" s="470"/>
      <c r="D803" s="470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</row>
    <row r="804" spans="1:21" ht="19.5" customHeight="1" x14ac:dyDescent="0.25">
      <c r="A804" s="38"/>
      <c r="B804" s="38"/>
      <c r="C804" s="470"/>
      <c r="D804" s="470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</row>
    <row r="805" spans="1:21" ht="19.5" customHeight="1" x14ac:dyDescent="0.25">
      <c r="A805" s="38"/>
      <c r="B805" s="38"/>
      <c r="C805" s="470"/>
      <c r="D805" s="470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</row>
    <row r="806" spans="1:21" ht="19.5" customHeight="1" x14ac:dyDescent="0.25">
      <c r="A806" s="38"/>
      <c r="B806" s="38"/>
      <c r="C806" s="470"/>
      <c r="D806" s="470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</row>
    <row r="807" spans="1:21" ht="19.5" customHeight="1" x14ac:dyDescent="0.25">
      <c r="A807" s="38"/>
      <c r="B807" s="38"/>
      <c r="C807" s="470"/>
      <c r="D807" s="470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</row>
    <row r="808" spans="1:21" ht="19.5" customHeight="1" x14ac:dyDescent="0.25">
      <c r="A808" s="38"/>
      <c r="B808" s="38"/>
      <c r="C808" s="470"/>
      <c r="D808" s="470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</row>
    <row r="809" spans="1:21" ht="19.5" customHeight="1" x14ac:dyDescent="0.25">
      <c r="A809" s="38"/>
      <c r="B809" s="38"/>
      <c r="C809" s="470"/>
      <c r="D809" s="470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</row>
    <row r="810" spans="1:21" ht="19.5" customHeight="1" x14ac:dyDescent="0.25">
      <c r="A810" s="38"/>
      <c r="B810" s="38"/>
      <c r="C810" s="470"/>
      <c r="D810" s="470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</row>
    <row r="811" spans="1:21" ht="19.5" customHeight="1" x14ac:dyDescent="0.25">
      <c r="A811" s="38"/>
      <c r="B811" s="38"/>
      <c r="C811" s="470"/>
      <c r="D811" s="470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</row>
    <row r="812" spans="1:21" ht="19.5" customHeight="1" x14ac:dyDescent="0.25">
      <c r="A812" s="38"/>
      <c r="B812" s="38"/>
      <c r="C812" s="470"/>
      <c r="D812" s="470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</row>
    <row r="813" spans="1:21" ht="19.5" customHeight="1" x14ac:dyDescent="0.25">
      <c r="A813" s="38"/>
      <c r="B813" s="38"/>
      <c r="C813" s="470"/>
      <c r="D813" s="470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</row>
    <row r="814" spans="1:21" ht="19.5" customHeight="1" x14ac:dyDescent="0.25">
      <c r="A814" s="38"/>
      <c r="B814" s="38"/>
      <c r="C814" s="470"/>
      <c r="D814" s="470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</row>
    <row r="815" spans="1:21" ht="19.5" customHeight="1" x14ac:dyDescent="0.25">
      <c r="A815" s="38"/>
      <c r="B815" s="38"/>
      <c r="C815" s="470"/>
      <c r="D815" s="470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</row>
    <row r="816" spans="1:21" ht="19.5" customHeight="1" x14ac:dyDescent="0.25">
      <c r="A816" s="38"/>
      <c r="B816" s="38"/>
      <c r="C816" s="470"/>
      <c r="D816" s="470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</row>
    <row r="817" spans="1:21" ht="19.5" customHeight="1" x14ac:dyDescent="0.25">
      <c r="A817" s="38"/>
      <c r="B817" s="38"/>
      <c r="C817" s="470"/>
      <c r="D817" s="470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</row>
    <row r="818" spans="1:21" ht="19.5" customHeight="1" x14ac:dyDescent="0.25">
      <c r="A818" s="38"/>
      <c r="B818" s="38"/>
      <c r="C818" s="470"/>
      <c r="D818" s="470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</row>
    <row r="819" spans="1:21" ht="19.5" customHeight="1" x14ac:dyDescent="0.25">
      <c r="A819" s="38"/>
      <c r="B819" s="38"/>
      <c r="C819" s="470"/>
      <c r="D819" s="470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</row>
    <row r="820" spans="1:21" ht="19.5" customHeight="1" x14ac:dyDescent="0.25">
      <c r="A820" s="38"/>
      <c r="B820" s="38"/>
      <c r="C820" s="470"/>
      <c r="D820" s="470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</row>
    <row r="821" spans="1:21" ht="19.5" customHeight="1" x14ac:dyDescent="0.25">
      <c r="A821" s="38"/>
      <c r="B821" s="38"/>
      <c r="C821" s="470"/>
      <c r="D821" s="470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</row>
    <row r="822" spans="1:21" ht="19.5" customHeight="1" x14ac:dyDescent="0.25">
      <c r="A822" s="38"/>
      <c r="B822" s="38"/>
      <c r="C822" s="470"/>
      <c r="D822" s="470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</row>
    <row r="823" spans="1:21" ht="19.5" customHeight="1" x14ac:dyDescent="0.25">
      <c r="A823" s="38"/>
      <c r="B823" s="38"/>
      <c r="C823" s="470"/>
      <c r="D823" s="470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</row>
    <row r="824" spans="1:21" ht="19.5" customHeight="1" x14ac:dyDescent="0.25">
      <c r="A824" s="38"/>
      <c r="B824" s="38"/>
      <c r="C824" s="470"/>
      <c r="D824" s="470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</row>
    <row r="825" spans="1:21" ht="19.5" customHeight="1" x14ac:dyDescent="0.25">
      <c r="A825" s="38"/>
      <c r="B825" s="38"/>
      <c r="C825" s="470"/>
      <c r="D825" s="470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</row>
    <row r="826" spans="1:21" ht="19.5" customHeight="1" x14ac:dyDescent="0.25">
      <c r="A826" s="38"/>
      <c r="B826" s="38"/>
      <c r="C826" s="470"/>
      <c r="D826" s="470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</row>
    <row r="827" spans="1:21" ht="19.5" customHeight="1" x14ac:dyDescent="0.25">
      <c r="A827" s="38"/>
      <c r="B827" s="38"/>
      <c r="C827" s="470"/>
      <c r="D827" s="470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</row>
    <row r="828" spans="1:21" ht="19.5" customHeight="1" x14ac:dyDescent="0.25">
      <c r="A828" s="38"/>
      <c r="B828" s="38"/>
      <c r="C828" s="470"/>
      <c r="D828" s="470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</row>
    <row r="829" spans="1:21" ht="19.5" customHeight="1" x14ac:dyDescent="0.25">
      <c r="A829" s="38"/>
      <c r="B829" s="38"/>
      <c r="C829" s="470"/>
      <c r="D829" s="470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</row>
    <row r="830" spans="1:21" ht="19.5" customHeight="1" x14ac:dyDescent="0.25">
      <c r="A830" s="38"/>
      <c r="B830" s="38"/>
      <c r="C830" s="470"/>
      <c r="D830" s="470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</row>
    <row r="831" spans="1:21" ht="19.5" customHeight="1" x14ac:dyDescent="0.25">
      <c r="A831" s="38"/>
      <c r="B831" s="38"/>
      <c r="C831" s="470"/>
      <c r="D831" s="470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</row>
    <row r="832" spans="1:21" ht="19.5" customHeight="1" x14ac:dyDescent="0.25">
      <c r="A832" s="38"/>
      <c r="B832" s="38"/>
      <c r="C832" s="470"/>
      <c r="D832" s="470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</row>
    <row r="833" spans="1:21" ht="19.5" customHeight="1" x14ac:dyDescent="0.25">
      <c r="A833" s="38"/>
      <c r="B833" s="38"/>
      <c r="C833" s="470"/>
      <c r="D833" s="470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</row>
    <row r="834" spans="1:21" ht="19.5" customHeight="1" x14ac:dyDescent="0.25">
      <c r="A834" s="38"/>
      <c r="B834" s="38"/>
      <c r="C834" s="470"/>
      <c r="D834" s="470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</row>
    <row r="835" spans="1:21" ht="19.5" customHeight="1" x14ac:dyDescent="0.25">
      <c r="A835" s="38"/>
      <c r="B835" s="38"/>
      <c r="C835" s="470"/>
      <c r="D835" s="470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</row>
    <row r="836" spans="1:21" ht="19.5" customHeight="1" x14ac:dyDescent="0.25">
      <c r="A836" s="38"/>
      <c r="B836" s="38"/>
      <c r="C836" s="470"/>
      <c r="D836" s="470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</row>
    <row r="837" spans="1:21" ht="19.5" customHeight="1" x14ac:dyDescent="0.25">
      <c r="A837" s="38"/>
      <c r="B837" s="38"/>
      <c r="C837" s="470"/>
      <c r="D837" s="470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</row>
    <row r="838" spans="1:21" ht="19.5" customHeight="1" x14ac:dyDescent="0.25">
      <c r="A838" s="38"/>
      <c r="B838" s="38"/>
      <c r="C838" s="470"/>
      <c r="D838" s="470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</row>
    <row r="839" spans="1:21" ht="19.5" customHeight="1" x14ac:dyDescent="0.25">
      <c r="A839" s="38"/>
      <c r="B839" s="38"/>
      <c r="C839" s="470"/>
      <c r="D839" s="470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</row>
    <row r="840" spans="1:21" ht="19.5" customHeight="1" x14ac:dyDescent="0.25">
      <c r="A840" s="38"/>
      <c r="B840" s="38"/>
      <c r="C840" s="470"/>
      <c r="D840" s="470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</row>
    <row r="841" spans="1:21" ht="19.5" customHeight="1" x14ac:dyDescent="0.25">
      <c r="A841" s="38"/>
      <c r="B841" s="38"/>
      <c r="C841" s="470"/>
      <c r="D841" s="470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</row>
    <row r="842" spans="1:21" ht="19.5" customHeight="1" x14ac:dyDescent="0.25">
      <c r="A842" s="38"/>
      <c r="B842" s="38"/>
      <c r="C842" s="470"/>
      <c r="D842" s="470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</row>
    <row r="843" spans="1:21" ht="19.5" customHeight="1" x14ac:dyDescent="0.25">
      <c r="A843" s="38"/>
      <c r="B843" s="38"/>
      <c r="C843" s="470"/>
      <c r="D843" s="470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</row>
    <row r="844" spans="1:21" ht="19.5" customHeight="1" x14ac:dyDescent="0.25">
      <c r="A844" s="38"/>
      <c r="B844" s="38"/>
      <c r="C844" s="470"/>
      <c r="D844" s="470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</row>
    <row r="845" spans="1:21" ht="19.5" customHeight="1" x14ac:dyDescent="0.25">
      <c r="A845" s="38"/>
      <c r="B845" s="38"/>
      <c r="C845" s="470"/>
      <c r="D845" s="470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</row>
    <row r="846" spans="1:21" ht="19.5" customHeight="1" x14ac:dyDescent="0.25">
      <c r="A846" s="38"/>
      <c r="B846" s="38"/>
      <c r="C846" s="470"/>
      <c r="D846" s="470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</row>
    <row r="847" spans="1:21" ht="19.5" customHeight="1" x14ac:dyDescent="0.25">
      <c r="A847" s="38"/>
      <c r="B847" s="38"/>
      <c r="C847" s="470"/>
      <c r="D847" s="470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</row>
    <row r="848" spans="1:21" ht="19.5" customHeight="1" x14ac:dyDescent="0.25">
      <c r="A848" s="38"/>
      <c r="B848" s="38"/>
      <c r="C848" s="470"/>
      <c r="D848" s="470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</row>
    <row r="849" spans="1:21" ht="19.5" customHeight="1" x14ac:dyDescent="0.25">
      <c r="A849" s="38"/>
      <c r="B849" s="38"/>
      <c r="C849" s="470"/>
      <c r="D849" s="470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</row>
    <row r="850" spans="1:21" ht="19.5" customHeight="1" x14ac:dyDescent="0.25">
      <c r="A850" s="38"/>
      <c r="B850" s="38"/>
      <c r="C850" s="470"/>
      <c r="D850" s="470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</row>
    <row r="851" spans="1:21" ht="19.5" customHeight="1" x14ac:dyDescent="0.25">
      <c r="A851" s="38"/>
      <c r="B851" s="38"/>
      <c r="C851" s="470"/>
      <c r="D851" s="470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</row>
    <row r="852" spans="1:21" ht="19.5" customHeight="1" x14ac:dyDescent="0.25">
      <c r="A852" s="38"/>
      <c r="B852" s="38"/>
      <c r="C852" s="470"/>
      <c r="D852" s="470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</row>
    <row r="853" spans="1:21" ht="19.5" customHeight="1" x14ac:dyDescent="0.25">
      <c r="A853" s="38"/>
      <c r="B853" s="38"/>
      <c r="C853" s="470"/>
      <c r="D853" s="470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</row>
    <row r="854" spans="1:21" ht="19.5" customHeight="1" x14ac:dyDescent="0.25">
      <c r="A854" s="38"/>
      <c r="B854" s="38"/>
      <c r="C854" s="470"/>
      <c r="D854" s="470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</row>
    <row r="855" spans="1:21" ht="19.5" customHeight="1" x14ac:dyDescent="0.25">
      <c r="A855" s="38"/>
      <c r="B855" s="38"/>
      <c r="C855" s="470"/>
      <c r="D855" s="470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</row>
    <row r="856" spans="1:21" ht="19.5" customHeight="1" x14ac:dyDescent="0.25">
      <c r="A856" s="38"/>
      <c r="B856" s="38"/>
      <c r="C856" s="470"/>
      <c r="D856" s="470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</row>
    <row r="857" spans="1:21" ht="19.5" customHeight="1" x14ac:dyDescent="0.25">
      <c r="A857" s="38"/>
      <c r="B857" s="38"/>
      <c r="C857" s="470"/>
      <c r="D857" s="470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</row>
    <row r="858" spans="1:21" ht="19.5" customHeight="1" x14ac:dyDescent="0.25">
      <c r="A858" s="38"/>
      <c r="B858" s="38"/>
      <c r="C858" s="470"/>
      <c r="D858" s="470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</row>
    <row r="859" spans="1:21" ht="19.5" customHeight="1" x14ac:dyDescent="0.25">
      <c r="A859" s="38"/>
      <c r="B859" s="38"/>
      <c r="C859" s="470"/>
      <c r="D859" s="470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</row>
    <row r="860" spans="1:21" ht="19.5" customHeight="1" x14ac:dyDescent="0.25">
      <c r="A860" s="38"/>
      <c r="B860" s="38"/>
      <c r="C860" s="470"/>
      <c r="D860" s="470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</row>
    <row r="861" spans="1:21" ht="19.5" customHeight="1" x14ac:dyDescent="0.25">
      <c r="A861" s="38"/>
      <c r="B861" s="38"/>
      <c r="C861" s="470"/>
      <c r="D861" s="470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</row>
    <row r="862" spans="1:21" ht="19.5" customHeight="1" x14ac:dyDescent="0.25">
      <c r="A862" s="38"/>
      <c r="B862" s="38"/>
      <c r="C862" s="470"/>
      <c r="D862" s="470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</row>
    <row r="863" spans="1:21" ht="19.5" customHeight="1" x14ac:dyDescent="0.25">
      <c r="A863" s="38"/>
      <c r="B863" s="38"/>
      <c r="C863" s="470"/>
      <c r="D863" s="470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</row>
    <row r="864" spans="1:21" ht="19.5" customHeight="1" x14ac:dyDescent="0.25">
      <c r="A864" s="38"/>
      <c r="B864" s="38"/>
      <c r="C864" s="470"/>
      <c r="D864" s="470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</row>
    <row r="865" spans="1:21" ht="19.5" customHeight="1" x14ac:dyDescent="0.25">
      <c r="A865" s="38"/>
      <c r="B865" s="38"/>
      <c r="C865" s="470"/>
      <c r="D865" s="470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</row>
    <row r="866" spans="1:21" ht="19.5" customHeight="1" x14ac:dyDescent="0.25">
      <c r="A866" s="38"/>
      <c r="B866" s="38"/>
      <c r="C866" s="470"/>
      <c r="D866" s="470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</row>
    <row r="867" spans="1:21" ht="19.5" customHeight="1" x14ac:dyDescent="0.25">
      <c r="A867" s="38"/>
      <c r="B867" s="38"/>
      <c r="C867" s="470"/>
      <c r="D867" s="470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</row>
    <row r="868" spans="1:21" ht="19.5" customHeight="1" x14ac:dyDescent="0.25">
      <c r="A868" s="38"/>
      <c r="B868" s="38"/>
      <c r="C868" s="470"/>
      <c r="D868" s="470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</row>
    <row r="869" spans="1:21" ht="19.5" customHeight="1" x14ac:dyDescent="0.25">
      <c r="A869" s="38"/>
      <c r="B869" s="38"/>
      <c r="C869" s="470"/>
      <c r="D869" s="470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</row>
    <row r="870" spans="1:21" ht="19.5" customHeight="1" x14ac:dyDescent="0.25">
      <c r="A870" s="38"/>
      <c r="B870" s="38"/>
      <c r="C870" s="470"/>
      <c r="D870" s="470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</row>
    <row r="871" spans="1:21" ht="19.5" customHeight="1" x14ac:dyDescent="0.25">
      <c r="A871" s="38"/>
      <c r="B871" s="38"/>
      <c r="C871" s="470"/>
      <c r="D871" s="470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</row>
    <row r="872" spans="1:21" ht="19.5" customHeight="1" x14ac:dyDescent="0.25">
      <c r="A872" s="38"/>
      <c r="B872" s="38"/>
      <c r="C872" s="470"/>
      <c r="D872" s="470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</row>
    <row r="873" spans="1:21" ht="19.5" customHeight="1" x14ac:dyDescent="0.25">
      <c r="A873" s="38"/>
      <c r="B873" s="38"/>
      <c r="C873" s="470"/>
      <c r="D873" s="470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</row>
    <row r="874" spans="1:21" ht="19.5" customHeight="1" x14ac:dyDescent="0.25">
      <c r="A874" s="38"/>
      <c r="B874" s="38"/>
      <c r="C874" s="470"/>
      <c r="D874" s="470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</row>
    <row r="875" spans="1:21" ht="19.5" customHeight="1" x14ac:dyDescent="0.25">
      <c r="A875" s="38"/>
      <c r="B875" s="38"/>
      <c r="C875" s="470"/>
      <c r="D875" s="470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</row>
    <row r="876" spans="1:21" ht="19.5" customHeight="1" x14ac:dyDescent="0.25">
      <c r="A876" s="38"/>
      <c r="B876" s="38"/>
      <c r="C876" s="470"/>
      <c r="D876" s="470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</row>
    <row r="877" spans="1:21" ht="19.5" customHeight="1" x14ac:dyDescent="0.25">
      <c r="A877" s="38"/>
      <c r="B877" s="38"/>
      <c r="C877" s="470"/>
      <c r="D877" s="470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</row>
    <row r="878" spans="1:21" ht="19.5" customHeight="1" x14ac:dyDescent="0.25">
      <c r="A878" s="38"/>
      <c r="B878" s="38"/>
      <c r="C878" s="470"/>
      <c r="D878" s="470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</row>
    <row r="879" spans="1:21" ht="19.5" customHeight="1" x14ac:dyDescent="0.25">
      <c r="A879" s="38"/>
      <c r="B879" s="38"/>
      <c r="C879" s="470"/>
      <c r="D879" s="470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</row>
    <row r="880" spans="1:21" ht="19.5" customHeight="1" x14ac:dyDescent="0.25">
      <c r="A880" s="38"/>
      <c r="B880" s="38"/>
      <c r="C880" s="470"/>
      <c r="D880" s="470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</row>
    <row r="881" spans="1:21" ht="19.5" customHeight="1" x14ac:dyDescent="0.25">
      <c r="A881" s="38"/>
      <c r="B881" s="38"/>
      <c r="C881" s="470"/>
      <c r="D881" s="470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</row>
    <row r="882" spans="1:21" ht="19.5" customHeight="1" x14ac:dyDescent="0.25">
      <c r="A882" s="38"/>
      <c r="B882" s="38"/>
      <c r="C882" s="470"/>
      <c r="D882" s="470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</row>
    <row r="883" spans="1:21" ht="19.5" customHeight="1" x14ac:dyDescent="0.25">
      <c r="A883" s="38"/>
      <c r="B883" s="38"/>
      <c r="C883" s="470"/>
      <c r="D883" s="470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</row>
    <row r="884" spans="1:21" ht="19.5" customHeight="1" x14ac:dyDescent="0.25">
      <c r="A884" s="38"/>
      <c r="B884" s="38"/>
      <c r="C884" s="470"/>
      <c r="D884" s="470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</row>
    <row r="885" spans="1:21" ht="19.5" customHeight="1" x14ac:dyDescent="0.25">
      <c r="A885" s="38"/>
      <c r="B885" s="38"/>
      <c r="C885" s="470"/>
      <c r="D885" s="470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</row>
    <row r="886" spans="1:21" ht="19.5" customHeight="1" x14ac:dyDescent="0.25">
      <c r="A886" s="38"/>
      <c r="B886" s="38"/>
      <c r="C886" s="470"/>
      <c r="D886" s="470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</row>
    <row r="887" spans="1:21" ht="19.5" customHeight="1" x14ac:dyDescent="0.25">
      <c r="A887" s="38"/>
      <c r="B887" s="38"/>
      <c r="C887" s="470"/>
      <c r="D887" s="470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</row>
    <row r="888" spans="1:21" ht="19.5" customHeight="1" x14ac:dyDescent="0.25">
      <c r="A888" s="38"/>
      <c r="B888" s="38"/>
      <c r="C888" s="470"/>
      <c r="D888" s="470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</row>
    <row r="889" spans="1:21" ht="19.5" customHeight="1" x14ac:dyDescent="0.25">
      <c r="A889" s="38"/>
      <c r="B889" s="38"/>
      <c r="C889" s="470"/>
      <c r="D889" s="470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</row>
    <row r="890" spans="1:21" ht="19.5" customHeight="1" x14ac:dyDescent="0.25">
      <c r="A890" s="38"/>
      <c r="B890" s="38"/>
      <c r="C890" s="470"/>
      <c r="D890" s="470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</row>
    <row r="891" spans="1:21" ht="19.5" customHeight="1" x14ac:dyDescent="0.25">
      <c r="A891" s="38"/>
      <c r="B891" s="38"/>
      <c r="C891" s="470"/>
      <c r="D891" s="470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</row>
    <row r="892" spans="1:21" ht="19.5" customHeight="1" x14ac:dyDescent="0.25">
      <c r="A892" s="38"/>
      <c r="B892" s="38"/>
      <c r="C892" s="470"/>
      <c r="D892" s="470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</row>
    <row r="893" spans="1:21" ht="19.5" customHeight="1" x14ac:dyDescent="0.25">
      <c r="A893" s="38"/>
      <c r="B893" s="38"/>
      <c r="C893" s="470"/>
      <c r="D893" s="470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</row>
    <row r="894" spans="1:21" ht="19.5" customHeight="1" x14ac:dyDescent="0.25">
      <c r="A894" s="38"/>
      <c r="B894" s="38"/>
      <c r="C894" s="470"/>
      <c r="D894" s="470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</row>
    <row r="895" spans="1:21" ht="19.5" customHeight="1" x14ac:dyDescent="0.25">
      <c r="A895" s="38"/>
      <c r="B895" s="38"/>
      <c r="C895" s="470"/>
      <c r="D895" s="470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</row>
    <row r="896" spans="1:21" ht="19.5" customHeight="1" x14ac:dyDescent="0.25">
      <c r="A896" s="38"/>
      <c r="B896" s="38"/>
      <c r="C896" s="470"/>
      <c r="D896" s="470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</row>
    <row r="897" spans="1:21" ht="19.5" customHeight="1" x14ac:dyDescent="0.25">
      <c r="A897" s="38"/>
      <c r="B897" s="38"/>
      <c r="C897" s="470"/>
      <c r="D897" s="470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</row>
    <row r="898" spans="1:21" ht="19.5" customHeight="1" x14ac:dyDescent="0.25">
      <c r="A898" s="38"/>
      <c r="B898" s="38"/>
      <c r="C898" s="470"/>
      <c r="D898" s="470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</row>
    <row r="899" spans="1:21" ht="19.5" customHeight="1" x14ac:dyDescent="0.25">
      <c r="A899" s="38"/>
      <c r="B899" s="38"/>
      <c r="C899" s="470"/>
      <c r="D899" s="470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</row>
    <row r="900" spans="1:21" ht="19.5" customHeight="1" x14ac:dyDescent="0.25">
      <c r="A900" s="38"/>
      <c r="B900" s="38"/>
      <c r="C900" s="470"/>
      <c r="D900" s="470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</row>
    <row r="901" spans="1:21" ht="19.5" customHeight="1" x14ac:dyDescent="0.25">
      <c r="A901" s="38"/>
      <c r="B901" s="38"/>
      <c r="C901" s="470"/>
      <c r="D901" s="470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</row>
    <row r="902" spans="1:21" ht="19.5" customHeight="1" x14ac:dyDescent="0.25">
      <c r="A902" s="38"/>
      <c r="B902" s="38"/>
      <c r="C902" s="470"/>
      <c r="D902" s="470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</row>
    <row r="903" spans="1:21" ht="19.5" customHeight="1" x14ac:dyDescent="0.25">
      <c r="A903" s="38"/>
      <c r="B903" s="38"/>
      <c r="C903" s="470"/>
      <c r="D903" s="470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</row>
    <row r="904" spans="1:21" ht="19.5" customHeight="1" x14ac:dyDescent="0.25">
      <c r="A904" s="38"/>
      <c r="B904" s="38"/>
      <c r="C904" s="470"/>
      <c r="D904" s="470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</row>
    <row r="905" spans="1:21" ht="19.5" customHeight="1" x14ac:dyDescent="0.25">
      <c r="A905" s="38"/>
      <c r="B905" s="38"/>
      <c r="C905" s="470"/>
      <c r="D905" s="470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</row>
    <row r="906" spans="1:21" ht="19.5" customHeight="1" x14ac:dyDescent="0.25">
      <c r="A906" s="38"/>
      <c r="B906" s="38"/>
      <c r="C906" s="470"/>
      <c r="D906" s="470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</row>
    <row r="907" spans="1:21" ht="19.5" customHeight="1" x14ac:dyDescent="0.25">
      <c r="A907" s="38"/>
      <c r="B907" s="38"/>
      <c r="C907" s="470"/>
      <c r="D907" s="470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</row>
    <row r="908" spans="1:21" ht="19.5" customHeight="1" x14ac:dyDescent="0.25">
      <c r="A908" s="38"/>
      <c r="B908" s="38"/>
      <c r="C908" s="470"/>
      <c r="D908" s="470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</row>
    <row r="909" spans="1:21" ht="19.5" customHeight="1" x14ac:dyDescent="0.25">
      <c r="A909" s="38"/>
      <c r="B909" s="38"/>
      <c r="C909" s="470"/>
      <c r="D909" s="470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</row>
    <row r="910" spans="1:21" ht="19.5" customHeight="1" x14ac:dyDescent="0.25">
      <c r="A910" s="38"/>
      <c r="B910" s="38"/>
      <c r="C910" s="470"/>
      <c r="D910" s="470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</row>
    <row r="911" spans="1:21" ht="19.5" customHeight="1" x14ac:dyDescent="0.25">
      <c r="A911" s="38"/>
      <c r="B911" s="38"/>
      <c r="C911" s="470"/>
      <c r="D911" s="470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</row>
    <row r="912" spans="1:21" ht="19.5" customHeight="1" x14ac:dyDescent="0.25">
      <c r="A912" s="38"/>
      <c r="B912" s="38"/>
      <c r="C912" s="470"/>
      <c r="D912" s="470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</row>
    <row r="913" spans="1:21" ht="19.5" customHeight="1" x14ac:dyDescent="0.25">
      <c r="A913" s="38"/>
      <c r="B913" s="38"/>
      <c r="C913" s="470"/>
      <c r="D913" s="470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</row>
    <row r="914" spans="1:21" ht="19.5" customHeight="1" x14ac:dyDescent="0.25">
      <c r="A914" s="38"/>
      <c r="B914" s="38"/>
      <c r="C914" s="470"/>
      <c r="D914" s="470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</row>
    <row r="915" spans="1:21" ht="19.5" customHeight="1" x14ac:dyDescent="0.25">
      <c r="A915" s="38"/>
      <c r="B915" s="38"/>
      <c r="C915" s="470"/>
      <c r="D915" s="470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</row>
    <row r="916" spans="1:21" ht="19.5" customHeight="1" x14ac:dyDescent="0.25">
      <c r="A916" s="38"/>
      <c r="B916" s="38"/>
      <c r="C916" s="470"/>
      <c r="D916" s="470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</row>
    <row r="917" spans="1:21" ht="19.5" customHeight="1" x14ac:dyDescent="0.25">
      <c r="A917" s="38"/>
      <c r="B917" s="38"/>
      <c r="C917" s="470"/>
      <c r="D917" s="470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</row>
    <row r="918" spans="1:21" ht="19.5" customHeight="1" x14ac:dyDescent="0.25">
      <c r="A918" s="38"/>
      <c r="B918" s="38"/>
      <c r="C918" s="470"/>
      <c r="D918" s="470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</row>
    <row r="919" spans="1:21" ht="19.5" customHeight="1" x14ac:dyDescent="0.25">
      <c r="A919" s="38"/>
      <c r="B919" s="38"/>
      <c r="C919" s="470"/>
      <c r="D919" s="470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</row>
    <row r="920" spans="1:21" ht="19.5" customHeight="1" x14ac:dyDescent="0.25">
      <c r="A920" s="38"/>
      <c r="B920" s="38"/>
      <c r="C920" s="470"/>
      <c r="D920" s="470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</row>
    <row r="921" spans="1:21" ht="19.5" customHeight="1" x14ac:dyDescent="0.25">
      <c r="A921" s="38"/>
      <c r="B921" s="38"/>
      <c r="C921" s="470"/>
      <c r="D921" s="470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</row>
    <row r="922" spans="1:21" ht="19.5" customHeight="1" x14ac:dyDescent="0.25">
      <c r="A922" s="38"/>
      <c r="B922" s="38"/>
      <c r="C922" s="470"/>
      <c r="D922" s="470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</row>
    <row r="923" spans="1:21" ht="19.5" customHeight="1" x14ac:dyDescent="0.25">
      <c r="A923" s="38"/>
      <c r="B923" s="38"/>
      <c r="C923" s="470"/>
      <c r="D923" s="470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</row>
    <row r="924" spans="1:21" ht="19.5" customHeight="1" x14ac:dyDescent="0.25">
      <c r="A924" s="38"/>
      <c r="B924" s="38"/>
      <c r="C924" s="470"/>
      <c r="D924" s="470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</row>
    <row r="925" spans="1:21" ht="19.5" customHeight="1" x14ac:dyDescent="0.25">
      <c r="A925" s="38"/>
      <c r="B925" s="38"/>
      <c r="C925" s="470"/>
      <c r="D925" s="470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</row>
    <row r="926" spans="1:21" ht="19.5" customHeight="1" x14ac:dyDescent="0.25">
      <c r="A926" s="38"/>
      <c r="B926" s="38"/>
      <c r="C926" s="470"/>
      <c r="D926" s="470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</row>
    <row r="927" spans="1:21" ht="19.5" customHeight="1" x14ac:dyDescent="0.25">
      <c r="A927" s="38"/>
      <c r="B927" s="38"/>
      <c r="C927" s="470"/>
      <c r="D927" s="470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</row>
    <row r="928" spans="1:21" ht="19.5" customHeight="1" x14ac:dyDescent="0.25">
      <c r="A928" s="38"/>
      <c r="B928" s="38"/>
      <c r="C928" s="470"/>
      <c r="D928" s="470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</row>
    <row r="929" spans="1:21" ht="19.5" customHeight="1" x14ac:dyDescent="0.25">
      <c r="A929" s="38"/>
      <c r="B929" s="38"/>
      <c r="C929" s="470"/>
      <c r="D929" s="470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</row>
    <row r="930" spans="1:21" ht="19.5" customHeight="1" x14ac:dyDescent="0.25">
      <c r="A930" s="38"/>
      <c r="B930" s="38"/>
      <c r="C930" s="470"/>
      <c r="D930" s="470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</row>
    <row r="931" spans="1:21" ht="19.5" customHeight="1" x14ac:dyDescent="0.25">
      <c r="A931" s="38"/>
      <c r="B931" s="38"/>
      <c r="C931" s="470"/>
      <c r="D931" s="470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</row>
    <row r="932" spans="1:21" ht="19.5" customHeight="1" x14ac:dyDescent="0.25">
      <c r="A932" s="38"/>
      <c r="B932" s="38"/>
      <c r="C932" s="470"/>
      <c r="D932" s="470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</row>
    <row r="933" spans="1:21" ht="19.5" customHeight="1" x14ac:dyDescent="0.25">
      <c r="A933" s="38"/>
      <c r="B933" s="38"/>
      <c r="C933" s="470"/>
      <c r="D933" s="470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</row>
    <row r="934" spans="1:21" ht="19.5" customHeight="1" x14ac:dyDescent="0.25">
      <c r="A934" s="38"/>
      <c r="B934" s="38"/>
      <c r="C934" s="470"/>
      <c r="D934" s="470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</row>
    <row r="935" spans="1:21" ht="19.5" customHeight="1" x14ac:dyDescent="0.25">
      <c r="A935" s="38"/>
      <c r="B935" s="38"/>
      <c r="C935" s="470"/>
      <c r="D935" s="470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</row>
    <row r="936" spans="1:21" ht="19.5" customHeight="1" x14ac:dyDescent="0.25">
      <c r="A936" s="38"/>
      <c r="B936" s="38"/>
      <c r="C936" s="470"/>
      <c r="D936" s="470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</row>
    <row r="937" spans="1:21" ht="19.5" customHeight="1" x14ac:dyDescent="0.25">
      <c r="A937" s="38"/>
      <c r="B937" s="38"/>
      <c r="C937" s="470"/>
      <c r="D937" s="470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</row>
    <row r="938" spans="1:21" ht="19.5" customHeight="1" x14ac:dyDescent="0.25">
      <c r="A938" s="38"/>
      <c r="B938" s="38"/>
      <c r="C938" s="470"/>
      <c r="D938" s="470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</row>
    <row r="939" spans="1:21" ht="19.5" customHeight="1" x14ac:dyDescent="0.25">
      <c r="A939" s="38"/>
      <c r="B939" s="38"/>
      <c r="C939" s="470"/>
      <c r="D939" s="470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</row>
    <row r="940" spans="1:21" ht="19.5" customHeight="1" x14ac:dyDescent="0.25">
      <c r="A940" s="38"/>
      <c r="B940" s="38"/>
      <c r="C940" s="470"/>
      <c r="D940" s="470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</row>
    <row r="941" spans="1:21" ht="19.5" customHeight="1" x14ac:dyDescent="0.25">
      <c r="A941" s="38"/>
      <c r="B941" s="38"/>
      <c r="C941" s="470"/>
      <c r="D941" s="470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</row>
    <row r="942" spans="1:21" ht="19.5" customHeight="1" x14ac:dyDescent="0.25">
      <c r="A942" s="38"/>
      <c r="B942" s="38"/>
      <c r="C942" s="470"/>
      <c r="D942" s="470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</row>
    <row r="943" spans="1:21" ht="19.5" customHeight="1" x14ac:dyDescent="0.25">
      <c r="A943" s="38"/>
      <c r="B943" s="38"/>
      <c r="C943" s="470"/>
      <c r="D943" s="470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</row>
    <row r="944" spans="1:21" ht="19.5" customHeight="1" x14ac:dyDescent="0.25">
      <c r="A944" s="38"/>
      <c r="B944" s="38"/>
      <c r="C944" s="470"/>
      <c r="D944" s="470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</row>
    <row r="945" spans="1:21" ht="19.5" customHeight="1" x14ac:dyDescent="0.25">
      <c r="A945" s="38"/>
      <c r="B945" s="38"/>
      <c r="C945" s="470"/>
      <c r="D945" s="470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</row>
    <row r="946" spans="1:21" ht="19.5" customHeight="1" x14ac:dyDescent="0.25">
      <c r="A946" s="38"/>
      <c r="B946" s="38"/>
      <c r="C946" s="470"/>
      <c r="D946" s="470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</row>
    <row r="947" spans="1:21" ht="19.5" customHeight="1" x14ac:dyDescent="0.25">
      <c r="A947" s="38"/>
      <c r="B947" s="38"/>
      <c r="C947" s="470"/>
      <c r="D947" s="470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</row>
    <row r="948" spans="1:21" ht="19.5" customHeight="1" x14ac:dyDescent="0.25">
      <c r="A948" s="38"/>
      <c r="B948" s="38"/>
      <c r="C948" s="470"/>
      <c r="D948" s="470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</row>
    <row r="949" spans="1:21" ht="19.5" customHeight="1" x14ac:dyDescent="0.25">
      <c r="A949" s="38"/>
      <c r="B949" s="38"/>
      <c r="C949" s="470"/>
      <c r="D949" s="470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</row>
    <row r="950" spans="1:21" ht="19.5" customHeight="1" x14ac:dyDescent="0.25">
      <c r="A950" s="38"/>
      <c r="B950" s="38"/>
      <c r="C950" s="470"/>
      <c r="D950" s="470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</row>
    <row r="951" spans="1:21" ht="19.5" customHeight="1" x14ac:dyDescent="0.25">
      <c r="A951" s="38"/>
      <c r="B951" s="38"/>
      <c r="C951" s="470"/>
      <c r="D951" s="470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</row>
    <row r="952" spans="1:21" ht="19.5" customHeight="1" x14ac:dyDescent="0.25">
      <c r="A952" s="38"/>
      <c r="B952" s="38"/>
      <c r="C952" s="470"/>
      <c r="D952" s="470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</row>
    <row r="953" spans="1:21" ht="19.5" customHeight="1" x14ac:dyDescent="0.25">
      <c r="A953" s="38"/>
      <c r="B953" s="38"/>
      <c r="C953" s="470"/>
      <c r="D953" s="470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</row>
    <row r="954" spans="1:21" ht="19.5" customHeight="1" x14ac:dyDescent="0.25">
      <c r="A954" s="38"/>
      <c r="B954" s="38"/>
      <c r="C954" s="470"/>
      <c r="D954" s="470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</row>
    <row r="955" spans="1:21" ht="19.5" customHeight="1" x14ac:dyDescent="0.25">
      <c r="A955" s="38"/>
      <c r="B955" s="38"/>
      <c r="C955" s="470"/>
      <c r="D955" s="470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</row>
    <row r="956" spans="1:21" ht="19.5" customHeight="1" x14ac:dyDescent="0.25">
      <c r="A956" s="38"/>
      <c r="B956" s="38"/>
      <c r="C956" s="470"/>
      <c r="D956" s="470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</row>
    <row r="957" spans="1:21" ht="19.5" customHeight="1" x14ac:dyDescent="0.25">
      <c r="A957" s="38"/>
      <c r="B957" s="38"/>
      <c r="C957" s="470"/>
      <c r="D957" s="470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</row>
    <row r="958" spans="1:21" ht="19.5" customHeight="1" x14ac:dyDescent="0.25">
      <c r="A958" s="38"/>
      <c r="B958" s="38"/>
      <c r="C958" s="470"/>
      <c r="D958" s="470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</row>
    <row r="959" spans="1:21" ht="19.5" customHeight="1" x14ac:dyDescent="0.25">
      <c r="A959" s="38"/>
      <c r="B959" s="38"/>
      <c r="C959" s="470"/>
      <c r="D959" s="470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</row>
    <row r="960" spans="1:21" ht="19.5" customHeight="1" x14ac:dyDescent="0.25">
      <c r="A960" s="38"/>
      <c r="B960" s="38"/>
      <c r="C960" s="470"/>
      <c r="D960" s="470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</row>
    <row r="961" spans="1:21" ht="19.5" customHeight="1" x14ac:dyDescent="0.25">
      <c r="A961" s="38"/>
      <c r="B961" s="38"/>
      <c r="C961" s="470"/>
      <c r="D961" s="470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</row>
    <row r="962" spans="1:21" ht="19.5" customHeight="1" x14ac:dyDescent="0.25">
      <c r="A962" s="38"/>
      <c r="B962" s="38"/>
      <c r="C962" s="470"/>
      <c r="D962" s="470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</row>
    <row r="963" spans="1:21" ht="19.5" customHeight="1" x14ac:dyDescent="0.25">
      <c r="A963" s="38"/>
      <c r="B963" s="38"/>
      <c r="C963" s="470"/>
      <c r="D963" s="470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</row>
    <row r="964" spans="1:21" ht="19.5" customHeight="1" x14ac:dyDescent="0.25">
      <c r="A964" s="38"/>
      <c r="B964" s="38"/>
      <c r="C964" s="470"/>
      <c r="D964" s="470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</row>
    <row r="965" spans="1:21" ht="19.5" customHeight="1" x14ac:dyDescent="0.25">
      <c r="A965" s="38"/>
      <c r="B965" s="38"/>
      <c r="C965" s="470"/>
      <c r="D965" s="470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</row>
    <row r="966" spans="1:21" ht="19.5" customHeight="1" x14ac:dyDescent="0.25">
      <c r="A966" s="38"/>
      <c r="B966" s="38"/>
      <c r="C966" s="470"/>
      <c r="D966" s="470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</row>
    <row r="967" spans="1:21" ht="19.5" customHeight="1" x14ac:dyDescent="0.25">
      <c r="A967" s="38"/>
      <c r="B967" s="38"/>
      <c r="C967" s="470"/>
      <c r="D967" s="470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</row>
    <row r="968" spans="1:21" ht="19.5" customHeight="1" x14ac:dyDescent="0.25">
      <c r="A968" s="38"/>
      <c r="B968" s="38"/>
      <c r="C968" s="470"/>
      <c r="D968" s="470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</row>
    <row r="969" spans="1:21" ht="19.5" customHeight="1" x14ac:dyDescent="0.25">
      <c r="A969" s="38"/>
      <c r="B969" s="38"/>
      <c r="C969" s="470"/>
      <c r="D969" s="470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</row>
    <row r="970" spans="1:21" ht="19.5" customHeight="1" x14ac:dyDescent="0.25">
      <c r="A970" s="38"/>
      <c r="B970" s="38"/>
      <c r="C970" s="470"/>
      <c r="D970" s="470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</row>
    <row r="971" spans="1:21" ht="19.5" customHeight="1" x14ac:dyDescent="0.25">
      <c r="A971" s="38"/>
      <c r="B971" s="38"/>
      <c r="C971" s="470"/>
      <c r="D971" s="470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</row>
    <row r="972" spans="1:21" ht="19.5" customHeight="1" x14ac:dyDescent="0.25">
      <c r="A972" s="38"/>
      <c r="B972" s="38"/>
      <c r="C972" s="470"/>
      <c r="D972" s="470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</row>
    <row r="973" spans="1:21" ht="19.5" customHeight="1" x14ac:dyDescent="0.25">
      <c r="A973" s="38"/>
      <c r="B973" s="38"/>
      <c r="C973" s="470"/>
      <c r="D973" s="470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</row>
    <row r="974" spans="1:21" ht="19.5" customHeight="1" x14ac:dyDescent="0.25">
      <c r="A974" s="38"/>
      <c r="B974" s="38"/>
      <c r="C974" s="470"/>
      <c r="D974" s="470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</row>
    <row r="975" spans="1:21" ht="19.5" customHeight="1" x14ac:dyDescent="0.25">
      <c r="A975" s="38"/>
      <c r="B975" s="38"/>
      <c r="C975" s="470"/>
      <c r="D975" s="470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</row>
    <row r="976" spans="1:21" ht="19.5" customHeight="1" x14ac:dyDescent="0.25">
      <c r="A976" s="38"/>
      <c r="B976" s="38"/>
      <c r="C976" s="470"/>
      <c r="D976" s="470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</row>
    <row r="977" spans="1:21" ht="19.5" customHeight="1" x14ac:dyDescent="0.25">
      <c r="A977" s="38"/>
      <c r="B977" s="38"/>
      <c r="C977" s="470"/>
      <c r="D977" s="470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</row>
    <row r="978" spans="1:21" ht="19.5" customHeight="1" x14ac:dyDescent="0.25">
      <c r="A978" s="38"/>
      <c r="B978" s="38"/>
      <c r="C978" s="470"/>
      <c r="D978" s="470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</row>
    <row r="979" spans="1:21" ht="19.5" customHeight="1" x14ac:dyDescent="0.25">
      <c r="A979" s="38"/>
      <c r="B979" s="38"/>
      <c r="C979" s="470"/>
      <c r="D979" s="470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</row>
    <row r="980" spans="1:21" ht="19.5" customHeight="1" x14ac:dyDescent="0.25">
      <c r="A980" s="38"/>
      <c r="B980" s="38"/>
      <c r="C980" s="470"/>
      <c r="D980" s="470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</row>
    <row r="981" spans="1:21" ht="19.5" customHeight="1" x14ac:dyDescent="0.25">
      <c r="A981" s="38"/>
      <c r="B981" s="38"/>
      <c r="C981" s="470"/>
      <c r="D981" s="470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</row>
    <row r="982" spans="1:21" ht="19.5" customHeight="1" x14ac:dyDescent="0.25">
      <c r="A982" s="38"/>
      <c r="B982" s="38"/>
      <c r="C982" s="470"/>
      <c r="D982" s="470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</row>
    <row r="983" spans="1:21" ht="19.5" customHeight="1" x14ac:dyDescent="0.25">
      <c r="A983" s="38"/>
      <c r="B983" s="38"/>
      <c r="C983" s="470"/>
      <c r="D983" s="470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</row>
    <row r="984" spans="1:21" ht="19.5" customHeight="1" x14ac:dyDescent="0.25">
      <c r="A984" s="38"/>
      <c r="B984" s="38"/>
      <c r="C984" s="470"/>
      <c r="D984" s="470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</row>
    <row r="985" spans="1:21" ht="19.5" customHeight="1" x14ac:dyDescent="0.25">
      <c r="A985" s="38"/>
      <c r="B985" s="38"/>
      <c r="C985" s="470"/>
      <c r="D985" s="470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</row>
    <row r="986" spans="1:21" ht="19.5" customHeight="1" x14ac:dyDescent="0.25">
      <c r="A986" s="38"/>
      <c r="B986" s="38"/>
      <c r="C986" s="470"/>
      <c r="D986" s="470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</row>
    <row r="987" spans="1:21" ht="19.5" customHeight="1" x14ac:dyDescent="0.25">
      <c r="A987" s="38"/>
      <c r="B987" s="38"/>
      <c r="C987" s="470"/>
      <c r="D987" s="470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</row>
    <row r="988" spans="1:21" ht="19.5" customHeight="1" x14ac:dyDescent="0.25">
      <c r="A988" s="38"/>
      <c r="B988" s="38"/>
      <c r="C988" s="470"/>
      <c r="D988" s="470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</row>
    <row r="989" spans="1:21" ht="19.5" customHeight="1" x14ac:dyDescent="0.25">
      <c r="A989" s="38"/>
      <c r="B989" s="38"/>
      <c r="C989" s="470"/>
      <c r="D989" s="470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</row>
    <row r="990" spans="1:21" ht="19.5" customHeight="1" x14ac:dyDescent="0.25">
      <c r="A990" s="38"/>
      <c r="B990" s="38"/>
      <c r="C990" s="470"/>
      <c r="D990" s="470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</row>
    <row r="991" spans="1:21" ht="19.5" customHeight="1" x14ac:dyDescent="0.25">
      <c r="A991" s="38"/>
      <c r="B991" s="38"/>
      <c r="C991" s="470"/>
      <c r="D991" s="470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</row>
    <row r="992" spans="1:21" ht="19.5" customHeight="1" x14ac:dyDescent="0.25">
      <c r="A992" s="38"/>
      <c r="B992" s="38"/>
      <c r="C992" s="470"/>
      <c r="D992" s="470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</row>
    <row r="993" spans="1:21" ht="19.5" customHeight="1" x14ac:dyDescent="0.25">
      <c r="A993" s="38"/>
      <c r="B993" s="38"/>
      <c r="C993" s="470"/>
      <c r="D993" s="470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</row>
    <row r="994" spans="1:21" ht="19.5" customHeight="1" x14ac:dyDescent="0.25">
      <c r="A994" s="38"/>
      <c r="B994" s="38"/>
      <c r="C994" s="470"/>
      <c r="D994" s="470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</row>
    <row r="995" spans="1:21" ht="19.5" customHeight="1" x14ac:dyDescent="0.25">
      <c r="A995" s="38"/>
      <c r="B995" s="38"/>
      <c r="C995" s="470"/>
      <c r="D995" s="470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</row>
    <row r="996" spans="1:21" ht="19.5" customHeight="1" x14ac:dyDescent="0.25">
      <c r="A996" s="38"/>
      <c r="B996" s="38"/>
      <c r="C996" s="470"/>
      <c r="D996" s="470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</row>
    <row r="997" spans="1:21" ht="19.5" customHeight="1" x14ac:dyDescent="0.25">
      <c r="A997" s="38"/>
      <c r="B997" s="38"/>
      <c r="C997" s="470"/>
      <c r="D997" s="470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</row>
    <row r="998" spans="1:21" ht="19.5" customHeight="1" x14ac:dyDescent="0.25">
      <c r="A998" s="38"/>
      <c r="B998" s="38"/>
      <c r="C998" s="470"/>
      <c r="D998" s="470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</row>
    <row r="999" spans="1:21" ht="19.5" customHeight="1" x14ac:dyDescent="0.25">
      <c r="A999" s="38"/>
      <c r="B999" s="38"/>
      <c r="C999" s="470"/>
      <c r="D999" s="470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</row>
    <row r="1000" spans="1:21" ht="19.5" customHeight="1" x14ac:dyDescent="0.25">
      <c r="A1000" s="38"/>
      <c r="B1000" s="38"/>
      <c r="C1000" s="470"/>
      <c r="D1000" s="470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</row>
    <row r="1001" spans="1:21" ht="19.5" customHeight="1" x14ac:dyDescent="0.25">
      <c r="A1001" s="38"/>
      <c r="B1001" s="38"/>
      <c r="C1001" s="470"/>
      <c r="D1001" s="470"/>
      <c r="I1001" s="38"/>
      <c r="J1001" s="38"/>
      <c r="K1001" s="38"/>
      <c r="L1001" s="38"/>
      <c r="M1001" s="38"/>
      <c r="N1001" s="38"/>
      <c r="O1001" s="38"/>
      <c r="P1001" s="38"/>
      <c r="Q1001" s="38"/>
      <c r="R1001" s="38"/>
      <c r="S1001" s="38"/>
      <c r="T1001" s="38"/>
      <c r="U1001" s="38"/>
    </row>
  </sheetData>
  <mergeCells count="2">
    <mergeCell ref="A1:D1"/>
    <mergeCell ref="J1:L1"/>
  </mergeCells>
  <conditionalFormatting sqref="N3:P21">
    <cfRule type="cellIs" dxfId="1" priority="1" operator="lessThan">
      <formula>0</formula>
    </cfRule>
    <cfRule type="cellIs" dxfId="0" priority="2" operator="greaterThan">
      <formula>0</formula>
    </cfRule>
  </conditionalFormatting>
  <pageMargins left="0.511811024" right="0.511811024" top="0.78740157499999996" bottom="0.78740157499999996" header="0" footer="0"/>
  <pageSetup paperSize="9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5A980-0F81-4770-AB2D-9042C8842048}">
  <dimension ref="A1:Q1000"/>
  <sheetViews>
    <sheetView showGridLines="0" zoomScale="70" zoomScaleNormal="70" workbookViewId="0">
      <selection activeCell="G2" sqref="G2"/>
    </sheetView>
  </sheetViews>
  <sheetFormatPr defaultColWidth="14.42578125" defaultRowHeight="15" customHeight="1" x14ac:dyDescent="0.25"/>
  <cols>
    <col min="1" max="1" width="64.42578125" customWidth="1"/>
    <col min="2" max="2" width="21.7109375" customWidth="1"/>
    <col min="3" max="3" width="14.28515625" style="482" customWidth="1"/>
    <col min="4" max="4" width="15.140625" style="482" customWidth="1"/>
    <col min="5" max="5" width="17.7109375" customWidth="1"/>
    <col min="6" max="6" width="19.28515625" bestFit="1" customWidth="1"/>
    <col min="7" max="7" width="14.28515625" customWidth="1"/>
    <col min="8" max="17" width="9.140625" customWidth="1"/>
  </cols>
  <sheetData>
    <row r="1" spans="1:17" ht="22.5" customHeight="1" thickBot="1" x14ac:dyDescent="0.3">
      <c r="A1" s="455" t="s">
        <v>546</v>
      </c>
      <c r="B1" s="455" t="s">
        <v>547</v>
      </c>
      <c r="C1" s="456" t="s">
        <v>548</v>
      </c>
      <c r="D1" s="456" t="s">
        <v>549</v>
      </c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</row>
    <row r="2" spans="1:17" ht="22.5" customHeight="1" thickBot="1" x14ac:dyDescent="0.3">
      <c r="A2" s="457" t="s">
        <v>550</v>
      </c>
      <c r="B2" s="458">
        <v>8526873.6744689904</v>
      </c>
      <c r="C2" s="459">
        <v>0.114027380228428</v>
      </c>
      <c r="D2" s="888">
        <v>683.80634645116254</v>
      </c>
      <c r="E2" s="38"/>
      <c r="F2" s="460" t="s">
        <v>280</v>
      </c>
      <c r="G2" s="764">
        <v>12469.72</v>
      </c>
      <c r="H2" s="461" t="s">
        <v>2</v>
      </c>
      <c r="I2" s="38"/>
      <c r="J2" s="38"/>
      <c r="K2" s="38"/>
      <c r="L2" s="38"/>
      <c r="M2" s="38"/>
      <c r="N2" s="38"/>
      <c r="O2" s="38"/>
      <c r="P2" s="38"/>
      <c r="Q2" s="38"/>
    </row>
    <row r="3" spans="1:17" ht="19.5" customHeight="1" x14ac:dyDescent="0.25">
      <c r="A3" s="462" t="s">
        <v>117</v>
      </c>
      <c r="B3" s="463">
        <v>2450076.1785170003</v>
      </c>
      <c r="C3" s="464">
        <v>3.2764149987688174E-2</v>
      </c>
      <c r="D3" s="889">
        <v>196.48205240510617</v>
      </c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</row>
    <row r="4" spans="1:17" ht="19.5" customHeight="1" x14ac:dyDescent="0.25">
      <c r="A4" s="457" t="s">
        <v>118</v>
      </c>
      <c r="B4" s="458">
        <v>5278318.0955762975</v>
      </c>
      <c r="C4" s="459">
        <v>7.0585399459239903E-2</v>
      </c>
      <c r="D4" s="888">
        <v>423.29082734626741</v>
      </c>
      <c r="E4" s="38"/>
      <c r="F4" s="469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</row>
    <row r="5" spans="1:17" ht="19.5" customHeight="1" x14ac:dyDescent="0.25">
      <c r="A5" s="462" t="s">
        <v>1229</v>
      </c>
      <c r="B5" s="463">
        <v>1644604.5753569845</v>
      </c>
      <c r="C5" s="464">
        <v>2.1992814529566914E-2</v>
      </c>
      <c r="D5" s="889">
        <v>131.88785115920683</v>
      </c>
      <c r="E5" s="38"/>
      <c r="F5" s="469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</row>
    <row r="6" spans="1:17" ht="19.5" customHeight="1" x14ac:dyDescent="0.25">
      <c r="A6" s="457" t="s">
        <v>28</v>
      </c>
      <c r="B6" s="458">
        <v>13332388.970733417</v>
      </c>
      <c r="C6" s="459">
        <v>0.1782901265526011</v>
      </c>
      <c r="D6" s="888">
        <v>1069.1811019600616</v>
      </c>
      <c r="E6" s="38"/>
      <c r="F6" s="469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</row>
    <row r="7" spans="1:17" ht="19.5" customHeight="1" x14ac:dyDescent="0.25">
      <c r="A7" s="462" t="s">
        <v>162</v>
      </c>
      <c r="B7" s="463">
        <v>3148673.3767500008</v>
      </c>
      <c r="C7" s="464">
        <v>4.2106285381102407E-2</v>
      </c>
      <c r="D7" s="889">
        <v>252.50553955902785</v>
      </c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</row>
    <row r="8" spans="1:17" ht="19.5" customHeight="1" x14ac:dyDescent="0.25">
      <c r="A8" s="457" t="s">
        <v>551</v>
      </c>
      <c r="B8" s="458">
        <v>5267209.7280000001</v>
      </c>
      <c r="C8" s="459">
        <v>7.0436850518362279E-2</v>
      </c>
      <c r="D8" s="888">
        <v>422.40000000000003</v>
      </c>
      <c r="E8" s="38"/>
      <c r="F8" s="470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</row>
    <row r="9" spans="1:17" ht="19.5" customHeight="1" x14ac:dyDescent="0.25">
      <c r="A9" s="462" t="s">
        <v>552</v>
      </c>
      <c r="B9" s="463">
        <v>6870035.2080000006</v>
      </c>
      <c r="C9" s="464">
        <v>9.1870965461920931E-2</v>
      </c>
      <c r="D9" s="889">
        <v>550.9374074157239</v>
      </c>
      <c r="E9" s="471"/>
      <c r="F9" s="472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</row>
    <row r="10" spans="1:17" ht="19.5" customHeight="1" x14ac:dyDescent="0.25">
      <c r="A10" s="457" t="s">
        <v>216</v>
      </c>
      <c r="B10" s="458">
        <v>1100757.3433999999</v>
      </c>
      <c r="C10" s="459">
        <v>1.4720105038136687E-2</v>
      </c>
      <c r="D10" s="888">
        <v>88.274423435329737</v>
      </c>
      <c r="E10" s="38"/>
      <c r="F10" s="470"/>
      <c r="G10" s="473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spans="1:17" ht="19.5" customHeight="1" x14ac:dyDescent="0.25">
      <c r="A11" s="462" t="s">
        <v>171</v>
      </c>
      <c r="B11" s="463">
        <v>1637724.5641964758</v>
      </c>
      <c r="C11" s="464">
        <v>2.1900810158618611E-2</v>
      </c>
      <c r="D11" s="889">
        <v>131.33611373763611</v>
      </c>
      <c r="E11" s="870"/>
      <c r="F11" s="366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</row>
    <row r="12" spans="1:17" ht="19.5" customHeight="1" x14ac:dyDescent="0.25">
      <c r="A12" s="457" t="s">
        <v>553</v>
      </c>
      <c r="B12" s="458">
        <v>1292981.4260000016</v>
      </c>
      <c r="C12" s="459">
        <v>1.7290661304417497E-2</v>
      </c>
      <c r="D12" s="888">
        <v>103.68969198987641</v>
      </c>
      <c r="E12" s="38"/>
      <c r="F12" s="38"/>
      <c r="G12" s="474"/>
      <c r="H12" s="38"/>
      <c r="I12" s="38"/>
      <c r="J12" s="38"/>
      <c r="K12" s="38"/>
      <c r="L12" s="38"/>
      <c r="M12" s="38"/>
      <c r="N12" s="38"/>
      <c r="O12" s="38"/>
      <c r="P12" s="38"/>
      <c r="Q12" s="38"/>
    </row>
    <row r="13" spans="1:17" ht="19.5" customHeight="1" x14ac:dyDescent="0.25">
      <c r="A13" s="462" t="s">
        <v>185</v>
      </c>
      <c r="B13" s="463">
        <v>4169253.4416342853</v>
      </c>
      <c r="C13" s="464">
        <v>5.5754203194234686E-2</v>
      </c>
      <c r="D13" s="889">
        <v>334.35020526798399</v>
      </c>
      <c r="E13" s="38"/>
      <c r="F13" s="38"/>
      <c r="G13" s="366"/>
      <c r="H13" s="38"/>
      <c r="I13" s="38"/>
      <c r="J13" s="38"/>
      <c r="K13" s="38"/>
      <c r="L13" s="38"/>
      <c r="M13" s="38"/>
      <c r="N13" s="38"/>
      <c r="O13" s="38"/>
      <c r="P13" s="38"/>
      <c r="Q13" s="38"/>
    </row>
    <row r="14" spans="1:17" ht="19.5" customHeight="1" x14ac:dyDescent="0.25">
      <c r="A14" s="457" t="s">
        <v>554</v>
      </c>
      <c r="B14" s="458">
        <v>2000841.4250000003</v>
      </c>
      <c r="C14" s="459">
        <v>2.6756665415179001E-2</v>
      </c>
      <c r="D14" s="888">
        <v>160.45600262074854</v>
      </c>
      <c r="E14" s="38" t="s">
        <v>1239</v>
      </c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</row>
    <row r="15" spans="1:17" ht="19.5" customHeight="1" x14ac:dyDescent="0.25">
      <c r="A15" s="462" t="s">
        <v>555</v>
      </c>
      <c r="B15" s="463">
        <v>9377705.694500003</v>
      </c>
      <c r="C15" s="464">
        <v>0.12540530723455776</v>
      </c>
      <c r="D15" s="889">
        <v>752.03819287842896</v>
      </c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</row>
    <row r="16" spans="1:17" ht="19.5" customHeight="1" x14ac:dyDescent="0.25">
      <c r="A16" s="457" t="s">
        <v>556</v>
      </c>
      <c r="B16" s="458">
        <v>3087626.2103809789</v>
      </c>
      <c r="C16" s="459">
        <v>4.1289919533878568E-2</v>
      </c>
      <c r="D16" s="888">
        <v>247.60990706936315</v>
      </c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</row>
    <row r="17" spans="1:17" ht="19.5" customHeight="1" x14ac:dyDescent="0.25">
      <c r="A17" s="462" t="s">
        <v>271</v>
      </c>
      <c r="B17" s="463">
        <v>3416073.0232285941</v>
      </c>
      <c r="C17" s="464">
        <v>4.568214240983464E-2</v>
      </c>
      <c r="D17" s="889">
        <v>273.94945702298003</v>
      </c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</row>
    <row r="18" spans="1:17" ht="19.5" customHeight="1" x14ac:dyDescent="0.25">
      <c r="A18" s="457" t="s">
        <v>557</v>
      </c>
      <c r="B18" s="458">
        <v>2178034.2880722904</v>
      </c>
      <c r="C18" s="459">
        <v>2.9126213592233007E-2</v>
      </c>
      <c r="D18" s="888">
        <v>174.66585360956705</v>
      </c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</row>
    <row r="19" spans="1:17" ht="19.5" customHeight="1" x14ac:dyDescent="0.25">
      <c r="A19" s="455" t="s">
        <v>17</v>
      </c>
      <c r="B19" s="475">
        <v>74779177.223815307</v>
      </c>
      <c r="C19" s="476">
        <v>1.0000000000000002</v>
      </c>
      <c r="D19" s="477">
        <v>5996.8609739284711</v>
      </c>
      <c r="E19" s="366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</row>
    <row r="20" spans="1:17" ht="19.5" customHeight="1" x14ac:dyDescent="0.25">
      <c r="A20" s="455" t="s">
        <v>599</v>
      </c>
      <c r="B20" s="475">
        <v>2758.46</v>
      </c>
      <c r="C20" s="478">
        <v>45413</v>
      </c>
      <c r="D20" s="477">
        <v>2.1739887378930529</v>
      </c>
      <c r="E20" s="366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</row>
    <row r="21" spans="1:17" ht="22.5" customHeight="1" x14ac:dyDescent="0.25">
      <c r="A21" s="38"/>
      <c r="B21" s="38"/>
      <c r="C21" s="508"/>
      <c r="D21" s="470"/>
      <c r="E21" s="38"/>
      <c r="F21" s="366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</row>
    <row r="22" spans="1:17" ht="22.5" customHeight="1" x14ac:dyDescent="0.25">
      <c r="A22" s="38"/>
      <c r="B22" s="366"/>
      <c r="C22" s="470"/>
      <c r="D22" s="470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</row>
    <row r="23" spans="1:17" ht="15" customHeight="1" x14ac:dyDescent="0.25">
      <c r="A23" s="38"/>
      <c r="B23" s="38"/>
      <c r="C23" s="470"/>
      <c r="D23" s="470"/>
      <c r="E23" s="38"/>
      <c r="F23" s="366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</row>
    <row r="24" spans="1:17" ht="19.5" customHeight="1" x14ac:dyDescent="0.25">
      <c r="A24" s="38"/>
      <c r="B24" s="38"/>
      <c r="C24" s="470"/>
      <c r="D24" s="470"/>
      <c r="E24" s="472"/>
      <c r="F24" s="38"/>
      <c r="G24" s="366"/>
      <c r="H24" s="38"/>
      <c r="I24" s="38"/>
      <c r="J24" s="38"/>
      <c r="K24" s="38"/>
      <c r="L24" s="38"/>
      <c r="M24" s="38"/>
      <c r="N24" s="38"/>
      <c r="O24" s="38"/>
      <c r="P24" s="38"/>
      <c r="Q24" s="38"/>
    </row>
    <row r="25" spans="1:17" ht="19.5" customHeight="1" x14ac:dyDescent="0.45">
      <c r="A25" s="38"/>
      <c r="B25" s="38"/>
      <c r="C25" s="470"/>
      <c r="D25" s="470"/>
      <c r="E25" s="479"/>
      <c r="F25" s="366"/>
      <c r="G25" s="366"/>
      <c r="H25" s="38"/>
      <c r="I25" s="38"/>
      <c r="J25" s="38"/>
      <c r="K25" s="38"/>
      <c r="L25" s="38"/>
      <c r="M25" s="38"/>
      <c r="N25" s="38"/>
      <c r="O25" s="38"/>
      <c r="P25" s="38"/>
      <c r="Q25" s="38"/>
    </row>
    <row r="26" spans="1:17" ht="19.5" customHeight="1" x14ac:dyDescent="0.25">
      <c r="A26" s="38"/>
      <c r="B26" s="38"/>
      <c r="C26" s="470"/>
      <c r="D26" s="470"/>
      <c r="E26" s="480"/>
      <c r="F26" s="481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</row>
    <row r="27" spans="1:17" ht="19.5" customHeight="1" x14ac:dyDescent="0.25">
      <c r="A27" s="38"/>
      <c r="B27" s="38"/>
      <c r="C27" s="470"/>
      <c r="D27" s="470"/>
      <c r="E27" s="38"/>
      <c r="F27" s="481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</row>
    <row r="28" spans="1:17" ht="19.5" customHeight="1" x14ac:dyDescent="0.25">
      <c r="A28" s="38"/>
      <c r="B28" s="38"/>
      <c r="C28" s="470"/>
      <c r="D28" s="470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</row>
    <row r="29" spans="1:17" ht="19.5" customHeight="1" x14ac:dyDescent="0.25">
      <c r="A29" s="38"/>
      <c r="B29" s="38"/>
      <c r="C29" s="470"/>
      <c r="D29" s="470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</row>
    <row r="30" spans="1:17" ht="19.5" customHeight="1" x14ac:dyDescent="0.25">
      <c r="A30" s="38"/>
      <c r="B30" s="38"/>
      <c r="C30" s="470"/>
      <c r="D30" s="470"/>
      <c r="E30" s="38"/>
      <c r="F30" s="366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</row>
    <row r="31" spans="1:17" ht="19.5" customHeight="1" x14ac:dyDescent="0.25">
      <c r="A31" s="38"/>
      <c r="B31" s="38"/>
      <c r="C31" s="470"/>
      <c r="D31" s="470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</row>
    <row r="32" spans="1:17" ht="19.5" customHeight="1" x14ac:dyDescent="0.25">
      <c r="A32" s="38"/>
      <c r="B32" s="38"/>
      <c r="C32" s="470"/>
      <c r="D32" s="470"/>
      <c r="E32" s="38"/>
      <c r="F32" s="366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</row>
    <row r="33" spans="1:17" ht="19.5" customHeight="1" x14ac:dyDescent="0.25">
      <c r="A33" s="38"/>
      <c r="B33" s="38"/>
      <c r="C33" s="470"/>
      <c r="D33" s="470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</row>
    <row r="34" spans="1:17" ht="19.5" customHeight="1" x14ac:dyDescent="0.25">
      <c r="A34" s="38"/>
      <c r="B34" s="38"/>
      <c r="C34" s="470"/>
      <c r="D34" s="470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</row>
    <row r="35" spans="1:17" ht="19.5" customHeight="1" x14ac:dyDescent="0.25">
      <c r="A35" s="38"/>
      <c r="B35" s="38"/>
      <c r="C35" s="470"/>
      <c r="D35" s="470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</row>
    <row r="36" spans="1:17" ht="19.5" customHeight="1" x14ac:dyDescent="0.25">
      <c r="A36" s="38"/>
      <c r="B36" s="38"/>
      <c r="C36" s="470"/>
      <c r="D36" s="470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</row>
    <row r="37" spans="1:17" ht="19.5" customHeight="1" x14ac:dyDescent="0.25">
      <c r="A37" s="38"/>
      <c r="B37" s="38"/>
      <c r="C37" s="470"/>
      <c r="D37" s="470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</row>
    <row r="38" spans="1:17" ht="19.5" customHeight="1" x14ac:dyDescent="0.25">
      <c r="A38" s="38"/>
      <c r="B38" s="38"/>
      <c r="C38" s="470"/>
      <c r="D38" s="470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</row>
    <row r="39" spans="1:17" ht="19.5" customHeight="1" x14ac:dyDescent="0.25">
      <c r="A39" s="38"/>
      <c r="B39" s="38"/>
      <c r="C39" s="470"/>
      <c r="D39" s="470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</row>
    <row r="40" spans="1:17" ht="19.5" customHeight="1" x14ac:dyDescent="0.25">
      <c r="A40" s="38"/>
      <c r="B40" s="38"/>
      <c r="C40" s="470"/>
      <c r="D40" s="470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</row>
    <row r="41" spans="1:17" ht="19.5" customHeight="1" x14ac:dyDescent="0.25">
      <c r="A41" s="38"/>
      <c r="B41" s="38"/>
      <c r="C41" s="470"/>
      <c r="D41" s="470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</row>
    <row r="42" spans="1:17" ht="19.5" customHeight="1" x14ac:dyDescent="0.25">
      <c r="A42" s="38"/>
      <c r="B42" s="38"/>
      <c r="C42" s="470"/>
      <c r="D42" s="470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</row>
    <row r="43" spans="1:17" ht="19.5" customHeight="1" x14ac:dyDescent="0.25">
      <c r="A43" s="38"/>
      <c r="B43" s="38"/>
      <c r="C43" s="470"/>
      <c r="D43" s="470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</row>
    <row r="44" spans="1:17" ht="19.5" customHeight="1" x14ac:dyDescent="0.25">
      <c r="A44" s="38"/>
      <c r="B44" s="38"/>
      <c r="C44" s="470"/>
      <c r="D44" s="470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</row>
    <row r="45" spans="1:17" ht="19.5" customHeight="1" x14ac:dyDescent="0.25">
      <c r="A45" s="38"/>
      <c r="B45" s="38"/>
      <c r="C45" s="470"/>
      <c r="D45" s="470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</row>
    <row r="46" spans="1:17" ht="19.5" customHeight="1" x14ac:dyDescent="0.25">
      <c r="A46" s="38"/>
      <c r="B46" s="38"/>
      <c r="C46" s="470"/>
      <c r="D46" s="470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</row>
    <row r="47" spans="1:17" ht="19.5" customHeight="1" x14ac:dyDescent="0.25">
      <c r="A47" s="38"/>
      <c r="B47" s="38"/>
      <c r="C47" s="470"/>
      <c r="D47" s="470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</row>
    <row r="48" spans="1:17" ht="19.5" customHeight="1" x14ac:dyDescent="0.25">
      <c r="A48" s="38"/>
      <c r="B48" s="38"/>
      <c r="C48" s="470"/>
      <c r="D48" s="470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</row>
    <row r="49" spans="1:17" ht="19.5" customHeight="1" x14ac:dyDescent="0.25">
      <c r="A49" s="38"/>
      <c r="B49" s="38"/>
      <c r="C49" s="470"/>
      <c r="D49" s="470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</row>
    <row r="50" spans="1:17" ht="19.5" customHeight="1" x14ac:dyDescent="0.25">
      <c r="A50" s="38"/>
      <c r="B50" s="38"/>
      <c r="C50" s="470"/>
      <c r="D50" s="470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</row>
    <row r="51" spans="1:17" ht="19.5" customHeight="1" x14ac:dyDescent="0.25">
      <c r="A51" s="38"/>
      <c r="B51" s="38"/>
      <c r="C51" s="470"/>
      <c r="D51" s="470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</row>
    <row r="52" spans="1:17" ht="19.5" customHeight="1" x14ac:dyDescent="0.25">
      <c r="A52" s="38"/>
      <c r="B52" s="38"/>
      <c r="C52" s="470"/>
      <c r="D52" s="470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</row>
    <row r="53" spans="1:17" ht="19.5" customHeight="1" x14ac:dyDescent="0.25">
      <c r="A53" s="38"/>
      <c r="B53" s="38"/>
      <c r="C53" s="470"/>
      <c r="D53" s="470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</row>
    <row r="54" spans="1:17" ht="19.5" customHeight="1" x14ac:dyDescent="0.25">
      <c r="A54" s="38"/>
      <c r="B54" s="38"/>
      <c r="C54" s="470"/>
      <c r="D54" s="470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</row>
    <row r="55" spans="1:17" ht="19.5" customHeight="1" x14ac:dyDescent="0.25">
      <c r="A55" s="38"/>
      <c r="B55" s="38"/>
      <c r="C55" s="470"/>
      <c r="D55" s="470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</row>
    <row r="56" spans="1:17" ht="19.5" customHeight="1" x14ac:dyDescent="0.25">
      <c r="A56" s="38"/>
      <c r="B56" s="38"/>
      <c r="C56" s="470"/>
      <c r="D56" s="470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</row>
    <row r="57" spans="1:17" ht="19.5" customHeight="1" x14ac:dyDescent="0.25">
      <c r="A57" s="38"/>
      <c r="B57" s="38"/>
      <c r="C57" s="470"/>
      <c r="D57" s="470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</row>
    <row r="58" spans="1:17" ht="19.5" customHeight="1" x14ac:dyDescent="0.25">
      <c r="A58" s="38"/>
      <c r="B58" s="38"/>
      <c r="C58" s="470"/>
      <c r="D58" s="470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</row>
    <row r="59" spans="1:17" ht="19.5" customHeight="1" x14ac:dyDescent="0.25">
      <c r="A59" s="38"/>
      <c r="B59" s="38"/>
      <c r="C59" s="470"/>
      <c r="D59" s="470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</row>
    <row r="60" spans="1:17" ht="19.5" customHeight="1" x14ac:dyDescent="0.25">
      <c r="A60" s="38"/>
      <c r="B60" s="38"/>
      <c r="C60" s="470"/>
      <c r="D60" s="470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</row>
    <row r="61" spans="1:17" ht="19.5" customHeight="1" x14ac:dyDescent="0.25">
      <c r="A61" s="38"/>
      <c r="B61" s="38"/>
      <c r="C61" s="470"/>
      <c r="D61" s="470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</row>
    <row r="62" spans="1:17" ht="19.5" customHeight="1" x14ac:dyDescent="0.25">
      <c r="A62" s="38"/>
      <c r="B62" s="38"/>
      <c r="C62" s="470"/>
      <c r="D62" s="470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</row>
    <row r="63" spans="1:17" ht="19.5" customHeight="1" x14ac:dyDescent="0.25">
      <c r="A63" s="38"/>
      <c r="B63" s="38"/>
      <c r="C63" s="470"/>
      <c r="D63" s="470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</row>
    <row r="64" spans="1:17" ht="19.5" customHeight="1" x14ac:dyDescent="0.25">
      <c r="A64" s="38"/>
      <c r="B64" s="38"/>
      <c r="C64" s="470"/>
      <c r="D64" s="470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</row>
    <row r="65" spans="1:17" ht="19.5" customHeight="1" x14ac:dyDescent="0.25">
      <c r="A65" s="38"/>
      <c r="B65" s="38"/>
      <c r="C65" s="470"/>
      <c r="D65" s="470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</row>
    <row r="66" spans="1:17" ht="19.5" customHeight="1" x14ac:dyDescent="0.25">
      <c r="A66" s="38"/>
      <c r="B66" s="38"/>
      <c r="C66" s="470"/>
      <c r="D66" s="470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</row>
    <row r="67" spans="1:17" ht="19.5" customHeight="1" x14ac:dyDescent="0.25">
      <c r="A67" s="38"/>
      <c r="B67" s="38"/>
      <c r="C67" s="470"/>
      <c r="D67" s="470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</row>
    <row r="68" spans="1:17" ht="19.5" customHeight="1" x14ac:dyDescent="0.25">
      <c r="A68" s="38"/>
      <c r="B68" s="38"/>
      <c r="C68" s="470"/>
      <c r="D68" s="470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</row>
    <row r="69" spans="1:17" ht="19.5" customHeight="1" x14ac:dyDescent="0.25">
      <c r="A69" s="38"/>
      <c r="B69" s="38"/>
      <c r="C69" s="470"/>
      <c r="D69" s="470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</row>
    <row r="70" spans="1:17" ht="19.5" customHeight="1" x14ac:dyDescent="0.25">
      <c r="A70" s="38"/>
      <c r="B70" s="38"/>
      <c r="C70" s="470"/>
      <c r="D70" s="470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</row>
    <row r="71" spans="1:17" ht="19.5" customHeight="1" x14ac:dyDescent="0.25">
      <c r="A71" s="38"/>
      <c r="B71" s="38"/>
      <c r="C71" s="470"/>
      <c r="D71" s="470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</row>
    <row r="72" spans="1:17" ht="19.5" customHeight="1" x14ac:dyDescent="0.25">
      <c r="A72" s="38"/>
      <c r="B72" s="38"/>
      <c r="C72" s="470"/>
      <c r="D72" s="470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</row>
    <row r="73" spans="1:17" ht="19.5" customHeight="1" x14ac:dyDescent="0.25">
      <c r="A73" s="38"/>
      <c r="B73" s="38"/>
      <c r="C73" s="470"/>
      <c r="D73" s="470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</row>
    <row r="74" spans="1:17" ht="19.5" customHeight="1" x14ac:dyDescent="0.25">
      <c r="A74" s="38"/>
      <c r="B74" s="38"/>
      <c r="C74" s="470"/>
      <c r="D74" s="470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</row>
    <row r="75" spans="1:17" ht="19.5" customHeight="1" x14ac:dyDescent="0.25">
      <c r="A75" s="38"/>
      <c r="B75" s="38"/>
      <c r="C75" s="470"/>
      <c r="D75" s="470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</row>
    <row r="76" spans="1:17" ht="19.5" customHeight="1" x14ac:dyDescent="0.25">
      <c r="A76" s="38"/>
      <c r="B76" s="38"/>
      <c r="C76" s="470"/>
      <c r="D76" s="470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</row>
    <row r="77" spans="1:17" ht="19.5" customHeight="1" x14ac:dyDescent="0.25">
      <c r="A77" s="38"/>
      <c r="B77" s="38"/>
      <c r="C77" s="470"/>
      <c r="D77" s="470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</row>
    <row r="78" spans="1:17" ht="19.5" customHeight="1" x14ac:dyDescent="0.25">
      <c r="A78" s="38"/>
      <c r="B78" s="38"/>
      <c r="C78" s="470"/>
      <c r="D78" s="470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</row>
    <row r="79" spans="1:17" ht="19.5" customHeight="1" x14ac:dyDescent="0.25">
      <c r="A79" s="38"/>
      <c r="B79" s="38"/>
      <c r="C79" s="470"/>
      <c r="D79" s="470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</row>
    <row r="80" spans="1:17" ht="19.5" customHeight="1" x14ac:dyDescent="0.25">
      <c r="A80" s="38"/>
      <c r="B80" s="38"/>
      <c r="C80" s="470"/>
      <c r="D80" s="470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</row>
    <row r="81" spans="1:17" ht="19.5" customHeight="1" x14ac:dyDescent="0.25">
      <c r="A81" s="38"/>
      <c r="B81" s="38"/>
      <c r="C81" s="470"/>
      <c r="D81" s="470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</row>
    <row r="82" spans="1:17" ht="19.5" customHeight="1" x14ac:dyDescent="0.25">
      <c r="A82" s="38"/>
      <c r="B82" s="38"/>
      <c r="C82" s="470"/>
      <c r="D82" s="470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</row>
    <row r="83" spans="1:17" ht="19.5" customHeight="1" x14ac:dyDescent="0.25">
      <c r="A83" s="38"/>
      <c r="B83" s="38"/>
      <c r="C83" s="470"/>
      <c r="D83" s="470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</row>
    <row r="84" spans="1:17" ht="19.5" customHeight="1" x14ac:dyDescent="0.25">
      <c r="A84" s="38"/>
      <c r="B84" s="38"/>
      <c r="C84" s="470"/>
      <c r="D84" s="470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</row>
    <row r="85" spans="1:17" ht="19.5" customHeight="1" x14ac:dyDescent="0.25">
      <c r="A85" s="38"/>
      <c r="B85" s="38"/>
      <c r="C85" s="470"/>
      <c r="D85" s="470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</row>
    <row r="86" spans="1:17" ht="19.5" customHeight="1" x14ac:dyDescent="0.25">
      <c r="A86" s="38"/>
      <c r="B86" s="38"/>
      <c r="C86" s="470"/>
      <c r="D86" s="470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</row>
    <row r="87" spans="1:17" ht="19.5" customHeight="1" x14ac:dyDescent="0.25">
      <c r="A87" s="38"/>
      <c r="B87" s="38"/>
      <c r="C87" s="470"/>
      <c r="D87" s="470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</row>
    <row r="88" spans="1:17" ht="19.5" customHeight="1" x14ac:dyDescent="0.25">
      <c r="A88" s="38"/>
      <c r="B88" s="38"/>
      <c r="C88" s="470"/>
      <c r="D88" s="470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</row>
    <row r="89" spans="1:17" ht="19.5" customHeight="1" x14ac:dyDescent="0.25">
      <c r="A89" s="38"/>
      <c r="B89" s="38"/>
      <c r="C89" s="470"/>
      <c r="D89" s="470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</row>
    <row r="90" spans="1:17" ht="19.5" customHeight="1" x14ac:dyDescent="0.25">
      <c r="A90" s="38"/>
      <c r="B90" s="38"/>
      <c r="C90" s="470"/>
      <c r="D90" s="470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</row>
    <row r="91" spans="1:17" ht="19.5" customHeight="1" x14ac:dyDescent="0.25">
      <c r="A91" s="38"/>
      <c r="B91" s="38"/>
      <c r="C91" s="470"/>
      <c r="D91" s="470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</row>
    <row r="92" spans="1:17" ht="19.5" customHeight="1" x14ac:dyDescent="0.25">
      <c r="A92" s="38"/>
      <c r="B92" s="38"/>
      <c r="C92" s="470"/>
      <c r="D92" s="470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</row>
    <row r="93" spans="1:17" ht="19.5" customHeight="1" x14ac:dyDescent="0.25">
      <c r="A93" s="38"/>
      <c r="B93" s="38"/>
      <c r="C93" s="470"/>
      <c r="D93" s="470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</row>
    <row r="94" spans="1:17" ht="19.5" customHeight="1" x14ac:dyDescent="0.25">
      <c r="A94" s="38"/>
      <c r="B94" s="38"/>
      <c r="C94" s="470"/>
      <c r="D94" s="470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</row>
    <row r="95" spans="1:17" ht="19.5" customHeight="1" x14ac:dyDescent="0.25">
      <c r="A95" s="38"/>
      <c r="B95" s="38"/>
      <c r="C95" s="470"/>
      <c r="D95" s="470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</row>
    <row r="96" spans="1:17" ht="19.5" customHeight="1" x14ac:dyDescent="0.25">
      <c r="A96" s="38"/>
      <c r="B96" s="38"/>
      <c r="C96" s="470"/>
      <c r="D96" s="470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</row>
    <row r="97" spans="1:17" ht="19.5" customHeight="1" x14ac:dyDescent="0.25">
      <c r="A97" s="38"/>
      <c r="B97" s="38"/>
      <c r="C97" s="470"/>
      <c r="D97" s="470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</row>
    <row r="98" spans="1:17" ht="19.5" customHeight="1" x14ac:dyDescent="0.25">
      <c r="A98" s="38"/>
      <c r="B98" s="38"/>
      <c r="C98" s="470"/>
      <c r="D98" s="470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</row>
    <row r="99" spans="1:17" ht="19.5" customHeight="1" x14ac:dyDescent="0.25">
      <c r="A99" s="38"/>
      <c r="B99" s="38"/>
      <c r="C99" s="470"/>
      <c r="D99" s="470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</row>
    <row r="100" spans="1:17" ht="19.5" customHeight="1" x14ac:dyDescent="0.25">
      <c r="A100" s="38"/>
      <c r="B100" s="38"/>
      <c r="C100" s="470"/>
      <c r="D100" s="470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</row>
    <row r="101" spans="1:17" ht="19.5" customHeight="1" x14ac:dyDescent="0.25">
      <c r="A101" s="38"/>
      <c r="B101" s="38"/>
      <c r="C101" s="470"/>
      <c r="D101" s="470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</row>
    <row r="102" spans="1:17" ht="19.5" customHeight="1" x14ac:dyDescent="0.25">
      <c r="A102" s="38"/>
      <c r="B102" s="38"/>
      <c r="C102" s="470"/>
      <c r="D102" s="470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</row>
    <row r="103" spans="1:17" ht="19.5" customHeight="1" x14ac:dyDescent="0.25">
      <c r="A103" s="38"/>
      <c r="B103" s="38"/>
      <c r="C103" s="470"/>
      <c r="D103" s="470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</row>
    <row r="104" spans="1:17" ht="19.5" customHeight="1" x14ac:dyDescent="0.25">
      <c r="A104" s="38"/>
      <c r="B104" s="38"/>
      <c r="C104" s="470"/>
      <c r="D104" s="470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</row>
    <row r="105" spans="1:17" ht="19.5" customHeight="1" x14ac:dyDescent="0.25">
      <c r="A105" s="38"/>
      <c r="B105" s="38"/>
      <c r="C105" s="470"/>
      <c r="D105" s="470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</row>
    <row r="106" spans="1:17" ht="19.5" customHeight="1" x14ac:dyDescent="0.25">
      <c r="A106" s="38"/>
      <c r="B106" s="38"/>
      <c r="C106" s="470"/>
      <c r="D106" s="470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</row>
    <row r="107" spans="1:17" ht="19.5" customHeight="1" x14ac:dyDescent="0.25">
      <c r="A107" s="38"/>
      <c r="B107" s="38"/>
      <c r="C107" s="470"/>
      <c r="D107" s="470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</row>
    <row r="108" spans="1:17" ht="19.5" customHeight="1" x14ac:dyDescent="0.25">
      <c r="A108" s="38"/>
      <c r="B108" s="38"/>
      <c r="C108" s="470"/>
      <c r="D108" s="470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</row>
    <row r="109" spans="1:17" ht="19.5" customHeight="1" x14ac:dyDescent="0.25">
      <c r="A109" s="38"/>
      <c r="B109" s="38"/>
      <c r="C109" s="470"/>
      <c r="D109" s="470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</row>
    <row r="110" spans="1:17" ht="19.5" customHeight="1" x14ac:dyDescent="0.25">
      <c r="A110" s="38"/>
      <c r="B110" s="38"/>
      <c r="C110" s="470"/>
      <c r="D110" s="470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</row>
    <row r="111" spans="1:17" ht="19.5" customHeight="1" x14ac:dyDescent="0.25">
      <c r="A111" s="38"/>
      <c r="B111" s="38"/>
      <c r="C111" s="470"/>
      <c r="D111" s="470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</row>
    <row r="112" spans="1:17" ht="19.5" customHeight="1" x14ac:dyDescent="0.25">
      <c r="A112" s="38"/>
      <c r="B112" s="38"/>
      <c r="C112" s="470"/>
      <c r="D112" s="470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</row>
    <row r="113" spans="1:17" ht="19.5" customHeight="1" x14ac:dyDescent="0.25">
      <c r="A113" s="38"/>
      <c r="B113" s="38"/>
      <c r="C113" s="470"/>
      <c r="D113" s="470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</row>
    <row r="114" spans="1:17" ht="19.5" customHeight="1" x14ac:dyDescent="0.25">
      <c r="A114" s="38"/>
      <c r="B114" s="38"/>
      <c r="C114" s="470"/>
      <c r="D114" s="470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</row>
    <row r="115" spans="1:17" ht="19.5" customHeight="1" x14ac:dyDescent="0.25">
      <c r="A115" s="38"/>
      <c r="B115" s="38"/>
      <c r="C115" s="470"/>
      <c r="D115" s="470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</row>
    <row r="116" spans="1:17" ht="19.5" customHeight="1" x14ac:dyDescent="0.25">
      <c r="A116" s="38"/>
      <c r="B116" s="38"/>
      <c r="C116" s="470"/>
      <c r="D116" s="470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</row>
    <row r="117" spans="1:17" ht="19.5" customHeight="1" x14ac:dyDescent="0.25">
      <c r="A117" s="38"/>
      <c r="B117" s="38"/>
      <c r="C117" s="470"/>
      <c r="D117" s="470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</row>
    <row r="118" spans="1:17" ht="19.5" customHeight="1" x14ac:dyDescent="0.25">
      <c r="A118" s="38"/>
      <c r="B118" s="38"/>
      <c r="C118" s="470"/>
      <c r="D118" s="470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</row>
    <row r="119" spans="1:17" ht="19.5" customHeight="1" x14ac:dyDescent="0.25">
      <c r="A119" s="38"/>
      <c r="B119" s="38"/>
      <c r="C119" s="470"/>
      <c r="D119" s="470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</row>
    <row r="120" spans="1:17" ht="19.5" customHeight="1" x14ac:dyDescent="0.25">
      <c r="A120" s="38"/>
      <c r="B120" s="38"/>
      <c r="C120" s="470"/>
      <c r="D120" s="470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</row>
    <row r="121" spans="1:17" ht="19.5" customHeight="1" x14ac:dyDescent="0.25">
      <c r="A121" s="38"/>
      <c r="B121" s="38"/>
      <c r="C121" s="470"/>
      <c r="D121" s="470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</row>
    <row r="122" spans="1:17" ht="19.5" customHeight="1" x14ac:dyDescent="0.25">
      <c r="A122" s="38"/>
      <c r="B122" s="38"/>
      <c r="C122" s="470"/>
      <c r="D122" s="470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</row>
    <row r="123" spans="1:17" ht="19.5" customHeight="1" x14ac:dyDescent="0.25">
      <c r="A123" s="38"/>
      <c r="B123" s="38"/>
      <c r="C123" s="470"/>
      <c r="D123" s="470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</row>
    <row r="124" spans="1:17" ht="19.5" customHeight="1" x14ac:dyDescent="0.25">
      <c r="A124" s="38"/>
      <c r="B124" s="38"/>
      <c r="C124" s="470"/>
      <c r="D124" s="470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</row>
    <row r="125" spans="1:17" ht="19.5" customHeight="1" x14ac:dyDescent="0.25">
      <c r="A125" s="38"/>
      <c r="B125" s="38"/>
      <c r="C125" s="470"/>
      <c r="D125" s="470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</row>
    <row r="126" spans="1:17" ht="19.5" customHeight="1" x14ac:dyDescent="0.25">
      <c r="A126" s="38"/>
      <c r="B126" s="38"/>
      <c r="C126" s="470"/>
      <c r="D126" s="470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</row>
    <row r="127" spans="1:17" ht="19.5" customHeight="1" x14ac:dyDescent="0.25">
      <c r="A127" s="38"/>
      <c r="B127" s="38"/>
      <c r="C127" s="470"/>
      <c r="D127" s="470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</row>
    <row r="128" spans="1:17" ht="19.5" customHeight="1" x14ac:dyDescent="0.25">
      <c r="A128" s="38"/>
      <c r="B128" s="38"/>
      <c r="C128" s="470"/>
      <c r="D128" s="470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</row>
    <row r="129" spans="1:17" ht="19.5" customHeight="1" x14ac:dyDescent="0.25">
      <c r="A129" s="38"/>
      <c r="B129" s="38"/>
      <c r="C129" s="470"/>
      <c r="D129" s="470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</row>
    <row r="130" spans="1:17" ht="19.5" customHeight="1" x14ac:dyDescent="0.25">
      <c r="A130" s="38"/>
      <c r="B130" s="38"/>
      <c r="C130" s="470"/>
      <c r="D130" s="470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</row>
    <row r="131" spans="1:17" ht="19.5" customHeight="1" x14ac:dyDescent="0.25">
      <c r="A131" s="38"/>
      <c r="B131" s="38"/>
      <c r="C131" s="470"/>
      <c r="D131" s="470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</row>
    <row r="132" spans="1:17" ht="19.5" customHeight="1" x14ac:dyDescent="0.25">
      <c r="A132" s="38"/>
      <c r="B132" s="38"/>
      <c r="C132" s="470"/>
      <c r="D132" s="470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</row>
    <row r="133" spans="1:17" ht="19.5" customHeight="1" x14ac:dyDescent="0.25">
      <c r="A133" s="38"/>
      <c r="B133" s="38"/>
      <c r="C133" s="470"/>
      <c r="D133" s="470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</row>
    <row r="134" spans="1:17" ht="19.5" customHeight="1" x14ac:dyDescent="0.25">
      <c r="A134" s="38"/>
      <c r="B134" s="38"/>
      <c r="C134" s="470"/>
      <c r="D134" s="470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</row>
    <row r="135" spans="1:17" ht="19.5" customHeight="1" x14ac:dyDescent="0.25">
      <c r="A135" s="38"/>
      <c r="B135" s="38"/>
      <c r="C135" s="470"/>
      <c r="D135" s="470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</row>
    <row r="136" spans="1:17" ht="19.5" customHeight="1" x14ac:dyDescent="0.25">
      <c r="A136" s="38"/>
      <c r="B136" s="38"/>
      <c r="C136" s="470"/>
      <c r="D136" s="470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</row>
    <row r="137" spans="1:17" ht="19.5" customHeight="1" x14ac:dyDescent="0.25">
      <c r="A137" s="38"/>
      <c r="B137" s="38"/>
      <c r="C137" s="470"/>
      <c r="D137" s="470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</row>
    <row r="138" spans="1:17" ht="19.5" customHeight="1" x14ac:dyDescent="0.25">
      <c r="A138" s="38"/>
      <c r="B138" s="38"/>
      <c r="C138" s="470"/>
      <c r="D138" s="470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</row>
    <row r="139" spans="1:17" ht="19.5" customHeight="1" x14ac:dyDescent="0.25">
      <c r="A139" s="38"/>
      <c r="B139" s="38"/>
      <c r="C139" s="470"/>
      <c r="D139" s="470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</row>
    <row r="140" spans="1:17" ht="19.5" customHeight="1" x14ac:dyDescent="0.25">
      <c r="A140" s="38"/>
      <c r="B140" s="38"/>
      <c r="C140" s="470"/>
      <c r="D140" s="470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</row>
    <row r="141" spans="1:17" ht="19.5" customHeight="1" x14ac:dyDescent="0.25">
      <c r="A141" s="38"/>
      <c r="B141" s="38"/>
      <c r="C141" s="470"/>
      <c r="D141" s="470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</row>
    <row r="142" spans="1:17" ht="19.5" customHeight="1" x14ac:dyDescent="0.25">
      <c r="A142" s="38"/>
      <c r="B142" s="38"/>
      <c r="C142" s="470"/>
      <c r="D142" s="470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</row>
    <row r="143" spans="1:17" ht="19.5" customHeight="1" x14ac:dyDescent="0.25">
      <c r="A143" s="38"/>
      <c r="B143" s="38"/>
      <c r="C143" s="470"/>
      <c r="D143" s="470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</row>
    <row r="144" spans="1:17" ht="19.5" customHeight="1" x14ac:dyDescent="0.25">
      <c r="A144" s="38"/>
      <c r="B144" s="38"/>
      <c r="C144" s="470"/>
      <c r="D144" s="470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</row>
    <row r="145" spans="1:17" ht="19.5" customHeight="1" x14ac:dyDescent="0.25">
      <c r="A145" s="38"/>
      <c r="B145" s="38"/>
      <c r="C145" s="470"/>
      <c r="D145" s="470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</row>
    <row r="146" spans="1:17" ht="19.5" customHeight="1" x14ac:dyDescent="0.25">
      <c r="A146" s="38"/>
      <c r="B146" s="38"/>
      <c r="C146" s="470"/>
      <c r="D146" s="470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</row>
    <row r="147" spans="1:17" ht="19.5" customHeight="1" x14ac:dyDescent="0.25">
      <c r="A147" s="38"/>
      <c r="B147" s="38"/>
      <c r="C147" s="470"/>
      <c r="D147" s="470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</row>
    <row r="148" spans="1:17" ht="19.5" customHeight="1" x14ac:dyDescent="0.25">
      <c r="A148" s="38"/>
      <c r="B148" s="38"/>
      <c r="C148" s="470"/>
      <c r="D148" s="470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</row>
    <row r="149" spans="1:17" ht="19.5" customHeight="1" x14ac:dyDescent="0.25">
      <c r="A149" s="38"/>
      <c r="B149" s="38"/>
      <c r="C149" s="470"/>
      <c r="D149" s="470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</row>
    <row r="150" spans="1:17" ht="19.5" customHeight="1" x14ac:dyDescent="0.25">
      <c r="A150" s="38"/>
      <c r="B150" s="38"/>
      <c r="C150" s="470"/>
      <c r="D150" s="470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</row>
    <row r="151" spans="1:17" ht="19.5" customHeight="1" x14ac:dyDescent="0.25">
      <c r="A151" s="38"/>
      <c r="B151" s="38"/>
      <c r="C151" s="470"/>
      <c r="D151" s="470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</row>
    <row r="152" spans="1:17" ht="19.5" customHeight="1" x14ac:dyDescent="0.25">
      <c r="A152" s="38"/>
      <c r="B152" s="38"/>
      <c r="C152" s="470"/>
      <c r="D152" s="470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</row>
    <row r="153" spans="1:17" ht="19.5" customHeight="1" x14ac:dyDescent="0.25">
      <c r="A153" s="38"/>
      <c r="B153" s="38"/>
      <c r="C153" s="470"/>
      <c r="D153" s="470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</row>
    <row r="154" spans="1:17" ht="19.5" customHeight="1" x14ac:dyDescent="0.25">
      <c r="A154" s="38"/>
      <c r="B154" s="38"/>
      <c r="C154" s="470"/>
      <c r="D154" s="470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</row>
    <row r="155" spans="1:17" ht="19.5" customHeight="1" x14ac:dyDescent="0.25">
      <c r="A155" s="38"/>
      <c r="B155" s="38"/>
      <c r="C155" s="470"/>
      <c r="D155" s="470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</row>
    <row r="156" spans="1:17" ht="19.5" customHeight="1" x14ac:dyDescent="0.25">
      <c r="A156" s="38"/>
      <c r="B156" s="38"/>
      <c r="C156" s="470"/>
      <c r="D156" s="470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</row>
    <row r="157" spans="1:17" ht="19.5" customHeight="1" x14ac:dyDescent="0.25">
      <c r="A157" s="38"/>
      <c r="B157" s="38"/>
      <c r="C157" s="470"/>
      <c r="D157" s="470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</row>
    <row r="158" spans="1:17" ht="19.5" customHeight="1" x14ac:dyDescent="0.25">
      <c r="A158" s="38"/>
      <c r="B158" s="38"/>
      <c r="C158" s="470"/>
      <c r="D158" s="470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</row>
    <row r="159" spans="1:17" ht="19.5" customHeight="1" x14ac:dyDescent="0.25">
      <c r="A159" s="38"/>
      <c r="B159" s="38"/>
      <c r="C159" s="470"/>
      <c r="D159" s="470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</row>
    <row r="160" spans="1:17" ht="19.5" customHeight="1" x14ac:dyDescent="0.25">
      <c r="A160" s="38"/>
      <c r="B160" s="38"/>
      <c r="C160" s="470"/>
      <c r="D160" s="470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</row>
    <row r="161" spans="1:17" ht="19.5" customHeight="1" x14ac:dyDescent="0.25">
      <c r="A161" s="38"/>
      <c r="B161" s="38"/>
      <c r="C161" s="470"/>
      <c r="D161" s="470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</row>
    <row r="162" spans="1:17" ht="19.5" customHeight="1" x14ac:dyDescent="0.25">
      <c r="A162" s="38"/>
      <c r="B162" s="38"/>
      <c r="C162" s="470"/>
      <c r="D162" s="470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</row>
    <row r="163" spans="1:17" ht="19.5" customHeight="1" x14ac:dyDescent="0.25">
      <c r="A163" s="38"/>
      <c r="B163" s="38"/>
      <c r="C163" s="470"/>
      <c r="D163" s="470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</row>
    <row r="164" spans="1:17" ht="19.5" customHeight="1" x14ac:dyDescent="0.25">
      <c r="A164" s="38"/>
      <c r="B164" s="38"/>
      <c r="C164" s="470"/>
      <c r="D164" s="470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</row>
    <row r="165" spans="1:17" ht="19.5" customHeight="1" x14ac:dyDescent="0.25">
      <c r="A165" s="38"/>
      <c r="B165" s="38"/>
      <c r="C165" s="470"/>
      <c r="D165" s="470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</row>
    <row r="166" spans="1:17" ht="19.5" customHeight="1" x14ac:dyDescent="0.25">
      <c r="A166" s="38"/>
      <c r="B166" s="38"/>
      <c r="C166" s="470"/>
      <c r="D166" s="470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</row>
    <row r="167" spans="1:17" ht="19.5" customHeight="1" x14ac:dyDescent="0.25">
      <c r="A167" s="38"/>
      <c r="B167" s="38"/>
      <c r="C167" s="470"/>
      <c r="D167" s="470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</row>
    <row r="168" spans="1:17" ht="19.5" customHeight="1" x14ac:dyDescent="0.25">
      <c r="A168" s="38"/>
      <c r="B168" s="38"/>
      <c r="C168" s="470"/>
      <c r="D168" s="470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</row>
    <row r="169" spans="1:17" ht="19.5" customHeight="1" x14ac:dyDescent="0.25">
      <c r="A169" s="38"/>
      <c r="B169" s="38"/>
      <c r="C169" s="470"/>
      <c r="D169" s="470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</row>
    <row r="170" spans="1:17" ht="19.5" customHeight="1" x14ac:dyDescent="0.25">
      <c r="A170" s="38"/>
      <c r="B170" s="38"/>
      <c r="C170" s="470"/>
      <c r="D170" s="470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</row>
    <row r="171" spans="1:17" ht="19.5" customHeight="1" x14ac:dyDescent="0.25">
      <c r="A171" s="38"/>
      <c r="B171" s="38"/>
      <c r="C171" s="470"/>
      <c r="D171" s="470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</row>
    <row r="172" spans="1:17" ht="19.5" customHeight="1" x14ac:dyDescent="0.25">
      <c r="A172" s="38"/>
      <c r="B172" s="38"/>
      <c r="C172" s="470"/>
      <c r="D172" s="470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</row>
    <row r="173" spans="1:17" ht="19.5" customHeight="1" x14ac:dyDescent="0.25">
      <c r="A173" s="38"/>
      <c r="B173" s="38"/>
      <c r="C173" s="470"/>
      <c r="D173" s="470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</row>
    <row r="174" spans="1:17" ht="19.5" customHeight="1" x14ac:dyDescent="0.25">
      <c r="A174" s="38"/>
      <c r="B174" s="38"/>
      <c r="C174" s="470"/>
      <c r="D174" s="470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</row>
    <row r="175" spans="1:17" ht="19.5" customHeight="1" x14ac:dyDescent="0.25">
      <c r="A175" s="38"/>
      <c r="B175" s="38"/>
      <c r="C175" s="470"/>
      <c r="D175" s="470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</row>
    <row r="176" spans="1:17" ht="19.5" customHeight="1" x14ac:dyDescent="0.25">
      <c r="A176" s="38"/>
      <c r="B176" s="38"/>
      <c r="C176" s="470"/>
      <c r="D176" s="470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</row>
    <row r="177" spans="1:17" ht="19.5" customHeight="1" x14ac:dyDescent="0.25">
      <c r="A177" s="38"/>
      <c r="B177" s="38"/>
      <c r="C177" s="470"/>
      <c r="D177" s="470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</row>
    <row r="178" spans="1:17" ht="19.5" customHeight="1" x14ac:dyDescent="0.25">
      <c r="A178" s="38"/>
      <c r="B178" s="38"/>
      <c r="C178" s="470"/>
      <c r="D178" s="470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</row>
    <row r="179" spans="1:17" ht="19.5" customHeight="1" x14ac:dyDescent="0.25">
      <c r="A179" s="38"/>
      <c r="B179" s="38"/>
      <c r="C179" s="470"/>
      <c r="D179" s="470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</row>
    <row r="180" spans="1:17" ht="19.5" customHeight="1" x14ac:dyDescent="0.25">
      <c r="A180" s="38"/>
      <c r="B180" s="38"/>
      <c r="C180" s="470"/>
      <c r="D180" s="470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</row>
    <row r="181" spans="1:17" ht="19.5" customHeight="1" x14ac:dyDescent="0.25">
      <c r="A181" s="38"/>
      <c r="B181" s="38"/>
      <c r="C181" s="470"/>
      <c r="D181" s="470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</row>
    <row r="182" spans="1:17" ht="19.5" customHeight="1" x14ac:dyDescent="0.25">
      <c r="A182" s="38"/>
      <c r="B182" s="38"/>
      <c r="C182" s="470"/>
      <c r="D182" s="470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</row>
    <row r="183" spans="1:17" ht="19.5" customHeight="1" x14ac:dyDescent="0.25">
      <c r="A183" s="38"/>
      <c r="B183" s="38"/>
      <c r="C183" s="470"/>
      <c r="D183" s="470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</row>
    <row r="184" spans="1:17" ht="19.5" customHeight="1" x14ac:dyDescent="0.25">
      <c r="A184" s="38"/>
      <c r="B184" s="38"/>
      <c r="C184" s="470"/>
      <c r="D184" s="470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</row>
    <row r="185" spans="1:17" ht="19.5" customHeight="1" x14ac:dyDescent="0.25">
      <c r="A185" s="38"/>
      <c r="B185" s="38"/>
      <c r="C185" s="470"/>
      <c r="D185" s="470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</row>
    <row r="186" spans="1:17" ht="19.5" customHeight="1" x14ac:dyDescent="0.25">
      <c r="A186" s="38"/>
      <c r="B186" s="38"/>
      <c r="C186" s="470"/>
      <c r="D186" s="470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</row>
    <row r="187" spans="1:17" ht="19.5" customHeight="1" x14ac:dyDescent="0.25">
      <c r="A187" s="38"/>
      <c r="B187" s="38"/>
      <c r="C187" s="470"/>
      <c r="D187" s="470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</row>
    <row r="188" spans="1:17" ht="19.5" customHeight="1" x14ac:dyDescent="0.25">
      <c r="A188" s="38"/>
      <c r="B188" s="38"/>
      <c r="C188" s="470"/>
      <c r="D188" s="470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</row>
    <row r="189" spans="1:17" ht="19.5" customHeight="1" x14ac:dyDescent="0.25">
      <c r="A189" s="38"/>
      <c r="B189" s="38"/>
      <c r="C189" s="470"/>
      <c r="D189" s="470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</row>
    <row r="190" spans="1:17" ht="19.5" customHeight="1" x14ac:dyDescent="0.25">
      <c r="A190" s="38"/>
      <c r="B190" s="38"/>
      <c r="C190" s="470"/>
      <c r="D190" s="470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</row>
    <row r="191" spans="1:17" ht="19.5" customHeight="1" x14ac:dyDescent="0.25">
      <c r="A191" s="38"/>
      <c r="B191" s="38"/>
      <c r="C191" s="470"/>
      <c r="D191" s="470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</row>
    <row r="192" spans="1:17" ht="19.5" customHeight="1" x14ac:dyDescent="0.25">
      <c r="A192" s="38"/>
      <c r="B192" s="38"/>
      <c r="C192" s="470"/>
      <c r="D192" s="470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</row>
    <row r="193" spans="1:17" ht="19.5" customHeight="1" x14ac:dyDescent="0.25">
      <c r="A193" s="38"/>
      <c r="B193" s="38"/>
      <c r="C193" s="470"/>
      <c r="D193" s="470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</row>
    <row r="194" spans="1:17" ht="19.5" customHeight="1" x14ac:dyDescent="0.25">
      <c r="A194" s="38"/>
      <c r="B194" s="38"/>
      <c r="C194" s="470"/>
      <c r="D194" s="470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</row>
    <row r="195" spans="1:17" ht="19.5" customHeight="1" x14ac:dyDescent="0.25">
      <c r="A195" s="38"/>
      <c r="B195" s="38"/>
      <c r="C195" s="470"/>
      <c r="D195" s="470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</row>
    <row r="196" spans="1:17" ht="19.5" customHeight="1" x14ac:dyDescent="0.25">
      <c r="A196" s="38"/>
      <c r="B196" s="38"/>
      <c r="C196" s="470"/>
      <c r="D196" s="470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</row>
    <row r="197" spans="1:17" ht="19.5" customHeight="1" x14ac:dyDescent="0.25">
      <c r="A197" s="38"/>
      <c r="B197" s="38"/>
      <c r="C197" s="470"/>
      <c r="D197" s="470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</row>
    <row r="198" spans="1:17" ht="19.5" customHeight="1" x14ac:dyDescent="0.25">
      <c r="A198" s="38"/>
      <c r="B198" s="38"/>
      <c r="C198" s="470"/>
      <c r="D198" s="470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</row>
    <row r="199" spans="1:17" ht="19.5" customHeight="1" x14ac:dyDescent="0.25">
      <c r="A199" s="38"/>
      <c r="B199" s="38"/>
      <c r="C199" s="470"/>
      <c r="D199" s="470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</row>
    <row r="200" spans="1:17" ht="19.5" customHeight="1" x14ac:dyDescent="0.25">
      <c r="A200" s="38"/>
      <c r="B200" s="38"/>
      <c r="C200" s="470"/>
      <c r="D200" s="470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</row>
    <row r="201" spans="1:17" ht="19.5" customHeight="1" x14ac:dyDescent="0.25">
      <c r="A201" s="38"/>
      <c r="B201" s="38"/>
      <c r="C201" s="470"/>
      <c r="D201" s="470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</row>
    <row r="202" spans="1:17" ht="19.5" customHeight="1" x14ac:dyDescent="0.25">
      <c r="A202" s="38"/>
      <c r="B202" s="38"/>
      <c r="C202" s="470"/>
      <c r="D202" s="470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</row>
    <row r="203" spans="1:17" ht="19.5" customHeight="1" x14ac:dyDescent="0.25">
      <c r="A203" s="38"/>
      <c r="B203" s="38"/>
      <c r="C203" s="470"/>
      <c r="D203" s="470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</row>
    <row r="204" spans="1:17" ht="19.5" customHeight="1" x14ac:dyDescent="0.25">
      <c r="A204" s="38"/>
      <c r="B204" s="38"/>
      <c r="C204" s="470"/>
      <c r="D204" s="470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</row>
    <row r="205" spans="1:17" ht="19.5" customHeight="1" x14ac:dyDescent="0.25">
      <c r="A205" s="38"/>
      <c r="B205" s="38"/>
      <c r="C205" s="470"/>
      <c r="D205" s="470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</row>
    <row r="206" spans="1:17" ht="19.5" customHeight="1" x14ac:dyDescent="0.25">
      <c r="A206" s="38"/>
      <c r="B206" s="38"/>
      <c r="C206" s="470"/>
      <c r="D206" s="470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</row>
    <row r="207" spans="1:17" ht="19.5" customHeight="1" x14ac:dyDescent="0.25">
      <c r="A207" s="38"/>
      <c r="B207" s="38"/>
      <c r="C207" s="470"/>
      <c r="D207" s="470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</row>
    <row r="208" spans="1:17" ht="19.5" customHeight="1" x14ac:dyDescent="0.25">
      <c r="A208" s="38"/>
      <c r="B208" s="38"/>
      <c r="C208" s="470"/>
      <c r="D208" s="470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</row>
    <row r="209" spans="1:17" ht="19.5" customHeight="1" x14ac:dyDescent="0.25">
      <c r="A209" s="38"/>
      <c r="B209" s="38"/>
      <c r="C209" s="470"/>
      <c r="D209" s="470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</row>
    <row r="210" spans="1:17" ht="19.5" customHeight="1" x14ac:dyDescent="0.25">
      <c r="A210" s="38"/>
      <c r="B210" s="38"/>
      <c r="C210" s="470"/>
      <c r="D210" s="470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</row>
    <row r="211" spans="1:17" ht="19.5" customHeight="1" x14ac:dyDescent="0.25">
      <c r="A211" s="38"/>
      <c r="B211" s="38"/>
      <c r="C211" s="470"/>
      <c r="D211" s="470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</row>
    <row r="212" spans="1:17" ht="19.5" customHeight="1" x14ac:dyDescent="0.25">
      <c r="A212" s="38"/>
      <c r="B212" s="38"/>
      <c r="C212" s="470"/>
      <c r="D212" s="470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</row>
    <row r="213" spans="1:17" ht="19.5" customHeight="1" x14ac:dyDescent="0.25">
      <c r="A213" s="38"/>
      <c r="B213" s="38"/>
      <c r="C213" s="470"/>
      <c r="D213" s="470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</row>
    <row r="214" spans="1:17" ht="19.5" customHeight="1" x14ac:dyDescent="0.25">
      <c r="A214" s="38"/>
      <c r="B214" s="38"/>
      <c r="C214" s="470"/>
      <c r="D214" s="470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</row>
    <row r="215" spans="1:17" ht="19.5" customHeight="1" x14ac:dyDescent="0.25">
      <c r="A215" s="38"/>
      <c r="B215" s="38"/>
      <c r="C215" s="470"/>
      <c r="D215" s="470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</row>
    <row r="216" spans="1:17" ht="19.5" customHeight="1" x14ac:dyDescent="0.25">
      <c r="A216" s="38"/>
      <c r="B216" s="38"/>
      <c r="C216" s="470"/>
      <c r="D216" s="470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</row>
    <row r="217" spans="1:17" ht="19.5" customHeight="1" x14ac:dyDescent="0.25">
      <c r="A217" s="38"/>
      <c r="B217" s="38"/>
      <c r="C217" s="470"/>
      <c r="D217" s="470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</row>
    <row r="218" spans="1:17" ht="19.5" customHeight="1" x14ac:dyDescent="0.25">
      <c r="A218" s="38"/>
      <c r="B218" s="38"/>
      <c r="C218" s="470"/>
      <c r="D218" s="470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</row>
    <row r="219" spans="1:17" ht="19.5" customHeight="1" x14ac:dyDescent="0.25">
      <c r="A219" s="38"/>
      <c r="B219" s="38"/>
      <c r="C219" s="470"/>
      <c r="D219" s="470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</row>
    <row r="220" spans="1:17" ht="19.5" customHeight="1" x14ac:dyDescent="0.25">
      <c r="A220" s="38"/>
      <c r="B220" s="38"/>
      <c r="C220" s="470"/>
      <c r="D220" s="470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</row>
    <row r="221" spans="1:17" ht="19.5" customHeight="1" x14ac:dyDescent="0.25">
      <c r="A221" s="38"/>
      <c r="B221" s="38"/>
      <c r="C221" s="470"/>
      <c r="D221" s="470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</row>
    <row r="222" spans="1:17" ht="19.5" customHeight="1" x14ac:dyDescent="0.25">
      <c r="A222" s="38"/>
      <c r="B222" s="38"/>
      <c r="C222" s="470"/>
      <c r="D222" s="470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</row>
    <row r="223" spans="1:17" ht="19.5" customHeight="1" x14ac:dyDescent="0.25">
      <c r="A223" s="38"/>
      <c r="B223" s="38"/>
      <c r="C223" s="470"/>
      <c r="D223" s="470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</row>
    <row r="224" spans="1:17" ht="19.5" customHeight="1" x14ac:dyDescent="0.25">
      <c r="A224" s="38"/>
      <c r="B224" s="38"/>
      <c r="C224" s="470"/>
      <c r="D224" s="470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</row>
    <row r="225" spans="1:17" ht="19.5" customHeight="1" x14ac:dyDescent="0.25">
      <c r="A225" s="38"/>
      <c r="B225" s="38"/>
      <c r="C225" s="470"/>
      <c r="D225" s="470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</row>
    <row r="226" spans="1:17" ht="19.5" customHeight="1" x14ac:dyDescent="0.25">
      <c r="A226" s="38"/>
      <c r="B226" s="38"/>
      <c r="C226" s="470"/>
      <c r="D226" s="470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</row>
    <row r="227" spans="1:17" ht="19.5" customHeight="1" x14ac:dyDescent="0.25">
      <c r="A227" s="38"/>
      <c r="B227" s="38"/>
      <c r="C227" s="470"/>
      <c r="D227" s="470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</row>
    <row r="228" spans="1:17" ht="19.5" customHeight="1" x14ac:dyDescent="0.25">
      <c r="A228" s="38"/>
      <c r="B228" s="38"/>
      <c r="C228" s="470"/>
      <c r="D228" s="470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</row>
    <row r="229" spans="1:17" ht="19.5" customHeight="1" x14ac:dyDescent="0.25">
      <c r="A229" s="38"/>
      <c r="B229" s="38"/>
      <c r="C229" s="470"/>
      <c r="D229" s="470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</row>
    <row r="230" spans="1:17" ht="19.5" customHeight="1" x14ac:dyDescent="0.25">
      <c r="A230" s="38"/>
      <c r="B230" s="38"/>
      <c r="C230" s="470"/>
      <c r="D230" s="470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</row>
    <row r="231" spans="1:17" ht="19.5" customHeight="1" x14ac:dyDescent="0.25">
      <c r="A231" s="38"/>
      <c r="B231" s="38"/>
      <c r="C231" s="470"/>
      <c r="D231" s="470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</row>
    <row r="232" spans="1:17" ht="19.5" customHeight="1" x14ac:dyDescent="0.25">
      <c r="A232" s="38"/>
      <c r="B232" s="38"/>
      <c r="C232" s="470"/>
      <c r="D232" s="470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</row>
    <row r="233" spans="1:17" ht="19.5" customHeight="1" x14ac:dyDescent="0.25">
      <c r="A233" s="38"/>
      <c r="B233" s="38"/>
      <c r="C233" s="470"/>
      <c r="D233" s="470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</row>
    <row r="234" spans="1:17" ht="19.5" customHeight="1" x14ac:dyDescent="0.25">
      <c r="A234" s="38"/>
      <c r="B234" s="38"/>
      <c r="C234" s="470"/>
      <c r="D234" s="470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</row>
    <row r="235" spans="1:17" ht="19.5" customHeight="1" x14ac:dyDescent="0.25">
      <c r="A235" s="38"/>
      <c r="B235" s="38"/>
      <c r="C235" s="470"/>
      <c r="D235" s="470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</row>
    <row r="236" spans="1:17" ht="19.5" customHeight="1" x14ac:dyDescent="0.25">
      <c r="A236" s="38"/>
      <c r="B236" s="38"/>
      <c r="C236" s="470"/>
      <c r="D236" s="470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</row>
    <row r="237" spans="1:17" ht="19.5" customHeight="1" x14ac:dyDescent="0.25">
      <c r="A237" s="38"/>
      <c r="B237" s="38"/>
      <c r="C237" s="470"/>
      <c r="D237" s="470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</row>
    <row r="238" spans="1:17" ht="19.5" customHeight="1" x14ac:dyDescent="0.25">
      <c r="A238" s="38"/>
      <c r="B238" s="38"/>
      <c r="C238" s="470"/>
      <c r="D238" s="470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</row>
    <row r="239" spans="1:17" ht="19.5" customHeight="1" x14ac:dyDescent="0.25">
      <c r="A239" s="38"/>
      <c r="B239" s="38"/>
      <c r="C239" s="470"/>
      <c r="D239" s="470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</row>
    <row r="240" spans="1:17" ht="19.5" customHeight="1" x14ac:dyDescent="0.25">
      <c r="A240" s="38"/>
      <c r="B240" s="38"/>
      <c r="C240" s="470"/>
      <c r="D240" s="470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</row>
    <row r="241" spans="1:17" ht="19.5" customHeight="1" x14ac:dyDescent="0.25">
      <c r="A241" s="38"/>
      <c r="B241" s="38"/>
      <c r="C241" s="470"/>
      <c r="D241" s="470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</row>
    <row r="242" spans="1:17" ht="19.5" customHeight="1" x14ac:dyDescent="0.25">
      <c r="A242" s="38"/>
      <c r="B242" s="38"/>
      <c r="C242" s="470"/>
      <c r="D242" s="470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</row>
    <row r="243" spans="1:17" ht="19.5" customHeight="1" x14ac:dyDescent="0.25">
      <c r="A243" s="38"/>
      <c r="B243" s="38"/>
      <c r="C243" s="470"/>
      <c r="D243" s="470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</row>
    <row r="244" spans="1:17" ht="19.5" customHeight="1" x14ac:dyDescent="0.25">
      <c r="A244" s="38"/>
      <c r="B244" s="38"/>
      <c r="C244" s="470"/>
      <c r="D244" s="470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</row>
    <row r="245" spans="1:17" ht="19.5" customHeight="1" x14ac:dyDescent="0.25">
      <c r="A245" s="38"/>
      <c r="B245" s="38"/>
      <c r="C245" s="470"/>
      <c r="D245" s="470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</row>
    <row r="246" spans="1:17" ht="19.5" customHeight="1" x14ac:dyDescent="0.25">
      <c r="A246" s="38"/>
      <c r="B246" s="38"/>
      <c r="C246" s="470"/>
      <c r="D246" s="470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</row>
    <row r="247" spans="1:17" ht="19.5" customHeight="1" x14ac:dyDescent="0.25">
      <c r="A247" s="38"/>
      <c r="B247" s="38"/>
      <c r="C247" s="470"/>
      <c r="D247" s="470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</row>
    <row r="248" spans="1:17" ht="19.5" customHeight="1" x14ac:dyDescent="0.25">
      <c r="A248" s="38"/>
      <c r="B248" s="38"/>
      <c r="C248" s="470"/>
      <c r="D248" s="470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</row>
    <row r="249" spans="1:17" ht="19.5" customHeight="1" x14ac:dyDescent="0.25">
      <c r="A249" s="38"/>
      <c r="B249" s="38"/>
      <c r="C249" s="470"/>
      <c r="D249" s="470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</row>
    <row r="250" spans="1:17" ht="19.5" customHeight="1" x14ac:dyDescent="0.25">
      <c r="A250" s="38"/>
      <c r="B250" s="38"/>
      <c r="C250" s="470"/>
      <c r="D250" s="470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</row>
    <row r="251" spans="1:17" ht="19.5" customHeight="1" x14ac:dyDescent="0.25">
      <c r="A251" s="38"/>
      <c r="B251" s="38"/>
      <c r="C251" s="470"/>
      <c r="D251" s="470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</row>
    <row r="252" spans="1:17" ht="19.5" customHeight="1" x14ac:dyDescent="0.25">
      <c r="A252" s="38"/>
      <c r="B252" s="38"/>
      <c r="C252" s="470"/>
      <c r="D252" s="470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</row>
    <row r="253" spans="1:17" ht="19.5" customHeight="1" x14ac:dyDescent="0.25">
      <c r="A253" s="38"/>
      <c r="B253" s="38"/>
      <c r="C253" s="470"/>
      <c r="D253" s="470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</row>
    <row r="254" spans="1:17" ht="19.5" customHeight="1" x14ac:dyDescent="0.25">
      <c r="A254" s="38"/>
      <c r="B254" s="38"/>
      <c r="C254" s="470"/>
      <c r="D254" s="470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</row>
    <row r="255" spans="1:17" ht="19.5" customHeight="1" x14ac:dyDescent="0.25">
      <c r="A255" s="38"/>
      <c r="B255" s="38"/>
      <c r="C255" s="470"/>
      <c r="D255" s="470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</row>
    <row r="256" spans="1:17" ht="19.5" customHeight="1" x14ac:dyDescent="0.25">
      <c r="A256" s="38"/>
      <c r="B256" s="38"/>
      <c r="C256" s="470"/>
      <c r="D256" s="470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</row>
    <row r="257" spans="1:17" ht="19.5" customHeight="1" x14ac:dyDescent="0.25">
      <c r="A257" s="38"/>
      <c r="B257" s="38"/>
      <c r="C257" s="470"/>
      <c r="D257" s="470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</row>
    <row r="258" spans="1:17" ht="19.5" customHeight="1" x14ac:dyDescent="0.25">
      <c r="A258" s="38"/>
      <c r="B258" s="38"/>
      <c r="C258" s="470"/>
      <c r="D258" s="470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</row>
    <row r="259" spans="1:17" ht="19.5" customHeight="1" x14ac:dyDescent="0.25">
      <c r="A259" s="38"/>
      <c r="B259" s="38"/>
      <c r="C259" s="470"/>
      <c r="D259" s="470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</row>
    <row r="260" spans="1:17" ht="19.5" customHeight="1" x14ac:dyDescent="0.25">
      <c r="A260" s="38"/>
      <c r="B260" s="38"/>
      <c r="C260" s="470"/>
      <c r="D260" s="470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</row>
    <row r="261" spans="1:17" ht="19.5" customHeight="1" x14ac:dyDescent="0.25">
      <c r="A261" s="38"/>
      <c r="B261" s="38"/>
      <c r="C261" s="470"/>
      <c r="D261" s="470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</row>
    <row r="262" spans="1:17" ht="19.5" customHeight="1" x14ac:dyDescent="0.25">
      <c r="A262" s="38"/>
      <c r="B262" s="38"/>
      <c r="C262" s="470"/>
      <c r="D262" s="470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</row>
    <row r="263" spans="1:17" ht="19.5" customHeight="1" x14ac:dyDescent="0.25">
      <c r="A263" s="38"/>
      <c r="B263" s="38"/>
      <c r="C263" s="470"/>
      <c r="D263" s="470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</row>
    <row r="264" spans="1:17" ht="19.5" customHeight="1" x14ac:dyDescent="0.25">
      <c r="A264" s="38"/>
      <c r="B264" s="38"/>
      <c r="C264" s="470"/>
      <c r="D264" s="470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</row>
    <row r="265" spans="1:17" ht="19.5" customHeight="1" x14ac:dyDescent="0.25">
      <c r="A265" s="38"/>
      <c r="B265" s="38"/>
      <c r="C265" s="470"/>
      <c r="D265" s="470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</row>
    <row r="266" spans="1:17" ht="19.5" customHeight="1" x14ac:dyDescent="0.25">
      <c r="A266" s="38"/>
      <c r="B266" s="38"/>
      <c r="C266" s="470"/>
      <c r="D266" s="470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</row>
    <row r="267" spans="1:17" ht="19.5" customHeight="1" x14ac:dyDescent="0.25">
      <c r="A267" s="38"/>
      <c r="B267" s="38"/>
      <c r="C267" s="470"/>
      <c r="D267" s="470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</row>
    <row r="268" spans="1:17" ht="19.5" customHeight="1" x14ac:dyDescent="0.25">
      <c r="A268" s="38"/>
      <c r="B268" s="38"/>
      <c r="C268" s="470"/>
      <c r="D268" s="470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</row>
    <row r="269" spans="1:17" ht="19.5" customHeight="1" x14ac:dyDescent="0.25">
      <c r="A269" s="38"/>
      <c r="B269" s="38"/>
      <c r="C269" s="470"/>
      <c r="D269" s="470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</row>
    <row r="270" spans="1:17" ht="19.5" customHeight="1" x14ac:dyDescent="0.25">
      <c r="A270" s="38"/>
      <c r="B270" s="38"/>
      <c r="C270" s="470"/>
      <c r="D270" s="470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</row>
    <row r="271" spans="1:17" ht="19.5" customHeight="1" x14ac:dyDescent="0.25">
      <c r="A271" s="38"/>
      <c r="B271" s="38"/>
      <c r="C271" s="470"/>
      <c r="D271" s="470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</row>
    <row r="272" spans="1:17" ht="19.5" customHeight="1" x14ac:dyDescent="0.25">
      <c r="A272" s="38"/>
      <c r="B272" s="38"/>
      <c r="C272" s="470"/>
      <c r="D272" s="470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</row>
    <row r="273" spans="1:17" ht="19.5" customHeight="1" x14ac:dyDescent="0.25">
      <c r="A273" s="38"/>
      <c r="B273" s="38"/>
      <c r="C273" s="470"/>
      <c r="D273" s="470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</row>
    <row r="274" spans="1:17" ht="19.5" customHeight="1" x14ac:dyDescent="0.25">
      <c r="A274" s="38"/>
      <c r="B274" s="38"/>
      <c r="C274" s="470"/>
      <c r="D274" s="470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</row>
    <row r="275" spans="1:17" ht="19.5" customHeight="1" x14ac:dyDescent="0.25">
      <c r="A275" s="38"/>
      <c r="B275" s="38"/>
      <c r="C275" s="470"/>
      <c r="D275" s="470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</row>
    <row r="276" spans="1:17" ht="19.5" customHeight="1" x14ac:dyDescent="0.25">
      <c r="A276" s="38"/>
      <c r="B276" s="38"/>
      <c r="C276" s="470"/>
      <c r="D276" s="470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</row>
    <row r="277" spans="1:17" ht="19.5" customHeight="1" x14ac:dyDescent="0.25">
      <c r="A277" s="38"/>
      <c r="B277" s="38"/>
      <c r="C277" s="470"/>
      <c r="D277" s="470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</row>
    <row r="278" spans="1:17" ht="19.5" customHeight="1" x14ac:dyDescent="0.25">
      <c r="A278" s="38"/>
      <c r="B278" s="38"/>
      <c r="C278" s="470"/>
      <c r="D278" s="470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</row>
    <row r="279" spans="1:17" ht="19.5" customHeight="1" x14ac:dyDescent="0.25">
      <c r="A279" s="38"/>
      <c r="B279" s="38"/>
      <c r="C279" s="470"/>
      <c r="D279" s="470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</row>
    <row r="280" spans="1:17" ht="19.5" customHeight="1" x14ac:dyDescent="0.25">
      <c r="A280" s="38"/>
      <c r="B280" s="38"/>
      <c r="C280" s="470"/>
      <c r="D280" s="470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</row>
    <row r="281" spans="1:17" ht="19.5" customHeight="1" x14ac:dyDescent="0.25">
      <c r="A281" s="38"/>
      <c r="B281" s="38"/>
      <c r="C281" s="470"/>
      <c r="D281" s="470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</row>
    <row r="282" spans="1:17" ht="19.5" customHeight="1" x14ac:dyDescent="0.25">
      <c r="A282" s="38"/>
      <c r="B282" s="38"/>
      <c r="C282" s="470"/>
      <c r="D282" s="470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</row>
    <row r="283" spans="1:17" ht="19.5" customHeight="1" x14ac:dyDescent="0.25">
      <c r="A283" s="38"/>
      <c r="B283" s="38"/>
      <c r="C283" s="470"/>
      <c r="D283" s="470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</row>
    <row r="284" spans="1:17" ht="19.5" customHeight="1" x14ac:dyDescent="0.25">
      <c r="A284" s="38"/>
      <c r="B284" s="38"/>
      <c r="C284" s="470"/>
      <c r="D284" s="470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</row>
    <row r="285" spans="1:17" ht="19.5" customHeight="1" x14ac:dyDescent="0.25">
      <c r="A285" s="38"/>
      <c r="B285" s="38"/>
      <c r="C285" s="470"/>
      <c r="D285" s="470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</row>
    <row r="286" spans="1:17" ht="19.5" customHeight="1" x14ac:dyDescent="0.25">
      <c r="A286" s="38"/>
      <c r="B286" s="38"/>
      <c r="C286" s="470"/>
      <c r="D286" s="470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</row>
    <row r="287" spans="1:17" ht="19.5" customHeight="1" x14ac:dyDescent="0.25">
      <c r="A287" s="38"/>
      <c r="B287" s="38"/>
      <c r="C287" s="470"/>
      <c r="D287" s="470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</row>
    <row r="288" spans="1:17" ht="19.5" customHeight="1" x14ac:dyDescent="0.25">
      <c r="A288" s="38"/>
      <c r="B288" s="38"/>
      <c r="C288" s="470"/>
      <c r="D288" s="470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</row>
    <row r="289" spans="1:17" ht="19.5" customHeight="1" x14ac:dyDescent="0.25">
      <c r="A289" s="38"/>
      <c r="B289" s="38"/>
      <c r="C289" s="470"/>
      <c r="D289" s="470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</row>
    <row r="290" spans="1:17" ht="19.5" customHeight="1" x14ac:dyDescent="0.25">
      <c r="A290" s="38"/>
      <c r="B290" s="38"/>
      <c r="C290" s="470"/>
      <c r="D290" s="470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</row>
    <row r="291" spans="1:17" ht="19.5" customHeight="1" x14ac:dyDescent="0.25">
      <c r="A291" s="38"/>
      <c r="B291" s="38"/>
      <c r="C291" s="470"/>
      <c r="D291" s="470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</row>
    <row r="292" spans="1:17" ht="19.5" customHeight="1" x14ac:dyDescent="0.25">
      <c r="A292" s="38"/>
      <c r="B292" s="38"/>
      <c r="C292" s="470"/>
      <c r="D292" s="470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</row>
    <row r="293" spans="1:17" ht="19.5" customHeight="1" x14ac:dyDescent="0.25">
      <c r="A293" s="38"/>
      <c r="B293" s="38"/>
      <c r="C293" s="470"/>
      <c r="D293" s="470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</row>
    <row r="294" spans="1:17" ht="19.5" customHeight="1" x14ac:dyDescent="0.25">
      <c r="A294" s="38"/>
      <c r="B294" s="38"/>
      <c r="C294" s="470"/>
      <c r="D294" s="470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</row>
    <row r="295" spans="1:17" ht="19.5" customHeight="1" x14ac:dyDescent="0.25">
      <c r="A295" s="38"/>
      <c r="B295" s="38"/>
      <c r="C295" s="470"/>
      <c r="D295" s="470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</row>
    <row r="296" spans="1:17" ht="19.5" customHeight="1" x14ac:dyDescent="0.25">
      <c r="A296" s="38"/>
      <c r="B296" s="38"/>
      <c r="C296" s="470"/>
      <c r="D296" s="470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</row>
    <row r="297" spans="1:17" ht="19.5" customHeight="1" x14ac:dyDescent="0.25">
      <c r="A297" s="38"/>
      <c r="B297" s="38"/>
      <c r="C297" s="470"/>
      <c r="D297" s="470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</row>
    <row r="298" spans="1:17" ht="19.5" customHeight="1" x14ac:dyDescent="0.25">
      <c r="A298" s="38"/>
      <c r="B298" s="38"/>
      <c r="C298" s="470"/>
      <c r="D298" s="470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</row>
    <row r="299" spans="1:17" ht="19.5" customHeight="1" x14ac:dyDescent="0.25">
      <c r="A299" s="38"/>
      <c r="B299" s="38"/>
      <c r="C299" s="470"/>
      <c r="D299" s="470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</row>
    <row r="300" spans="1:17" ht="19.5" customHeight="1" x14ac:dyDescent="0.25">
      <c r="A300" s="38"/>
      <c r="B300" s="38"/>
      <c r="C300" s="470"/>
      <c r="D300" s="470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</row>
    <row r="301" spans="1:17" ht="19.5" customHeight="1" x14ac:dyDescent="0.25">
      <c r="A301" s="38"/>
      <c r="B301" s="38"/>
      <c r="C301" s="470"/>
      <c r="D301" s="470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</row>
    <row r="302" spans="1:17" ht="19.5" customHeight="1" x14ac:dyDescent="0.25">
      <c r="A302" s="38"/>
      <c r="B302" s="38"/>
      <c r="C302" s="470"/>
      <c r="D302" s="470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</row>
    <row r="303" spans="1:17" ht="19.5" customHeight="1" x14ac:dyDescent="0.25">
      <c r="A303" s="38"/>
      <c r="B303" s="38"/>
      <c r="C303" s="470"/>
      <c r="D303" s="470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</row>
    <row r="304" spans="1:17" ht="19.5" customHeight="1" x14ac:dyDescent="0.25">
      <c r="A304" s="38"/>
      <c r="B304" s="38"/>
      <c r="C304" s="470"/>
      <c r="D304" s="470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</row>
    <row r="305" spans="1:17" ht="19.5" customHeight="1" x14ac:dyDescent="0.25">
      <c r="A305" s="38"/>
      <c r="B305" s="38"/>
      <c r="C305" s="470"/>
      <c r="D305" s="470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</row>
    <row r="306" spans="1:17" ht="19.5" customHeight="1" x14ac:dyDescent="0.25">
      <c r="A306" s="38"/>
      <c r="B306" s="38"/>
      <c r="C306" s="470"/>
      <c r="D306" s="470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</row>
    <row r="307" spans="1:17" ht="19.5" customHeight="1" x14ac:dyDescent="0.25">
      <c r="A307" s="38"/>
      <c r="B307" s="38"/>
      <c r="C307" s="470"/>
      <c r="D307" s="470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</row>
    <row r="308" spans="1:17" ht="19.5" customHeight="1" x14ac:dyDescent="0.25">
      <c r="A308" s="38"/>
      <c r="B308" s="38"/>
      <c r="C308" s="470"/>
      <c r="D308" s="470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</row>
    <row r="309" spans="1:17" ht="19.5" customHeight="1" x14ac:dyDescent="0.25">
      <c r="A309" s="38"/>
      <c r="B309" s="38"/>
      <c r="C309" s="470"/>
      <c r="D309" s="470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</row>
    <row r="310" spans="1:17" ht="19.5" customHeight="1" x14ac:dyDescent="0.25">
      <c r="A310" s="38"/>
      <c r="B310" s="38"/>
      <c r="C310" s="470"/>
      <c r="D310" s="470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</row>
    <row r="311" spans="1:17" ht="19.5" customHeight="1" x14ac:dyDescent="0.25">
      <c r="A311" s="38"/>
      <c r="B311" s="38"/>
      <c r="C311" s="470"/>
      <c r="D311" s="470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</row>
    <row r="312" spans="1:17" ht="19.5" customHeight="1" x14ac:dyDescent="0.25">
      <c r="A312" s="38"/>
      <c r="B312" s="38"/>
      <c r="C312" s="470"/>
      <c r="D312" s="470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</row>
    <row r="313" spans="1:17" ht="19.5" customHeight="1" x14ac:dyDescent="0.25">
      <c r="A313" s="38"/>
      <c r="B313" s="38"/>
      <c r="C313" s="470"/>
      <c r="D313" s="470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</row>
    <row r="314" spans="1:17" ht="19.5" customHeight="1" x14ac:dyDescent="0.25">
      <c r="A314" s="38"/>
      <c r="B314" s="38"/>
      <c r="C314" s="470"/>
      <c r="D314" s="470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</row>
    <row r="315" spans="1:17" ht="19.5" customHeight="1" x14ac:dyDescent="0.25">
      <c r="A315" s="38"/>
      <c r="B315" s="38"/>
      <c r="C315" s="470"/>
      <c r="D315" s="470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</row>
    <row r="316" spans="1:17" ht="19.5" customHeight="1" x14ac:dyDescent="0.25">
      <c r="A316" s="38"/>
      <c r="B316" s="38"/>
      <c r="C316" s="470"/>
      <c r="D316" s="470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</row>
    <row r="317" spans="1:17" ht="19.5" customHeight="1" x14ac:dyDescent="0.25">
      <c r="A317" s="38"/>
      <c r="B317" s="38"/>
      <c r="C317" s="470"/>
      <c r="D317" s="470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</row>
    <row r="318" spans="1:17" ht="19.5" customHeight="1" x14ac:dyDescent="0.25">
      <c r="A318" s="38"/>
      <c r="B318" s="38"/>
      <c r="C318" s="470"/>
      <c r="D318" s="470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</row>
    <row r="319" spans="1:17" ht="19.5" customHeight="1" x14ac:dyDescent="0.25">
      <c r="A319" s="38"/>
      <c r="B319" s="38"/>
      <c r="C319" s="470"/>
      <c r="D319" s="470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</row>
    <row r="320" spans="1:17" ht="19.5" customHeight="1" x14ac:dyDescent="0.25">
      <c r="A320" s="38"/>
      <c r="B320" s="38"/>
      <c r="C320" s="470"/>
      <c r="D320" s="470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</row>
    <row r="321" spans="1:17" ht="19.5" customHeight="1" x14ac:dyDescent="0.25">
      <c r="A321" s="38"/>
      <c r="B321" s="38"/>
      <c r="C321" s="470"/>
      <c r="D321" s="470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</row>
    <row r="322" spans="1:17" ht="19.5" customHeight="1" x14ac:dyDescent="0.25">
      <c r="A322" s="38"/>
      <c r="B322" s="38"/>
      <c r="C322" s="470"/>
      <c r="D322" s="470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</row>
    <row r="323" spans="1:17" ht="19.5" customHeight="1" x14ac:dyDescent="0.25">
      <c r="A323" s="38"/>
      <c r="B323" s="38"/>
      <c r="C323" s="470"/>
      <c r="D323" s="470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</row>
    <row r="324" spans="1:17" ht="19.5" customHeight="1" x14ac:dyDescent="0.25">
      <c r="A324" s="38"/>
      <c r="B324" s="38"/>
      <c r="C324" s="470"/>
      <c r="D324" s="470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</row>
    <row r="325" spans="1:17" ht="19.5" customHeight="1" x14ac:dyDescent="0.25">
      <c r="A325" s="38"/>
      <c r="B325" s="38"/>
      <c r="C325" s="470"/>
      <c r="D325" s="470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</row>
    <row r="326" spans="1:17" ht="19.5" customHeight="1" x14ac:dyDescent="0.25">
      <c r="A326" s="38"/>
      <c r="B326" s="38"/>
      <c r="C326" s="470"/>
      <c r="D326" s="470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</row>
    <row r="327" spans="1:17" ht="19.5" customHeight="1" x14ac:dyDescent="0.25">
      <c r="A327" s="38"/>
      <c r="B327" s="38"/>
      <c r="C327" s="470"/>
      <c r="D327" s="470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</row>
    <row r="328" spans="1:17" ht="19.5" customHeight="1" x14ac:dyDescent="0.25">
      <c r="A328" s="38"/>
      <c r="B328" s="38"/>
      <c r="C328" s="470"/>
      <c r="D328" s="470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</row>
    <row r="329" spans="1:17" ht="19.5" customHeight="1" x14ac:dyDescent="0.25">
      <c r="A329" s="38"/>
      <c r="B329" s="38"/>
      <c r="C329" s="470"/>
      <c r="D329" s="470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</row>
    <row r="330" spans="1:17" ht="19.5" customHeight="1" x14ac:dyDescent="0.25">
      <c r="A330" s="38"/>
      <c r="B330" s="38"/>
      <c r="C330" s="470"/>
      <c r="D330" s="470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</row>
    <row r="331" spans="1:17" ht="19.5" customHeight="1" x14ac:dyDescent="0.25">
      <c r="A331" s="38"/>
      <c r="B331" s="38"/>
      <c r="C331" s="470"/>
      <c r="D331" s="470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</row>
    <row r="332" spans="1:17" ht="19.5" customHeight="1" x14ac:dyDescent="0.25">
      <c r="A332" s="38"/>
      <c r="B332" s="38"/>
      <c r="C332" s="470"/>
      <c r="D332" s="470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</row>
    <row r="333" spans="1:17" ht="19.5" customHeight="1" x14ac:dyDescent="0.25">
      <c r="A333" s="38"/>
      <c r="B333" s="38"/>
      <c r="C333" s="470"/>
      <c r="D333" s="470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</row>
    <row r="334" spans="1:17" ht="19.5" customHeight="1" x14ac:dyDescent="0.25">
      <c r="A334" s="38"/>
      <c r="B334" s="38"/>
      <c r="C334" s="470"/>
      <c r="D334" s="470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</row>
    <row r="335" spans="1:17" ht="19.5" customHeight="1" x14ac:dyDescent="0.25">
      <c r="A335" s="38"/>
      <c r="B335" s="38"/>
      <c r="C335" s="470"/>
      <c r="D335" s="470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</row>
    <row r="336" spans="1:17" ht="19.5" customHeight="1" x14ac:dyDescent="0.25">
      <c r="A336" s="38"/>
      <c r="B336" s="38"/>
      <c r="C336" s="470"/>
      <c r="D336" s="470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</row>
    <row r="337" spans="1:17" ht="19.5" customHeight="1" x14ac:dyDescent="0.25">
      <c r="A337" s="38"/>
      <c r="B337" s="38"/>
      <c r="C337" s="470"/>
      <c r="D337" s="470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</row>
    <row r="338" spans="1:17" ht="19.5" customHeight="1" x14ac:dyDescent="0.25">
      <c r="A338" s="38"/>
      <c r="B338" s="38"/>
      <c r="C338" s="470"/>
      <c r="D338" s="470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</row>
    <row r="339" spans="1:17" ht="19.5" customHeight="1" x14ac:dyDescent="0.25">
      <c r="A339" s="38"/>
      <c r="B339" s="38"/>
      <c r="C339" s="470"/>
      <c r="D339" s="470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</row>
    <row r="340" spans="1:17" ht="19.5" customHeight="1" x14ac:dyDescent="0.25">
      <c r="A340" s="38"/>
      <c r="B340" s="38"/>
      <c r="C340" s="470"/>
      <c r="D340" s="470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</row>
    <row r="341" spans="1:17" ht="19.5" customHeight="1" x14ac:dyDescent="0.25">
      <c r="A341" s="38"/>
      <c r="B341" s="38"/>
      <c r="C341" s="470"/>
      <c r="D341" s="470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</row>
    <row r="342" spans="1:17" ht="19.5" customHeight="1" x14ac:dyDescent="0.25">
      <c r="A342" s="38"/>
      <c r="B342" s="38"/>
      <c r="C342" s="470"/>
      <c r="D342" s="470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</row>
    <row r="343" spans="1:17" ht="19.5" customHeight="1" x14ac:dyDescent="0.25">
      <c r="A343" s="38"/>
      <c r="B343" s="38"/>
      <c r="C343" s="470"/>
      <c r="D343" s="470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</row>
    <row r="344" spans="1:17" ht="19.5" customHeight="1" x14ac:dyDescent="0.25">
      <c r="A344" s="38"/>
      <c r="B344" s="38"/>
      <c r="C344" s="470"/>
      <c r="D344" s="470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</row>
    <row r="345" spans="1:17" ht="19.5" customHeight="1" x14ac:dyDescent="0.25">
      <c r="A345" s="38"/>
      <c r="B345" s="38"/>
      <c r="C345" s="470"/>
      <c r="D345" s="470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</row>
    <row r="346" spans="1:17" ht="19.5" customHeight="1" x14ac:dyDescent="0.25">
      <c r="A346" s="38"/>
      <c r="B346" s="38"/>
      <c r="C346" s="470"/>
      <c r="D346" s="470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</row>
    <row r="347" spans="1:17" ht="19.5" customHeight="1" x14ac:dyDescent="0.25">
      <c r="A347" s="38"/>
      <c r="B347" s="38"/>
      <c r="C347" s="470"/>
      <c r="D347" s="470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</row>
    <row r="348" spans="1:17" ht="19.5" customHeight="1" x14ac:dyDescent="0.25">
      <c r="A348" s="38"/>
      <c r="B348" s="38"/>
      <c r="C348" s="470"/>
      <c r="D348" s="470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</row>
    <row r="349" spans="1:17" ht="19.5" customHeight="1" x14ac:dyDescent="0.25">
      <c r="A349" s="38"/>
      <c r="B349" s="38"/>
      <c r="C349" s="470"/>
      <c r="D349" s="470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</row>
    <row r="350" spans="1:17" ht="19.5" customHeight="1" x14ac:dyDescent="0.25">
      <c r="A350" s="38"/>
      <c r="B350" s="38"/>
      <c r="C350" s="470"/>
      <c r="D350" s="470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</row>
    <row r="351" spans="1:17" ht="19.5" customHeight="1" x14ac:dyDescent="0.25">
      <c r="A351" s="38"/>
      <c r="B351" s="38"/>
      <c r="C351" s="470"/>
      <c r="D351" s="470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</row>
    <row r="352" spans="1:17" ht="19.5" customHeight="1" x14ac:dyDescent="0.25">
      <c r="A352" s="38"/>
      <c r="B352" s="38"/>
      <c r="C352" s="470"/>
      <c r="D352" s="470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</row>
    <row r="353" spans="1:17" ht="19.5" customHeight="1" x14ac:dyDescent="0.25">
      <c r="A353" s="38"/>
      <c r="B353" s="38"/>
      <c r="C353" s="470"/>
      <c r="D353" s="470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</row>
    <row r="354" spans="1:17" ht="19.5" customHeight="1" x14ac:dyDescent="0.25">
      <c r="A354" s="38"/>
      <c r="B354" s="38"/>
      <c r="C354" s="470"/>
      <c r="D354" s="470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</row>
    <row r="355" spans="1:17" ht="19.5" customHeight="1" x14ac:dyDescent="0.25">
      <c r="A355" s="38"/>
      <c r="B355" s="38"/>
      <c r="C355" s="470"/>
      <c r="D355" s="470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</row>
    <row r="356" spans="1:17" ht="19.5" customHeight="1" x14ac:dyDescent="0.25">
      <c r="A356" s="38"/>
      <c r="B356" s="38"/>
      <c r="C356" s="470"/>
      <c r="D356" s="470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</row>
    <row r="357" spans="1:17" ht="19.5" customHeight="1" x14ac:dyDescent="0.25">
      <c r="A357" s="38"/>
      <c r="B357" s="38"/>
      <c r="C357" s="470"/>
      <c r="D357" s="470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</row>
    <row r="358" spans="1:17" ht="19.5" customHeight="1" x14ac:dyDescent="0.25">
      <c r="A358" s="38"/>
      <c r="B358" s="38"/>
      <c r="C358" s="470"/>
      <c r="D358" s="470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</row>
    <row r="359" spans="1:17" ht="19.5" customHeight="1" x14ac:dyDescent="0.25">
      <c r="A359" s="38"/>
      <c r="B359" s="38"/>
      <c r="C359" s="470"/>
      <c r="D359" s="470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</row>
    <row r="360" spans="1:17" ht="19.5" customHeight="1" x14ac:dyDescent="0.25">
      <c r="A360" s="38"/>
      <c r="B360" s="38"/>
      <c r="C360" s="470"/>
      <c r="D360" s="470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</row>
    <row r="361" spans="1:17" ht="19.5" customHeight="1" x14ac:dyDescent="0.25">
      <c r="A361" s="38"/>
      <c r="B361" s="38"/>
      <c r="C361" s="470"/>
      <c r="D361" s="470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</row>
    <row r="362" spans="1:17" ht="19.5" customHeight="1" x14ac:dyDescent="0.25">
      <c r="A362" s="38"/>
      <c r="B362" s="38"/>
      <c r="C362" s="470"/>
      <c r="D362" s="470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</row>
    <row r="363" spans="1:17" ht="19.5" customHeight="1" x14ac:dyDescent="0.25">
      <c r="A363" s="38"/>
      <c r="B363" s="38"/>
      <c r="C363" s="470"/>
      <c r="D363" s="470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</row>
    <row r="364" spans="1:17" ht="19.5" customHeight="1" x14ac:dyDescent="0.25">
      <c r="A364" s="38"/>
      <c r="B364" s="38"/>
      <c r="C364" s="470"/>
      <c r="D364" s="470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</row>
    <row r="365" spans="1:17" ht="19.5" customHeight="1" x14ac:dyDescent="0.25">
      <c r="A365" s="38"/>
      <c r="B365" s="38"/>
      <c r="C365" s="470"/>
      <c r="D365" s="470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</row>
    <row r="366" spans="1:17" ht="19.5" customHeight="1" x14ac:dyDescent="0.25">
      <c r="A366" s="38"/>
      <c r="B366" s="38"/>
      <c r="C366" s="470"/>
      <c r="D366" s="470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</row>
    <row r="367" spans="1:17" ht="19.5" customHeight="1" x14ac:dyDescent="0.25">
      <c r="A367" s="38"/>
      <c r="B367" s="38"/>
      <c r="C367" s="470"/>
      <c r="D367" s="470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</row>
    <row r="368" spans="1:17" ht="19.5" customHeight="1" x14ac:dyDescent="0.25">
      <c r="A368" s="38"/>
      <c r="B368" s="38"/>
      <c r="C368" s="470"/>
      <c r="D368" s="470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</row>
    <row r="369" spans="1:17" ht="19.5" customHeight="1" x14ac:dyDescent="0.25">
      <c r="A369" s="38"/>
      <c r="B369" s="38"/>
      <c r="C369" s="470"/>
      <c r="D369" s="470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</row>
    <row r="370" spans="1:17" ht="19.5" customHeight="1" x14ac:dyDescent="0.25">
      <c r="A370" s="38"/>
      <c r="B370" s="38"/>
      <c r="C370" s="470"/>
      <c r="D370" s="470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</row>
    <row r="371" spans="1:17" ht="19.5" customHeight="1" x14ac:dyDescent="0.25">
      <c r="A371" s="38"/>
      <c r="B371" s="38"/>
      <c r="C371" s="470"/>
      <c r="D371" s="470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</row>
    <row r="372" spans="1:17" ht="19.5" customHeight="1" x14ac:dyDescent="0.25">
      <c r="A372" s="38"/>
      <c r="B372" s="38"/>
      <c r="C372" s="470"/>
      <c r="D372" s="470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</row>
    <row r="373" spans="1:17" ht="19.5" customHeight="1" x14ac:dyDescent="0.25">
      <c r="A373" s="38"/>
      <c r="B373" s="38"/>
      <c r="C373" s="470"/>
      <c r="D373" s="470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</row>
    <row r="374" spans="1:17" ht="19.5" customHeight="1" x14ac:dyDescent="0.25">
      <c r="A374" s="38"/>
      <c r="B374" s="38"/>
      <c r="C374" s="470"/>
      <c r="D374" s="470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</row>
    <row r="375" spans="1:17" ht="19.5" customHeight="1" x14ac:dyDescent="0.25">
      <c r="A375" s="38"/>
      <c r="B375" s="38"/>
      <c r="C375" s="470"/>
      <c r="D375" s="470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</row>
    <row r="376" spans="1:17" ht="19.5" customHeight="1" x14ac:dyDescent="0.25">
      <c r="A376" s="38"/>
      <c r="B376" s="38"/>
      <c r="C376" s="470"/>
      <c r="D376" s="470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</row>
    <row r="377" spans="1:17" ht="19.5" customHeight="1" x14ac:dyDescent="0.25">
      <c r="A377" s="38"/>
      <c r="B377" s="38"/>
      <c r="C377" s="470"/>
      <c r="D377" s="470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</row>
    <row r="378" spans="1:17" ht="19.5" customHeight="1" x14ac:dyDescent="0.25">
      <c r="A378" s="38"/>
      <c r="B378" s="38"/>
      <c r="C378" s="470"/>
      <c r="D378" s="470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</row>
    <row r="379" spans="1:17" ht="19.5" customHeight="1" x14ac:dyDescent="0.25">
      <c r="A379" s="38"/>
      <c r="B379" s="38"/>
      <c r="C379" s="470"/>
      <c r="D379" s="470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</row>
    <row r="380" spans="1:17" ht="19.5" customHeight="1" x14ac:dyDescent="0.25">
      <c r="A380" s="38"/>
      <c r="B380" s="38"/>
      <c r="C380" s="470"/>
      <c r="D380" s="470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</row>
    <row r="381" spans="1:17" ht="19.5" customHeight="1" x14ac:dyDescent="0.25">
      <c r="A381" s="38"/>
      <c r="B381" s="38"/>
      <c r="C381" s="470"/>
      <c r="D381" s="470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</row>
    <row r="382" spans="1:17" ht="19.5" customHeight="1" x14ac:dyDescent="0.25">
      <c r="A382" s="38"/>
      <c r="B382" s="38"/>
      <c r="C382" s="470"/>
      <c r="D382" s="470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</row>
    <row r="383" spans="1:17" ht="19.5" customHeight="1" x14ac:dyDescent="0.25">
      <c r="A383" s="38"/>
      <c r="B383" s="38"/>
      <c r="C383" s="470"/>
      <c r="D383" s="470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</row>
    <row r="384" spans="1:17" ht="19.5" customHeight="1" x14ac:dyDescent="0.25">
      <c r="A384" s="38"/>
      <c r="B384" s="38"/>
      <c r="C384" s="470"/>
      <c r="D384" s="470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</row>
    <row r="385" spans="1:17" ht="19.5" customHeight="1" x14ac:dyDescent="0.25">
      <c r="A385" s="38"/>
      <c r="B385" s="38"/>
      <c r="C385" s="470"/>
      <c r="D385" s="470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</row>
    <row r="386" spans="1:17" ht="19.5" customHeight="1" x14ac:dyDescent="0.25">
      <c r="A386" s="38"/>
      <c r="B386" s="38"/>
      <c r="C386" s="470"/>
      <c r="D386" s="470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</row>
    <row r="387" spans="1:17" ht="19.5" customHeight="1" x14ac:dyDescent="0.25">
      <c r="A387" s="38"/>
      <c r="B387" s="38"/>
      <c r="C387" s="470"/>
      <c r="D387" s="470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</row>
    <row r="388" spans="1:17" ht="19.5" customHeight="1" x14ac:dyDescent="0.25">
      <c r="A388" s="38"/>
      <c r="B388" s="38"/>
      <c r="C388" s="470"/>
      <c r="D388" s="470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</row>
    <row r="389" spans="1:17" ht="19.5" customHeight="1" x14ac:dyDescent="0.25">
      <c r="A389" s="38"/>
      <c r="B389" s="38"/>
      <c r="C389" s="470"/>
      <c r="D389" s="470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</row>
    <row r="390" spans="1:17" ht="19.5" customHeight="1" x14ac:dyDescent="0.25">
      <c r="A390" s="38"/>
      <c r="B390" s="38"/>
      <c r="C390" s="470"/>
      <c r="D390" s="470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</row>
    <row r="391" spans="1:17" ht="19.5" customHeight="1" x14ac:dyDescent="0.25">
      <c r="A391" s="38"/>
      <c r="B391" s="38"/>
      <c r="C391" s="470"/>
      <c r="D391" s="470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</row>
    <row r="392" spans="1:17" ht="19.5" customHeight="1" x14ac:dyDescent="0.25">
      <c r="A392" s="38"/>
      <c r="B392" s="38"/>
      <c r="C392" s="470"/>
      <c r="D392" s="470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</row>
    <row r="393" spans="1:17" ht="19.5" customHeight="1" x14ac:dyDescent="0.25">
      <c r="A393" s="38"/>
      <c r="B393" s="38"/>
      <c r="C393" s="470"/>
      <c r="D393" s="470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</row>
    <row r="394" spans="1:17" ht="19.5" customHeight="1" x14ac:dyDescent="0.25">
      <c r="A394" s="38"/>
      <c r="B394" s="38"/>
      <c r="C394" s="470"/>
      <c r="D394" s="470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</row>
    <row r="395" spans="1:17" ht="19.5" customHeight="1" x14ac:dyDescent="0.25">
      <c r="A395" s="38"/>
      <c r="B395" s="38"/>
      <c r="C395" s="470"/>
      <c r="D395" s="470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</row>
    <row r="396" spans="1:17" ht="19.5" customHeight="1" x14ac:dyDescent="0.25">
      <c r="A396" s="38"/>
      <c r="B396" s="38"/>
      <c r="C396" s="470"/>
      <c r="D396" s="470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</row>
    <row r="397" spans="1:17" ht="19.5" customHeight="1" x14ac:dyDescent="0.25">
      <c r="A397" s="38"/>
      <c r="B397" s="38"/>
      <c r="C397" s="470"/>
      <c r="D397" s="470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</row>
    <row r="398" spans="1:17" ht="19.5" customHeight="1" x14ac:dyDescent="0.25">
      <c r="A398" s="38"/>
      <c r="B398" s="38"/>
      <c r="C398" s="470"/>
      <c r="D398" s="470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</row>
    <row r="399" spans="1:17" ht="19.5" customHeight="1" x14ac:dyDescent="0.25">
      <c r="A399" s="38"/>
      <c r="B399" s="38"/>
      <c r="C399" s="470"/>
      <c r="D399" s="470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</row>
    <row r="400" spans="1:17" ht="19.5" customHeight="1" x14ac:dyDescent="0.25">
      <c r="A400" s="38"/>
      <c r="B400" s="38"/>
      <c r="C400" s="470"/>
      <c r="D400" s="470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</row>
    <row r="401" spans="1:17" ht="19.5" customHeight="1" x14ac:dyDescent="0.25">
      <c r="A401" s="38"/>
      <c r="B401" s="38"/>
      <c r="C401" s="470"/>
      <c r="D401" s="470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</row>
    <row r="402" spans="1:17" ht="19.5" customHeight="1" x14ac:dyDescent="0.25">
      <c r="A402" s="38"/>
      <c r="B402" s="38"/>
      <c r="C402" s="470"/>
      <c r="D402" s="470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</row>
    <row r="403" spans="1:17" ht="19.5" customHeight="1" x14ac:dyDescent="0.25">
      <c r="A403" s="38"/>
      <c r="B403" s="38"/>
      <c r="C403" s="470"/>
      <c r="D403" s="470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</row>
    <row r="404" spans="1:17" ht="19.5" customHeight="1" x14ac:dyDescent="0.25">
      <c r="A404" s="38"/>
      <c r="B404" s="38"/>
      <c r="C404" s="470"/>
      <c r="D404" s="470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</row>
    <row r="405" spans="1:17" ht="19.5" customHeight="1" x14ac:dyDescent="0.25">
      <c r="A405" s="38"/>
      <c r="B405" s="38"/>
      <c r="C405" s="470"/>
      <c r="D405" s="470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</row>
    <row r="406" spans="1:17" ht="19.5" customHeight="1" x14ac:dyDescent="0.25">
      <c r="A406" s="38"/>
      <c r="B406" s="38"/>
      <c r="C406" s="470"/>
      <c r="D406" s="470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</row>
    <row r="407" spans="1:17" ht="19.5" customHeight="1" x14ac:dyDescent="0.25">
      <c r="A407" s="38"/>
      <c r="B407" s="38"/>
      <c r="C407" s="470"/>
      <c r="D407" s="470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</row>
    <row r="408" spans="1:17" ht="19.5" customHeight="1" x14ac:dyDescent="0.25">
      <c r="A408" s="38"/>
      <c r="B408" s="38"/>
      <c r="C408" s="470"/>
      <c r="D408" s="470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</row>
    <row r="409" spans="1:17" ht="19.5" customHeight="1" x14ac:dyDescent="0.25">
      <c r="A409" s="38"/>
      <c r="B409" s="38"/>
      <c r="C409" s="470"/>
      <c r="D409" s="470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</row>
    <row r="410" spans="1:17" ht="19.5" customHeight="1" x14ac:dyDescent="0.25">
      <c r="A410" s="38"/>
      <c r="B410" s="38"/>
      <c r="C410" s="470"/>
      <c r="D410" s="470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</row>
    <row r="411" spans="1:17" ht="19.5" customHeight="1" x14ac:dyDescent="0.25">
      <c r="A411" s="38"/>
      <c r="B411" s="38"/>
      <c r="C411" s="470"/>
      <c r="D411" s="470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</row>
    <row r="412" spans="1:17" ht="19.5" customHeight="1" x14ac:dyDescent="0.25">
      <c r="A412" s="38"/>
      <c r="B412" s="38"/>
      <c r="C412" s="470"/>
      <c r="D412" s="470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</row>
    <row r="413" spans="1:17" ht="19.5" customHeight="1" x14ac:dyDescent="0.25">
      <c r="A413" s="38"/>
      <c r="B413" s="38"/>
      <c r="C413" s="470"/>
      <c r="D413" s="470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</row>
    <row r="414" spans="1:17" ht="19.5" customHeight="1" x14ac:dyDescent="0.25">
      <c r="A414" s="38"/>
      <c r="B414" s="38"/>
      <c r="C414" s="470"/>
      <c r="D414" s="470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</row>
    <row r="415" spans="1:17" ht="19.5" customHeight="1" x14ac:dyDescent="0.25">
      <c r="A415" s="38"/>
      <c r="B415" s="38"/>
      <c r="C415" s="470"/>
      <c r="D415" s="470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</row>
    <row r="416" spans="1:17" ht="19.5" customHeight="1" x14ac:dyDescent="0.25">
      <c r="A416" s="38"/>
      <c r="B416" s="38"/>
      <c r="C416" s="470"/>
      <c r="D416" s="470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</row>
    <row r="417" spans="1:17" ht="19.5" customHeight="1" x14ac:dyDescent="0.25">
      <c r="A417" s="38"/>
      <c r="B417" s="38"/>
      <c r="C417" s="470"/>
      <c r="D417" s="470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</row>
    <row r="418" spans="1:17" ht="19.5" customHeight="1" x14ac:dyDescent="0.25">
      <c r="A418" s="38"/>
      <c r="B418" s="38"/>
      <c r="C418" s="470"/>
      <c r="D418" s="470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</row>
    <row r="419" spans="1:17" ht="19.5" customHeight="1" x14ac:dyDescent="0.25">
      <c r="A419" s="38"/>
      <c r="B419" s="38"/>
      <c r="C419" s="470"/>
      <c r="D419" s="470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</row>
    <row r="420" spans="1:17" ht="19.5" customHeight="1" x14ac:dyDescent="0.25">
      <c r="A420" s="38"/>
      <c r="B420" s="38"/>
      <c r="C420" s="470"/>
      <c r="D420" s="470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</row>
    <row r="421" spans="1:17" ht="19.5" customHeight="1" x14ac:dyDescent="0.25">
      <c r="A421" s="38"/>
      <c r="B421" s="38"/>
      <c r="C421" s="470"/>
      <c r="D421" s="470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</row>
    <row r="422" spans="1:17" ht="19.5" customHeight="1" x14ac:dyDescent="0.25">
      <c r="A422" s="38"/>
      <c r="B422" s="38"/>
      <c r="C422" s="470"/>
      <c r="D422" s="470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</row>
    <row r="423" spans="1:17" ht="19.5" customHeight="1" x14ac:dyDescent="0.25">
      <c r="A423" s="38"/>
      <c r="B423" s="38"/>
      <c r="C423" s="470"/>
      <c r="D423" s="470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</row>
    <row r="424" spans="1:17" ht="19.5" customHeight="1" x14ac:dyDescent="0.25">
      <c r="A424" s="38"/>
      <c r="B424" s="38"/>
      <c r="C424" s="470"/>
      <c r="D424" s="470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</row>
    <row r="425" spans="1:17" ht="19.5" customHeight="1" x14ac:dyDescent="0.25">
      <c r="A425" s="38"/>
      <c r="B425" s="38"/>
      <c r="C425" s="470"/>
      <c r="D425" s="470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</row>
    <row r="426" spans="1:17" ht="19.5" customHeight="1" x14ac:dyDescent="0.25">
      <c r="A426" s="38"/>
      <c r="B426" s="38"/>
      <c r="C426" s="470"/>
      <c r="D426" s="470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</row>
    <row r="427" spans="1:17" ht="19.5" customHeight="1" x14ac:dyDescent="0.25">
      <c r="A427" s="38"/>
      <c r="B427" s="38"/>
      <c r="C427" s="470"/>
      <c r="D427" s="470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</row>
    <row r="428" spans="1:17" ht="19.5" customHeight="1" x14ac:dyDescent="0.25">
      <c r="A428" s="38"/>
      <c r="B428" s="38"/>
      <c r="C428" s="470"/>
      <c r="D428" s="470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</row>
    <row r="429" spans="1:17" ht="19.5" customHeight="1" x14ac:dyDescent="0.25">
      <c r="A429" s="38"/>
      <c r="B429" s="38"/>
      <c r="C429" s="470"/>
      <c r="D429" s="470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</row>
    <row r="430" spans="1:17" ht="19.5" customHeight="1" x14ac:dyDescent="0.25">
      <c r="A430" s="38"/>
      <c r="B430" s="38"/>
      <c r="C430" s="470"/>
      <c r="D430" s="470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</row>
    <row r="431" spans="1:17" ht="19.5" customHeight="1" x14ac:dyDescent="0.25">
      <c r="A431" s="38"/>
      <c r="B431" s="38"/>
      <c r="C431" s="470"/>
      <c r="D431" s="470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</row>
    <row r="432" spans="1:17" ht="19.5" customHeight="1" x14ac:dyDescent="0.25">
      <c r="A432" s="38"/>
      <c r="B432" s="38"/>
      <c r="C432" s="470"/>
      <c r="D432" s="470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</row>
    <row r="433" spans="1:17" ht="19.5" customHeight="1" x14ac:dyDescent="0.25">
      <c r="A433" s="38"/>
      <c r="B433" s="38"/>
      <c r="C433" s="470"/>
      <c r="D433" s="470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</row>
    <row r="434" spans="1:17" ht="19.5" customHeight="1" x14ac:dyDescent="0.25">
      <c r="A434" s="38"/>
      <c r="B434" s="38"/>
      <c r="C434" s="470"/>
      <c r="D434" s="470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</row>
    <row r="435" spans="1:17" ht="19.5" customHeight="1" x14ac:dyDescent="0.25">
      <c r="A435" s="38"/>
      <c r="B435" s="38"/>
      <c r="C435" s="470"/>
      <c r="D435" s="470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</row>
    <row r="436" spans="1:17" ht="19.5" customHeight="1" x14ac:dyDescent="0.25">
      <c r="A436" s="38"/>
      <c r="B436" s="38"/>
      <c r="C436" s="470"/>
      <c r="D436" s="470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</row>
    <row r="437" spans="1:17" ht="19.5" customHeight="1" x14ac:dyDescent="0.25">
      <c r="A437" s="38"/>
      <c r="B437" s="38"/>
      <c r="C437" s="470"/>
      <c r="D437" s="470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</row>
    <row r="438" spans="1:17" ht="19.5" customHeight="1" x14ac:dyDescent="0.25">
      <c r="A438" s="38"/>
      <c r="B438" s="38"/>
      <c r="C438" s="470"/>
      <c r="D438" s="470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</row>
    <row r="439" spans="1:17" ht="19.5" customHeight="1" x14ac:dyDescent="0.25">
      <c r="A439" s="38"/>
      <c r="B439" s="38"/>
      <c r="C439" s="470"/>
      <c r="D439" s="470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</row>
    <row r="440" spans="1:17" ht="19.5" customHeight="1" x14ac:dyDescent="0.25">
      <c r="A440" s="38"/>
      <c r="B440" s="38"/>
      <c r="C440" s="470"/>
      <c r="D440" s="470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</row>
    <row r="441" spans="1:17" ht="19.5" customHeight="1" x14ac:dyDescent="0.25">
      <c r="A441" s="38"/>
      <c r="B441" s="38"/>
      <c r="C441" s="470"/>
      <c r="D441" s="470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</row>
    <row r="442" spans="1:17" ht="19.5" customHeight="1" x14ac:dyDescent="0.25">
      <c r="A442" s="38"/>
      <c r="B442" s="38"/>
      <c r="C442" s="470"/>
      <c r="D442" s="470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</row>
    <row r="443" spans="1:17" ht="19.5" customHeight="1" x14ac:dyDescent="0.25">
      <c r="A443" s="38"/>
      <c r="B443" s="38"/>
      <c r="C443" s="470"/>
      <c r="D443" s="470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</row>
    <row r="444" spans="1:17" ht="19.5" customHeight="1" x14ac:dyDescent="0.25">
      <c r="A444" s="38"/>
      <c r="B444" s="38"/>
      <c r="C444" s="470"/>
      <c r="D444" s="470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</row>
    <row r="445" spans="1:17" ht="19.5" customHeight="1" x14ac:dyDescent="0.25">
      <c r="A445" s="38"/>
      <c r="B445" s="38"/>
      <c r="C445" s="470"/>
      <c r="D445" s="470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</row>
    <row r="446" spans="1:17" ht="19.5" customHeight="1" x14ac:dyDescent="0.25">
      <c r="A446" s="38"/>
      <c r="B446" s="38"/>
      <c r="C446" s="470"/>
      <c r="D446" s="470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</row>
    <row r="447" spans="1:17" ht="19.5" customHeight="1" x14ac:dyDescent="0.25">
      <c r="A447" s="38"/>
      <c r="B447" s="38"/>
      <c r="C447" s="470"/>
      <c r="D447" s="470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</row>
    <row r="448" spans="1:17" ht="19.5" customHeight="1" x14ac:dyDescent="0.25">
      <c r="A448" s="38"/>
      <c r="B448" s="38"/>
      <c r="C448" s="470"/>
      <c r="D448" s="470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</row>
    <row r="449" spans="1:17" ht="19.5" customHeight="1" x14ac:dyDescent="0.25">
      <c r="A449" s="38"/>
      <c r="B449" s="38"/>
      <c r="C449" s="470"/>
      <c r="D449" s="470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</row>
    <row r="450" spans="1:17" ht="19.5" customHeight="1" x14ac:dyDescent="0.25">
      <c r="A450" s="38"/>
      <c r="B450" s="38"/>
      <c r="C450" s="470"/>
      <c r="D450" s="470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</row>
    <row r="451" spans="1:17" ht="19.5" customHeight="1" x14ac:dyDescent="0.25">
      <c r="A451" s="38"/>
      <c r="B451" s="38"/>
      <c r="C451" s="470"/>
      <c r="D451" s="470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</row>
    <row r="452" spans="1:17" ht="19.5" customHeight="1" x14ac:dyDescent="0.25">
      <c r="A452" s="38"/>
      <c r="B452" s="38"/>
      <c r="C452" s="470"/>
      <c r="D452" s="470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</row>
    <row r="453" spans="1:17" ht="19.5" customHeight="1" x14ac:dyDescent="0.25">
      <c r="A453" s="38"/>
      <c r="B453" s="38"/>
      <c r="C453" s="470"/>
      <c r="D453" s="470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</row>
    <row r="454" spans="1:17" ht="19.5" customHeight="1" x14ac:dyDescent="0.25">
      <c r="A454" s="38"/>
      <c r="B454" s="38"/>
      <c r="C454" s="470"/>
      <c r="D454" s="470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</row>
    <row r="455" spans="1:17" ht="19.5" customHeight="1" x14ac:dyDescent="0.25">
      <c r="A455" s="38"/>
      <c r="B455" s="38"/>
      <c r="C455" s="470"/>
      <c r="D455" s="470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</row>
    <row r="456" spans="1:17" ht="19.5" customHeight="1" x14ac:dyDescent="0.25">
      <c r="A456" s="38"/>
      <c r="B456" s="38"/>
      <c r="C456" s="470"/>
      <c r="D456" s="470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</row>
    <row r="457" spans="1:17" ht="19.5" customHeight="1" x14ac:dyDescent="0.25">
      <c r="A457" s="38"/>
      <c r="B457" s="38"/>
      <c r="C457" s="470"/>
      <c r="D457" s="470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</row>
    <row r="458" spans="1:17" ht="19.5" customHeight="1" x14ac:dyDescent="0.25">
      <c r="A458" s="38"/>
      <c r="B458" s="38"/>
      <c r="C458" s="470"/>
      <c r="D458" s="470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</row>
    <row r="459" spans="1:17" ht="19.5" customHeight="1" x14ac:dyDescent="0.25">
      <c r="A459" s="38"/>
      <c r="B459" s="38"/>
      <c r="C459" s="470"/>
      <c r="D459" s="470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</row>
    <row r="460" spans="1:17" ht="19.5" customHeight="1" x14ac:dyDescent="0.25">
      <c r="A460" s="38"/>
      <c r="B460" s="38"/>
      <c r="C460" s="470"/>
      <c r="D460" s="470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</row>
    <row r="461" spans="1:17" ht="19.5" customHeight="1" x14ac:dyDescent="0.25">
      <c r="A461" s="38"/>
      <c r="B461" s="38"/>
      <c r="C461" s="470"/>
      <c r="D461" s="470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</row>
    <row r="462" spans="1:17" ht="19.5" customHeight="1" x14ac:dyDescent="0.25">
      <c r="A462" s="38"/>
      <c r="B462" s="38"/>
      <c r="C462" s="470"/>
      <c r="D462" s="470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</row>
    <row r="463" spans="1:17" ht="19.5" customHeight="1" x14ac:dyDescent="0.25">
      <c r="A463" s="38"/>
      <c r="B463" s="38"/>
      <c r="C463" s="470"/>
      <c r="D463" s="470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</row>
    <row r="464" spans="1:17" ht="19.5" customHeight="1" x14ac:dyDescent="0.25">
      <c r="A464" s="38"/>
      <c r="B464" s="38"/>
      <c r="C464" s="470"/>
      <c r="D464" s="470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</row>
    <row r="465" spans="1:17" ht="19.5" customHeight="1" x14ac:dyDescent="0.25">
      <c r="A465" s="38"/>
      <c r="B465" s="38"/>
      <c r="C465" s="470"/>
      <c r="D465" s="470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</row>
    <row r="466" spans="1:17" ht="19.5" customHeight="1" x14ac:dyDescent="0.25">
      <c r="A466" s="38"/>
      <c r="B466" s="38"/>
      <c r="C466" s="470"/>
      <c r="D466" s="470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</row>
    <row r="467" spans="1:17" ht="19.5" customHeight="1" x14ac:dyDescent="0.25">
      <c r="A467" s="38"/>
      <c r="B467" s="38"/>
      <c r="C467" s="470"/>
      <c r="D467" s="470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</row>
    <row r="468" spans="1:17" ht="19.5" customHeight="1" x14ac:dyDescent="0.25">
      <c r="A468" s="38"/>
      <c r="B468" s="38"/>
      <c r="C468" s="470"/>
      <c r="D468" s="470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</row>
    <row r="469" spans="1:17" ht="19.5" customHeight="1" x14ac:dyDescent="0.25">
      <c r="A469" s="38"/>
      <c r="B469" s="38"/>
      <c r="C469" s="470"/>
      <c r="D469" s="470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</row>
    <row r="470" spans="1:17" ht="19.5" customHeight="1" x14ac:dyDescent="0.25">
      <c r="A470" s="38"/>
      <c r="B470" s="38"/>
      <c r="C470" s="470"/>
      <c r="D470" s="470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</row>
    <row r="471" spans="1:17" ht="19.5" customHeight="1" x14ac:dyDescent="0.25">
      <c r="A471" s="38"/>
      <c r="B471" s="38"/>
      <c r="C471" s="470"/>
      <c r="D471" s="470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</row>
    <row r="472" spans="1:17" ht="19.5" customHeight="1" x14ac:dyDescent="0.25">
      <c r="A472" s="38"/>
      <c r="B472" s="38"/>
      <c r="C472" s="470"/>
      <c r="D472" s="470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</row>
    <row r="473" spans="1:17" ht="19.5" customHeight="1" x14ac:dyDescent="0.25">
      <c r="A473" s="38"/>
      <c r="B473" s="38"/>
      <c r="C473" s="470"/>
      <c r="D473" s="470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</row>
    <row r="474" spans="1:17" ht="19.5" customHeight="1" x14ac:dyDescent="0.25">
      <c r="A474" s="38"/>
      <c r="B474" s="38"/>
      <c r="C474" s="470"/>
      <c r="D474" s="470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</row>
    <row r="475" spans="1:17" ht="19.5" customHeight="1" x14ac:dyDescent="0.25">
      <c r="A475" s="38"/>
      <c r="B475" s="38"/>
      <c r="C475" s="470"/>
      <c r="D475" s="470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</row>
    <row r="476" spans="1:17" ht="19.5" customHeight="1" x14ac:dyDescent="0.25">
      <c r="A476" s="38"/>
      <c r="B476" s="38"/>
      <c r="C476" s="470"/>
      <c r="D476" s="470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</row>
    <row r="477" spans="1:17" ht="19.5" customHeight="1" x14ac:dyDescent="0.25">
      <c r="A477" s="38"/>
      <c r="B477" s="38"/>
      <c r="C477" s="470"/>
      <c r="D477" s="470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</row>
    <row r="478" spans="1:17" ht="19.5" customHeight="1" x14ac:dyDescent="0.25">
      <c r="A478" s="38"/>
      <c r="B478" s="38"/>
      <c r="C478" s="470"/>
      <c r="D478" s="470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</row>
    <row r="479" spans="1:17" ht="19.5" customHeight="1" x14ac:dyDescent="0.25">
      <c r="A479" s="38"/>
      <c r="B479" s="38"/>
      <c r="C479" s="470"/>
      <c r="D479" s="470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</row>
    <row r="480" spans="1:17" ht="19.5" customHeight="1" x14ac:dyDescent="0.25">
      <c r="A480" s="38"/>
      <c r="B480" s="38"/>
      <c r="C480" s="470"/>
      <c r="D480" s="470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</row>
    <row r="481" spans="1:17" ht="19.5" customHeight="1" x14ac:dyDescent="0.25">
      <c r="A481" s="38"/>
      <c r="B481" s="38"/>
      <c r="C481" s="470"/>
      <c r="D481" s="470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</row>
    <row r="482" spans="1:17" ht="19.5" customHeight="1" x14ac:dyDescent="0.25">
      <c r="A482" s="38"/>
      <c r="B482" s="38"/>
      <c r="C482" s="470"/>
      <c r="D482" s="470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</row>
    <row r="483" spans="1:17" ht="19.5" customHeight="1" x14ac:dyDescent="0.25">
      <c r="A483" s="38"/>
      <c r="B483" s="38"/>
      <c r="C483" s="470"/>
      <c r="D483" s="470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</row>
    <row r="484" spans="1:17" ht="19.5" customHeight="1" x14ac:dyDescent="0.25">
      <c r="A484" s="38"/>
      <c r="B484" s="38"/>
      <c r="C484" s="470"/>
      <c r="D484" s="470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</row>
    <row r="485" spans="1:17" ht="19.5" customHeight="1" x14ac:dyDescent="0.25">
      <c r="A485" s="38"/>
      <c r="B485" s="38"/>
      <c r="C485" s="470"/>
      <c r="D485" s="470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</row>
    <row r="486" spans="1:17" ht="19.5" customHeight="1" x14ac:dyDescent="0.25">
      <c r="A486" s="38"/>
      <c r="B486" s="38"/>
      <c r="C486" s="470"/>
      <c r="D486" s="470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</row>
    <row r="487" spans="1:17" ht="19.5" customHeight="1" x14ac:dyDescent="0.25">
      <c r="A487" s="38"/>
      <c r="B487" s="38"/>
      <c r="C487" s="470"/>
      <c r="D487" s="470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</row>
    <row r="488" spans="1:17" ht="19.5" customHeight="1" x14ac:dyDescent="0.25">
      <c r="A488" s="38"/>
      <c r="B488" s="38"/>
      <c r="C488" s="470"/>
      <c r="D488" s="470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</row>
    <row r="489" spans="1:17" ht="19.5" customHeight="1" x14ac:dyDescent="0.25">
      <c r="A489" s="38"/>
      <c r="B489" s="38"/>
      <c r="C489" s="470"/>
      <c r="D489" s="470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</row>
    <row r="490" spans="1:17" ht="19.5" customHeight="1" x14ac:dyDescent="0.25">
      <c r="A490" s="38"/>
      <c r="B490" s="38"/>
      <c r="C490" s="470"/>
      <c r="D490" s="470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</row>
    <row r="491" spans="1:17" ht="19.5" customHeight="1" x14ac:dyDescent="0.25">
      <c r="A491" s="38"/>
      <c r="B491" s="38"/>
      <c r="C491" s="470"/>
      <c r="D491" s="470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</row>
    <row r="492" spans="1:17" ht="19.5" customHeight="1" x14ac:dyDescent="0.25">
      <c r="A492" s="38"/>
      <c r="B492" s="38"/>
      <c r="C492" s="470"/>
      <c r="D492" s="470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</row>
    <row r="493" spans="1:17" ht="19.5" customHeight="1" x14ac:dyDescent="0.25">
      <c r="A493" s="38"/>
      <c r="B493" s="38"/>
      <c r="C493" s="470"/>
      <c r="D493" s="470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</row>
    <row r="494" spans="1:17" ht="19.5" customHeight="1" x14ac:dyDescent="0.25">
      <c r="A494" s="38"/>
      <c r="B494" s="38"/>
      <c r="C494" s="470"/>
      <c r="D494" s="470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</row>
    <row r="495" spans="1:17" ht="19.5" customHeight="1" x14ac:dyDescent="0.25">
      <c r="A495" s="38"/>
      <c r="B495" s="38"/>
      <c r="C495" s="470"/>
      <c r="D495" s="470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</row>
    <row r="496" spans="1:17" ht="19.5" customHeight="1" x14ac:dyDescent="0.25">
      <c r="A496" s="38"/>
      <c r="B496" s="38"/>
      <c r="C496" s="470"/>
      <c r="D496" s="470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</row>
    <row r="497" spans="1:17" ht="19.5" customHeight="1" x14ac:dyDescent="0.25">
      <c r="A497" s="38"/>
      <c r="B497" s="38"/>
      <c r="C497" s="470"/>
      <c r="D497" s="470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</row>
    <row r="498" spans="1:17" ht="19.5" customHeight="1" x14ac:dyDescent="0.25">
      <c r="A498" s="38"/>
      <c r="B498" s="38"/>
      <c r="C498" s="470"/>
      <c r="D498" s="470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</row>
    <row r="499" spans="1:17" ht="19.5" customHeight="1" x14ac:dyDescent="0.25">
      <c r="A499" s="38"/>
      <c r="B499" s="38"/>
      <c r="C499" s="470"/>
      <c r="D499" s="470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</row>
    <row r="500" spans="1:17" ht="19.5" customHeight="1" x14ac:dyDescent="0.25">
      <c r="A500" s="38"/>
      <c r="B500" s="38"/>
      <c r="C500" s="470"/>
      <c r="D500" s="470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</row>
    <row r="501" spans="1:17" ht="19.5" customHeight="1" x14ac:dyDescent="0.25">
      <c r="A501" s="38"/>
      <c r="B501" s="38"/>
      <c r="C501" s="470"/>
      <c r="D501" s="470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</row>
    <row r="502" spans="1:17" ht="19.5" customHeight="1" x14ac:dyDescent="0.25">
      <c r="A502" s="38"/>
      <c r="B502" s="38"/>
      <c r="C502" s="470"/>
      <c r="D502" s="470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</row>
    <row r="503" spans="1:17" ht="19.5" customHeight="1" x14ac:dyDescent="0.25">
      <c r="A503" s="38"/>
      <c r="B503" s="38"/>
      <c r="C503" s="470"/>
      <c r="D503" s="470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</row>
    <row r="504" spans="1:17" ht="19.5" customHeight="1" x14ac:dyDescent="0.25">
      <c r="A504" s="38"/>
      <c r="B504" s="38"/>
      <c r="C504" s="470"/>
      <c r="D504" s="470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</row>
    <row r="505" spans="1:17" ht="19.5" customHeight="1" x14ac:dyDescent="0.25">
      <c r="A505" s="38"/>
      <c r="B505" s="38"/>
      <c r="C505" s="470"/>
      <c r="D505" s="470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</row>
    <row r="506" spans="1:17" ht="19.5" customHeight="1" x14ac:dyDescent="0.25">
      <c r="A506" s="38"/>
      <c r="B506" s="38"/>
      <c r="C506" s="470"/>
      <c r="D506" s="470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</row>
    <row r="507" spans="1:17" ht="19.5" customHeight="1" x14ac:dyDescent="0.25">
      <c r="A507" s="38"/>
      <c r="B507" s="38"/>
      <c r="C507" s="470"/>
      <c r="D507" s="470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</row>
    <row r="508" spans="1:17" ht="19.5" customHeight="1" x14ac:dyDescent="0.25">
      <c r="A508" s="38"/>
      <c r="B508" s="38"/>
      <c r="C508" s="470"/>
      <c r="D508" s="470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</row>
    <row r="509" spans="1:17" ht="19.5" customHeight="1" x14ac:dyDescent="0.25">
      <c r="A509" s="38"/>
      <c r="B509" s="38"/>
      <c r="C509" s="470"/>
      <c r="D509" s="470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</row>
    <row r="510" spans="1:17" ht="19.5" customHeight="1" x14ac:dyDescent="0.25">
      <c r="A510" s="38"/>
      <c r="B510" s="38"/>
      <c r="C510" s="470"/>
      <c r="D510" s="470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</row>
    <row r="511" spans="1:17" ht="19.5" customHeight="1" x14ac:dyDescent="0.25">
      <c r="A511" s="38"/>
      <c r="B511" s="38"/>
      <c r="C511" s="470"/>
      <c r="D511" s="470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</row>
    <row r="512" spans="1:17" ht="19.5" customHeight="1" x14ac:dyDescent="0.25">
      <c r="A512" s="38"/>
      <c r="B512" s="38"/>
      <c r="C512" s="470"/>
      <c r="D512" s="470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</row>
    <row r="513" spans="1:17" ht="19.5" customHeight="1" x14ac:dyDescent="0.25">
      <c r="A513" s="38"/>
      <c r="B513" s="38"/>
      <c r="C513" s="470"/>
      <c r="D513" s="470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</row>
    <row r="514" spans="1:17" ht="19.5" customHeight="1" x14ac:dyDescent="0.25">
      <c r="A514" s="38"/>
      <c r="B514" s="38"/>
      <c r="C514" s="470"/>
      <c r="D514" s="470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</row>
    <row r="515" spans="1:17" ht="19.5" customHeight="1" x14ac:dyDescent="0.25">
      <c r="A515" s="38"/>
      <c r="B515" s="38"/>
      <c r="C515" s="470"/>
      <c r="D515" s="470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</row>
    <row r="516" spans="1:17" ht="19.5" customHeight="1" x14ac:dyDescent="0.25">
      <c r="A516" s="38"/>
      <c r="B516" s="38"/>
      <c r="C516" s="470"/>
      <c r="D516" s="470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</row>
    <row r="517" spans="1:17" ht="19.5" customHeight="1" x14ac:dyDescent="0.25">
      <c r="A517" s="38"/>
      <c r="B517" s="38"/>
      <c r="C517" s="470"/>
      <c r="D517" s="470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</row>
    <row r="518" spans="1:17" ht="19.5" customHeight="1" x14ac:dyDescent="0.25">
      <c r="A518" s="38"/>
      <c r="B518" s="38"/>
      <c r="C518" s="470"/>
      <c r="D518" s="470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</row>
    <row r="519" spans="1:17" ht="19.5" customHeight="1" x14ac:dyDescent="0.25">
      <c r="A519" s="38"/>
      <c r="B519" s="38"/>
      <c r="C519" s="470"/>
      <c r="D519" s="470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</row>
    <row r="520" spans="1:17" ht="19.5" customHeight="1" x14ac:dyDescent="0.25">
      <c r="A520" s="38"/>
      <c r="B520" s="38"/>
      <c r="C520" s="470"/>
      <c r="D520" s="470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</row>
    <row r="521" spans="1:17" ht="19.5" customHeight="1" x14ac:dyDescent="0.25">
      <c r="A521" s="38"/>
      <c r="B521" s="38"/>
      <c r="C521" s="470"/>
      <c r="D521" s="470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</row>
    <row r="522" spans="1:17" ht="19.5" customHeight="1" x14ac:dyDescent="0.25">
      <c r="A522" s="38"/>
      <c r="B522" s="38"/>
      <c r="C522" s="470"/>
      <c r="D522" s="470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</row>
    <row r="523" spans="1:17" ht="19.5" customHeight="1" x14ac:dyDescent="0.25">
      <c r="A523" s="38"/>
      <c r="B523" s="38"/>
      <c r="C523" s="470"/>
      <c r="D523" s="470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</row>
    <row r="524" spans="1:17" ht="19.5" customHeight="1" x14ac:dyDescent="0.25">
      <c r="A524" s="38"/>
      <c r="B524" s="38"/>
      <c r="C524" s="470"/>
      <c r="D524" s="470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</row>
    <row r="525" spans="1:17" ht="19.5" customHeight="1" x14ac:dyDescent="0.25">
      <c r="A525" s="38"/>
      <c r="B525" s="38"/>
      <c r="C525" s="470"/>
      <c r="D525" s="470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</row>
    <row r="526" spans="1:17" ht="19.5" customHeight="1" x14ac:dyDescent="0.25">
      <c r="A526" s="38"/>
      <c r="B526" s="38"/>
      <c r="C526" s="470"/>
      <c r="D526" s="470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</row>
    <row r="527" spans="1:17" ht="19.5" customHeight="1" x14ac:dyDescent="0.25">
      <c r="A527" s="38"/>
      <c r="B527" s="38"/>
      <c r="C527" s="470"/>
      <c r="D527" s="470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</row>
    <row r="528" spans="1:17" ht="19.5" customHeight="1" x14ac:dyDescent="0.25">
      <c r="A528" s="38"/>
      <c r="B528" s="38"/>
      <c r="C528" s="470"/>
      <c r="D528" s="470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</row>
    <row r="529" spans="1:17" ht="19.5" customHeight="1" x14ac:dyDescent="0.25">
      <c r="A529" s="38"/>
      <c r="B529" s="38"/>
      <c r="C529" s="470"/>
      <c r="D529" s="470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</row>
    <row r="530" spans="1:17" ht="19.5" customHeight="1" x14ac:dyDescent="0.25">
      <c r="A530" s="38"/>
      <c r="B530" s="38"/>
      <c r="C530" s="470"/>
      <c r="D530" s="470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</row>
    <row r="531" spans="1:17" ht="19.5" customHeight="1" x14ac:dyDescent="0.25">
      <c r="A531" s="38"/>
      <c r="B531" s="38"/>
      <c r="C531" s="470"/>
      <c r="D531" s="470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</row>
    <row r="532" spans="1:17" ht="19.5" customHeight="1" x14ac:dyDescent="0.25">
      <c r="A532" s="38"/>
      <c r="B532" s="38"/>
      <c r="C532" s="470"/>
      <c r="D532" s="470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</row>
    <row r="533" spans="1:17" ht="19.5" customHeight="1" x14ac:dyDescent="0.25">
      <c r="A533" s="38"/>
      <c r="B533" s="38"/>
      <c r="C533" s="470"/>
      <c r="D533" s="470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</row>
    <row r="534" spans="1:17" ht="19.5" customHeight="1" x14ac:dyDescent="0.25">
      <c r="A534" s="38"/>
      <c r="B534" s="38"/>
      <c r="C534" s="470"/>
      <c r="D534" s="470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</row>
    <row r="535" spans="1:17" ht="19.5" customHeight="1" x14ac:dyDescent="0.25">
      <c r="A535" s="38"/>
      <c r="B535" s="38"/>
      <c r="C535" s="470"/>
      <c r="D535" s="470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</row>
    <row r="536" spans="1:17" ht="19.5" customHeight="1" x14ac:dyDescent="0.25">
      <c r="A536" s="38"/>
      <c r="B536" s="38"/>
      <c r="C536" s="470"/>
      <c r="D536" s="470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</row>
    <row r="537" spans="1:17" ht="19.5" customHeight="1" x14ac:dyDescent="0.25">
      <c r="A537" s="38"/>
      <c r="B537" s="38"/>
      <c r="C537" s="470"/>
      <c r="D537" s="470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</row>
    <row r="538" spans="1:17" ht="19.5" customHeight="1" x14ac:dyDescent="0.25">
      <c r="A538" s="38"/>
      <c r="B538" s="38"/>
      <c r="C538" s="470"/>
      <c r="D538" s="470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</row>
    <row r="539" spans="1:17" ht="19.5" customHeight="1" x14ac:dyDescent="0.25">
      <c r="A539" s="38"/>
      <c r="B539" s="38"/>
      <c r="C539" s="470"/>
      <c r="D539" s="470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</row>
    <row r="540" spans="1:17" ht="19.5" customHeight="1" x14ac:dyDescent="0.25">
      <c r="A540" s="38"/>
      <c r="B540" s="38"/>
      <c r="C540" s="470"/>
      <c r="D540" s="470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</row>
    <row r="541" spans="1:17" ht="19.5" customHeight="1" x14ac:dyDescent="0.25">
      <c r="A541" s="38"/>
      <c r="B541" s="38"/>
      <c r="C541" s="470"/>
      <c r="D541" s="470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</row>
    <row r="542" spans="1:17" ht="19.5" customHeight="1" x14ac:dyDescent="0.25">
      <c r="A542" s="38"/>
      <c r="B542" s="38"/>
      <c r="C542" s="470"/>
      <c r="D542" s="470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</row>
    <row r="543" spans="1:17" ht="19.5" customHeight="1" x14ac:dyDescent="0.25">
      <c r="A543" s="38"/>
      <c r="B543" s="38"/>
      <c r="C543" s="470"/>
      <c r="D543" s="470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</row>
    <row r="544" spans="1:17" ht="19.5" customHeight="1" x14ac:dyDescent="0.25">
      <c r="A544" s="38"/>
      <c r="B544" s="38"/>
      <c r="C544" s="470"/>
      <c r="D544" s="470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</row>
    <row r="545" spans="1:17" ht="19.5" customHeight="1" x14ac:dyDescent="0.25">
      <c r="A545" s="38"/>
      <c r="B545" s="38"/>
      <c r="C545" s="470"/>
      <c r="D545" s="470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</row>
    <row r="546" spans="1:17" ht="19.5" customHeight="1" x14ac:dyDescent="0.25">
      <c r="A546" s="38"/>
      <c r="B546" s="38"/>
      <c r="C546" s="470"/>
      <c r="D546" s="470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</row>
    <row r="547" spans="1:17" ht="19.5" customHeight="1" x14ac:dyDescent="0.25">
      <c r="A547" s="38"/>
      <c r="B547" s="38"/>
      <c r="C547" s="470"/>
      <c r="D547" s="470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</row>
    <row r="548" spans="1:17" ht="19.5" customHeight="1" x14ac:dyDescent="0.25">
      <c r="A548" s="38"/>
      <c r="B548" s="38"/>
      <c r="C548" s="470"/>
      <c r="D548" s="470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</row>
    <row r="549" spans="1:17" ht="19.5" customHeight="1" x14ac:dyDescent="0.25">
      <c r="A549" s="38"/>
      <c r="B549" s="38"/>
      <c r="C549" s="470"/>
      <c r="D549" s="470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</row>
    <row r="550" spans="1:17" ht="19.5" customHeight="1" x14ac:dyDescent="0.25">
      <c r="A550" s="38"/>
      <c r="B550" s="38"/>
      <c r="C550" s="470"/>
      <c r="D550" s="470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</row>
    <row r="551" spans="1:17" ht="19.5" customHeight="1" x14ac:dyDescent="0.25">
      <c r="A551" s="38"/>
      <c r="B551" s="38"/>
      <c r="C551" s="470"/>
      <c r="D551" s="470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</row>
    <row r="552" spans="1:17" ht="19.5" customHeight="1" x14ac:dyDescent="0.25">
      <c r="A552" s="38"/>
      <c r="B552" s="38"/>
      <c r="C552" s="470"/>
      <c r="D552" s="470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</row>
    <row r="553" spans="1:17" ht="19.5" customHeight="1" x14ac:dyDescent="0.25">
      <c r="A553" s="38"/>
      <c r="B553" s="38"/>
      <c r="C553" s="470"/>
      <c r="D553" s="470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</row>
    <row r="554" spans="1:17" ht="19.5" customHeight="1" x14ac:dyDescent="0.25">
      <c r="A554" s="38"/>
      <c r="B554" s="38"/>
      <c r="C554" s="470"/>
      <c r="D554" s="470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</row>
    <row r="555" spans="1:17" ht="19.5" customHeight="1" x14ac:dyDescent="0.25">
      <c r="A555" s="38"/>
      <c r="B555" s="38"/>
      <c r="C555" s="470"/>
      <c r="D555" s="470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</row>
    <row r="556" spans="1:17" ht="19.5" customHeight="1" x14ac:dyDescent="0.25">
      <c r="A556" s="38"/>
      <c r="B556" s="38"/>
      <c r="C556" s="470"/>
      <c r="D556" s="470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</row>
    <row r="557" spans="1:17" ht="19.5" customHeight="1" x14ac:dyDescent="0.25">
      <c r="A557" s="38"/>
      <c r="B557" s="38"/>
      <c r="C557" s="470"/>
      <c r="D557" s="470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</row>
    <row r="558" spans="1:17" ht="19.5" customHeight="1" x14ac:dyDescent="0.25">
      <c r="A558" s="38"/>
      <c r="B558" s="38"/>
      <c r="C558" s="470"/>
      <c r="D558" s="470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</row>
    <row r="559" spans="1:17" ht="19.5" customHeight="1" x14ac:dyDescent="0.25">
      <c r="A559" s="38"/>
      <c r="B559" s="38"/>
      <c r="C559" s="470"/>
      <c r="D559" s="470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</row>
    <row r="560" spans="1:17" ht="19.5" customHeight="1" x14ac:dyDescent="0.25">
      <c r="A560" s="38"/>
      <c r="B560" s="38"/>
      <c r="C560" s="470"/>
      <c r="D560" s="470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</row>
    <row r="561" spans="1:17" ht="19.5" customHeight="1" x14ac:dyDescent="0.25">
      <c r="A561" s="38"/>
      <c r="B561" s="38"/>
      <c r="C561" s="470"/>
      <c r="D561" s="470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</row>
    <row r="562" spans="1:17" ht="19.5" customHeight="1" x14ac:dyDescent="0.25">
      <c r="A562" s="38"/>
      <c r="B562" s="38"/>
      <c r="C562" s="470"/>
      <c r="D562" s="470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</row>
    <row r="563" spans="1:17" ht="19.5" customHeight="1" x14ac:dyDescent="0.25">
      <c r="A563" s="38"/>
      <c r="B563" s="38"/>
      <c r="C563" s="470"/>
      <c r="D563" s="470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</row>
    <row r="564" spans="1:17" ht="19.5" customHeight="1" x14ac:dyDescent="0.25">
      <c r="A564" s="38"/>
      <c r="B564" s="38"/>
      <c r="C564" s="470"/>
      <c r="D564" s="470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</row>
    <row r="565" spans="1:17" ht="19.5" customHeight="1" x14ac:dyDescent="0.25">
      <c r="A565" s="38"/>
      <c r="B565" s="38"/>
      <c r="C565" s="470"/>
      <c r="D565" s="470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</row>
    <row r="566" spans="1:17" ht="19.5" customHeight="1" x14ac:dyDescent="0.25">
      <c r="A566" s="38"/>
      <c r="B566" s="38"/>
      <c r="C566" s="470"/>
      <c r="D566" s="470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</row>
    <row r="567" spans="1:17" ht="19.5" customHeight="1" x14ac:dyDescent="0.25">
      <c r="A567" s="38"/>
      <c r="B567" s="38"/>
      <c r="C567" s="470"/>
      <c r="D567" s="470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</row>
    <row r="568" spans="1:17" ht="19.5" customHeight="1" x14ac:dyDescent="0.25">
      <c r="A568" s="38"/>
      <c r="B568" s="38"/>
      <c r="C568" s="470"/>
      <c r="D568" s="470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</row>
    <row r="569" spans="1:17" ht="19.5" customHeight="1" x14ac:dyDescent="0.25">
      <c r="A569" s="38"/>
      <c r="B569" s="38"/>
      <c r="C569" s="470"/>
      <c r="D569" s="470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</row>
    <row r="570" spans="1:17" ht="19.5" customHeight="1" x14ac:dyDescent="0.25">
      <c r="A570" s="38"/>
      <c r="B570" s="38"/>
      <c r="C570" s="470"/>
      <c r="D570" s="470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</row>
    <row r="571" spans="1:17" ht="19.5" customHeight="1" x14ac:dyDescent="0.25">
      <c r="A571" s="38"/>
      <c r="B571" s="38"/>
      <c r="C571" s="470"/>
      <c r="D571" s="470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</row>
    <row r="572" spans="1:17" ht="19.5" customHeight="1" x14ac:dyDescent="0.25">
      <c r="A572" s="38"/>
      <c r="B572" s="38"/>
      <c r="C572" s="470"/>
      <c r="D572" s="470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</row>
    <row r="573" spans="1:17" ht="19.5" customHeight="1" x14ac:dyDescent="0.25">
      <c r="A573" s="38"/>
      <c r="B573" s="38"/>
      <c r="C573" s="470"/>
      <c r="D573" s="470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</row>
    <row r="574" spans="1:17" ht="19.5" customHeight="1" x14ac:dyDescent="0.25">
      <c r="A574" s="38"/>
      <c r="B574" s="38"/>
      <c r="C574" s="470"/>
      <c r="D574" s="470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</row>
    <row r="575" spans="1:17" ht="19.5" customHeight="1" x14ac:dyDescent="0.25">
      <c r="A575" s="38"/>
      <c r="B575" s="38"/>
      <c r="C575" s="470"/>
      <c r="D575" s="470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</row>
    <row r="576" spans="1:17" ht="19.5" customHeight="1" x14ac:dyDescent="0.25">
      <c r="A576" s="38"/>
      <c r="B576" s="38"/>
      <c r="C576" s="470"/>
      <c r="D576" s="470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</row>
    <row r="577" spans="1:17" ht="19.5" customHeight="1" x14ac:dyDescent="0.25">
      <c r="A577" s="38"/>
      <c r="B577" s="38"/>
      <c r="C577" s="470"/>
      <c r="D577" s="470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</row>
    <row r="578" spans="1:17" ht="19.5" customHeight="1" x14ac:dyDescent="0.25">
      <c r="A578" s="38"/>
      <c r="B578" s="38"/>
      <c r="C578" s="470"/>
      <c r="D578" s="470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</row>
    <row r="579" spans="1:17" ht="19.5" customHeight="1" x14ac:dyDescent="0.25">
      <c r="A579" s="38"/>
      <c r="B579" s="38"/>
      <c r="C579" s="470"/>
      <c r="D579" s="470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</row>
    <row r="580" spans="1:17" ht="19.5" customHeight="1" x14ac:dyDescent="0.25">
      <c r="A580" s="38"/>
      <c r="B580" s="38"/>
      <c r="C580" s="470"/>
      <c r="D580" s="470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</row>
    <row r="581" spans="1:17" ht="19.5" customHeight="1" x14ac:dyDescent="0.25">
      <c r="A581" s="38"/>
      <c r="B581" s="38"/>
      <c r="C581" s="470"/>
      <c r="D581" s="470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</row>
    <row r="582" spans="1:17" ht="19.5" customHeight="1" x14ac:dyDescent="0.25">
      <c r="A582" s="38"/>
      <c r="B582" s="38"/>
      <c r="C582" s="470"/>
      <c r="D582" s="470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</row>
    <row r="583" spans="1:17" ht="19.5" customHeight="1" x14ac:dyDescent="0.25">
      <c r="A583" s="38"/>
      <c r="B583" s="38"/>
      <c r="C583" s="470"/>
      <c r="D583" s="470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</row>
    <row r="584" spans="1:17" ht="19.5" customHeight="1" x14ac:dyDescent="0.25">
      <c r="A584" s="38"/>
      <c r="B584" s="38"/>
      <c r="C584" s="470"/>
      <c r="D584" s="470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</row>
    <row r="585" spans="1:17" ht="19.5" customHeight="1" x14ac:dyDescent="0.25">
      <c r="A585" s="38"/>
      <c r="B585" s="38"/>
      <c r="C585" s="470"/>
      <c r="D585" s="470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</row>
    <row r="586" spans="1:17" ht="19.5" customHeight="1" x14ac:dyDescent="0.25">
      <c r="A586" s="38"/>
      <c r="B586" s="38"/>
      <c r="C586" s="470"/>
      <c r="D586" s="470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</row>
    <row r="587" spans="1:17" ht="19.5" customHeight="1" x14ac:dyDescent="0.25">
      <c r="A587" s="38"/>
      <c r="B587" s="38"/>
      <c r="C587" s="470"/>
      <c r="D587" s="470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</row>
    <row r="588" spans="1:17" ht="19.5" customHeight="1" x14ac:dyDescent="0.25">
      <c r="A588" s="38"/>
      <c r="B588" s="38"/>
      <c r="C588" s="470"/>
      <c r="D588" s="470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</row>
    <row r="589" spans="1:17" ht="19.5" customHeight="1" x14ac:dyDescent="0.25">
      <c r="A589" s="38"/>
      <c r="B589" s="38"/>
      <c r="C589" s="470"/>
      <c r="D589" s="470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</row>
    <row r="590" spans="1:17" ht="19.5" customHeight="1" x14ac:dyDescent="0.25">
      <c r="A590" s="38"/>
      <c r="B590" s="38"/>
      <c r="C590" s="470"/>
      <c r="D590" s="470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</row>
    <row r="591" spans="1:17" ht="19.5" customHeight="1" x14ac:dyDescent="0.25">
      <c r="A591" s="38"/>
      <c r="B591" s="38"/>
      <c r="C591" s="470"/>
      <c r="D591" s="470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</row>
    <row r="592" spans="1:17" ht="19.5" customHeight="1" x14ac:dyDescent="0.25">
      <c r="A592" s="38"/>
      <c r="B592" s="38"/>
      <c r="C592" s="470"/>
      <c r="D592" s="470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</row>
    <row r="593" spans="1:17" ht="19.5" customHeight="1" x14ac:dyDescent="0.25">
      <c r="A593" s="38"/>
      <c r="B593" s="38"/>
      <c r="C593" s="470"/>
      <c r="D593" s="470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</row>
    <row r="594" spans="1:17" ht="19.5" customHeight="1" x14ac:dyDescent="0.25">
      <c r="A594" s="38"/>
      <c r="B594" s="38"/>
      <c r="C594" s="470"/>
      <c r="D594" s="470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</row>
    <row r="595" spans="1:17" ht="19.5" customHeight="1" x14ac:dyDescent="0.25">
      <c r="A595" s="38"/>
      <c r="B595" s="38"/>
      <c r="C595" s="470"/>
      <c r="D595" s="470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</row>
    <row r="596" spans="1:17" ht="19.5" customHeight="1" x14ac:dyDescent="0.25">
      <c r="A596" s="38"/>
      <c r="B596" s="38"/>
      <c r="C596" s="470"/>
      <c r="D596" s="470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</row>
    <row r="597" spans="1:17" ht="19.5" customHeight="1" x14ac:dyDescent="0.25">
      <c r="A597" s="38"/>
      <c r="B597" s="38"/>
      <c r="C597" s="470"/>
      <c r="D597" s="470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</row>
    <row r="598" spans="1:17" ht="19.5" customHeight="1" x14ac:dyDescent="0.25">
      <c r="A598" s="38"/>
      <c r="B598" s="38"/>
      <c r="C598" s="470"/>
      <c r="D598" s="470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</row>
    <row r="599" spans="1:17" ht="19.5" customHeight="1" x14ac:dyDescent="0.25">
      <c r="A599" s="38"/>
      <c r="B599" s="38"/>
      <c r="C599" s="470"/>
      <c r="D599" s="470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</row>
    <row r="600" spans="1:17" ht="19.5" customHeight="1" x14ac:dyDescent="0.25">
      <c r="A600" s="38"/>
      <c r="B600" s="38"/>
      <c r="C600" s="470"/>
      <c r="D600" s="470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</row>
    <row r="601" spans="1:17" ht="19.5" customHeight="1" x14ac:dyDescent="0.25">
      <c r="A601" s="38"/>
      <c r="B601" s="38"/>
      <c r="C601" s="470"/>
      <c r="D601" s="470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</row>
    <row r="602" spans="1:17" ht="19.5" customHeight="1" x14ac:dyDescent="0.25">
      <c r="A602" s="38"/>
      <c r="B602" s="38"/>
      <c r="C602" s="470"/>
      <c r="D602" s="470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</row>
    <row r="603" spans="1:17" ht="19.5" customHeight="1" x14ac:dyDescent="0.25">
      <c r="A603" s="38"/>
      <c r="B603" s="38"/>
      <c r="C603" s="470"/>
      <c r="D603" s="470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</row>
    <row r="604" spans="1:17" ht="19.5" customHeight="1" x14ac:dyDescent="0.25">
      <c r="A604" s="38"/>
      <c r="B604" s="38"/>
      <c r="C604" s="470"/>
      <c r="D604" s="470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</row>
    <row r="605" spans="1:17" ht="19.5" customHeight="1" x14ac:dyDescent="0.25">
      <c r="A605" s="38"/>
      <c r="B605" s="38"/>
      <c r="C605" s="470"/>
      <c r="D605" s="470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</row>
    <row r="606" spans="1:17" ht="19.5" customHeight="1" x14ac:dyDescent="0.25">
      <c r="A606" s="38"/>
      <c r="B606" s="38"/>
      <c r="C606" s="470"/>
      <c r="D606" s="470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</row>
    <row r="607" spans="1:17" ht="19.5" customHeight="1" x14ac:dyDescent="0.25">
      <c r="A607" s="38"/>
      <c r="B607" s="38"/>
      <c r="C607" s="470"/>
      <c r="D607" s="470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</row>
    <row r="608" spans="1:17" ht="19.5" customHeight="1" x14ac:dyDescent="0.25">
      <c r="A608" s="38"/>
      <c r="B608" s="38"/>
      <c r="C608" s="470"/>
      <c r="D608" s="470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</row>
    <row r="609" spans="1:17" ht="19.5" customHeight="1" x14ac:dyDescent="0.25">
      <c r="A609" s="38"/>
      <c r="B609" s="38"/>
      <c r="C609" s="470"/>
      <c r="D609" s="470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</row>
    <row r="610" spans="1:17" ht="19.5" customHeight="1" x14ac:dyDescent="0.25">
      <c r="A610" s="38"/>
      <c r="B610" s="38"/>
      <c r="C610" s="470"/>
      <c r="D610" s="470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</row>
    <row r="611" spans="1:17" ht="19.5" customHeight="1" x14ac:dyDescent="0.25">
      <c r="A611" s="38"/>
      <c r="B611" s="38"/>
      <c r="C611" s="470"/>
      <c r="D611" s="470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</row>
    <row r="612" spans="1:17" ht="19.5" customHeight="1" x14ac:dyDescent="0.25">
      <c r="A612" s="38"/>
      <c r="B612" s="38"/>
      <c r="C612" s="470"/>
      <c r="D612" s="470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</row>
    <row r="613" spans="1:17" ht="19.5" customHeight="1" x14ac:dyDescent="0.25">
      <c r="A613" s="38"/>
      <c r="B613" s="38"/>
      <c r="C613" s="470"/>
      <c r="D613" s="470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</row>
    <row r="614" spans="1:17" ht="19.5" customHeight="1" x14ac:dyDescent="0.25">
      <c r="A614" s="38"/>
      <c r="B614" s="38"/>
      <c r="C614" s="470"/>
      <c r="D614" s="470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</row>
    <row r="615" spans="1:17" ht="19.5" customHeight="1" x14ac:dyDescent="0.25">
      <c r="A615" s="38"/>
      <c r="B615" s="38"/>
      <c r="C615" s="470"/>
      <c r="D615" s="470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</row>
    <row r="616" spans="1:17" ht="19.5" customHeight="1" x14ac:dyDescent="0.25">
      <c r="A616" s="38"/>
      <c r="B616" s="38"/>
      <c r="C616" s="470"/>
      <c r="D616" s="470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</row>
    <row r="617" spans="1:17" ht="19.5" customHeight="1" x14ac:dyDescent="0.25">
      <c r="A617" s="38"/>
      <c r="B617" s="38"/>
      <c r="C617" s="470"/>
      <c r="D617" s="470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</row>
    <row r="618" spans="1:17" ht="19.5" customHeight="1" x14ac:dyDescent="0.25">
      <c r="A618" s="38"/>
      <c r="B618" s="38"/>
      <c r="C618" s="470"/>
      <c r="D618" s="470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</row>
    <row r="619" spans="1:17" ht="19.5" customHeight="1" x14ac:dyDescent="0.25">
      <c r="A619" s="38"/>
      <c r="B619" s="38"/>
      <c r="C619" s="470"/>
      <c r="D619" s="470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</row>
    <row r="620" spans="1:17" ht="19.5" customHeight="1" x14ac:dyDescent="0.25">
      <c r="A620" s="38"/>
      <c r="B620" s="38"/>
      <c r="C620" s="470"/>
      <c r="D620" s="470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</row>
    <row r="621" spans="1:17" ht="19.5" customHeight="1" x14ac:dyDescent="0.25">
      <c r="A621" s="38"/>
      <c r="B621" s="38"/>
      <c r="C621" s="470"/>
      <c r="D621" s="470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</row>
    <row r="622" spans="1:17" ht="19.5" customHeight="1" x14ac:dyDescent="0.25">
      <c r="A622" s="38"/>
      <c r="B622" s="38"/>
      <c r="C622" s="470"/>
      <c r="D622" s="470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</row>
    <row r="623" spans="1:17" ht="19.5" customHeight="1" x14ac:dyDescent="0.25">
      <c r="A623" s="38"/>
      <c r="B623" s="38"/>
      <c r="C623" s="470"/>
      <c r="D623" s="470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</row>
    <row r="624" spans="1:17" ht="19.5" customHeight="1" x14ac:dyDescent="0.25">
      <c r="A624" s="38"/>
      <c r="B624" s="38"/>
      <c r="C624" s="470"/>
      <c r="D624" s="470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</row>
    <row r="625" spans="1:17" ht="19.5" customHeight="1" x14ac:dyDescent="0.25">
      <c r="A625" s="38"/>
      <c r="B625" s="38"/>
      <c r="C625" s="470"/>
      <c r="D625" s="470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</row>
    <row r="626" spans="1:17" ht="19.5" customHeight="1" x14ac:dyDescent="0.25">
      <c r="A626" s="38"/>
      <c r="B626" s="38"/>
      <c r="C626" s="470"/>
      <c r="D626" s="470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</row>
    <row r="627" spans="1:17" ht="19.5" customHeight="1" x14ac:dyDescent="0.25">
      <c r="A627" s="38"/>
      <c r="B627" s="38"/>
      <c r="C627" s="470"/>
      <c r="D627" s="470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</row>
    <row r="628" spans="1:17" ht="19.5" customHeight="1" x14ac:dyDescent="0.25">
      <c r="A628" s="38"/>
      <c r="B628" s="38"/>
      <c r="C628" s="470"/>
      <c r="D628" s="470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</row>
    <row r="629" spans="1:17" ht="19.5" customHeight="1" x14ac:dyDescent="0.25">
      <c r="A629" s="38"/>
      <c r="B629" s="38"/>
      <c r="C629" s="470"/>
      <c r="D629" s="470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</row>
    <row r="630" spans="1:17" ht="19.5" customHeight="1" x14ac:dyDescent="0.25">
      <c r="A630" s="38"/>
      <c r="B630" s="38"/>
      <c r="C630" s="470"/>
      <c r="D630" s="470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</row>
    <row r="631" spans="1:17" ht="19.5" customHeight="1" x14ac:dyDescent="0.25">
      <c r="A631" s="38"/>
      <c r="B631" s="38"/>
      <c r="C631" s="470"/>
      <c r="D631" s="470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</row>
    <row r="632" spans="1:17" ht="19.5" customHeight="1" x14ac:dyDescent="0.25">
      <c r="A632" s="38"/>
      <c r="B632" s="38"/>
      <c r="C632" s="470"/>
      <c r="D632" s="470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</row>
    <row r="633" spans="1:17" ht="19.5" customHeight="1" x14ac:dyDescent="0.25">
      <c r="A633" s="38"/>
      <c r="B633" s="38"/>
      <c r="C633" s="470"/>
      <c r="D633" s="470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</row>
    <row r="634" spans="1:17" ht="19.5" customHeight="1" x14ac:dyDescent="0.25">
      <c r="A634" s="38"/>
      <c r="B634" s="38"/>
      <c r="C634" s="470"/>
      <c r="D634" s="470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</row>
    <row r="635" spans="1:17" ht="19.5" customHeight="1" x14ac:dyDescent="0.25">
      <c r="A635" s="38"/>
      <c r="B635" s="38"/>
      <c r="C635" s="470"/>
      <c r="D635" s="470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</row>
    <row r="636" spans="1:17" ht="19.5" customHeight="1" x14ac:dyDescent="0.25">
      <c r="A636" s="38"/>
      <c r="B636" s="38"/>
      <c r="C636" s="470"/>
      <c r="D636" s="470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</row>
    <row r="637" spans="1:17" ht="19.5" customHeight="1" x14ac:dyDescent="0.25">
      <c r="A637" s="38"/>
      <c r="B637" s="38"/>
      <c r="C637" s="470"/>
      <c r="D637" s="470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</row>
    <row r="638" spans="1:17" ht="19.5" customHeight="1" x14ac:dyDescent="0.25">
      <c r="A638" s="38"/>
      <c r="B638" s="38"/>
      <c r="C638" s="470"/>
      <c r="D638" s="470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</row>
    <row r="639" spans="1:17" ht="19.5" customHeight="1" x14ac:dyDescent="0.25">
      <c r="A639" s="38"/>
      <c r="B639" s="38"/>
      <c r="C639" s="470"/>
      <c r="D639" s="470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</row>
    <row r="640" spans="1:17" ht="19.5" customHeight="1" x14ac:dyDescent="0.25">
      <c r="A640" s="38"/>
      <c r="B640" s="38"/>
      <c r="C640" s="470"/>
      <c r="D640" s="470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</row>
    <row r="641" spans="1:17" ht="19.5" customHeight="1" x14ac:dyDescent="0.25">
      <c r="A641" s="38"/>
      <c r="B641" s="38"/>
      <c r="C641" s="470"/>
      <c r="D641" s="470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</row>
    <row r="642" spans="1:17" ht="19.5" customHeight="1" x14ac:dyDescent="0.25">
      <c r="A642" s="38"/>
      <c r="B642" s="38"/>
      <c r="C642" s="470"/>
      <c r="D642" s="470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</row>
    <row r="643" spans="1:17" ht="19.5" customHeight="1" x14ac:dyDescent="0.25">
      <c r="A643" s="38"/>
      <c r="B643" s="38"/>
      <c r="C643" s="470"/>
      <c r="D643" s="470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</row>
    <row r="644" spans="1:17" ht="19.5" customHeight="1" x14ac:dyDescent="0.25">
      <c r="A644" s="38"/>
      <c r="B644" s="38"/>
      <c r="C644" s="470"/>
      <c r="D644" s="470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</row>
    <row r="645" spans="1:17" ht="19.5" customHeight="1" x14ac:dyDescent="0.25">
      <c r="A645" s="38"/>
      <c r="B645" s="38"/>
      <c r="C645" s="470"/>
      <c r="D645" s="470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</row>
    <row r="646" spans="1:17" ht="19.5" customHeight="1" x14ac:dyDescent="0.25">
      <c r="A646" s="38"/>
      <c r="B646" s="38"/>
      <c r="C646" s="470"/>
      <c r="D646" s="470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</row>
    <row r="647" spans="1:17" ht="19.5" customHeight="1" x14ac:dyDescent="0.25">
      <c r="A647" s="38"/>
      <c r="B647" s="38"/>
      <c r="C647" s="470"/>
      <c r="D647" s="470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</row>
    <row r="648" spans="1:17" ht="19.5" customHeight="1" x14ac:dyDescent="0.25">
      <c r="A648" s="38"/>
      <c r="B648" s="38"/>
      <c r="C648" s="470"/>
      <c r="D648" s="470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</row>
    <row r="649" spans="1:17" ht="19.5" customHeight="1" x14ac:dyDescent="0.25">
      <c r="A649" s="38"/>
      <c r="B649" s="38"/>
      <c r="C649" s="470"/>
      <c r="D649" s="470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</row>
    <row r="650" spans="1:17" ht="19.5" customHeight="1" x14ac:dyDescent="0.25">
      <c r="A650" s="38"/>
      <c r="B650" s="38"/>
      <c r="C650" s="470"/>
      <c r="D650" s="470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</row>
    <row r="651" spans="1:17" ht="19.5" customHeight="1" x14ac:dyDescent="0.25">
      <c r="A651" s="38"/>
      <c r="B651" s="38"/>
      <c r="C651" s="470"/>
      <c r="D651" s="470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</row>
    <row r="652" spans="1:17" ht="19.5" customHeight="1" x14ac:dyDescent="0.25">
      <c r="A652" s="38"/>
      <c r="B652" s="38"/>
      <c r="C652" s="470"/>
      <c r="D652" s="470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</row>
    <row r="653" spans="1:17" ht="19.5" customHeight="1" x14ac:dyDescent="0.25">
      <c r="A653" s="38"/>
      <c r="B653" s="38"/>
      <c r="C653" s="470"/>
      <c r="D653" s="470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</row>
    <row r="654" spans="1:17" ht="19.5" customHeight="1" x14ac:dyDescent="0.25">
      <c r="A654" s="38"/>
      <c r="B654" s="38"/>
      <c r="C654" s="470"/>
      <c r="D654" s="470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</row>
    <row r="655" spans="1:17" ht="19.5" customHeight="1" x14ac:dyDescent="0.25">
      <c r="A655" s="38"/>
      <c r="B655" s="38"/>
      <c r="C655" s="470"/>
      <c r="D655" s="470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</row>
    <row r="656" spans="1:17" ht="19.5" customHeight="1" x14ac:dyDescent="0.25">
      <c r="A656" s="38"/>
      <c r="B656" s="38"/>
      <c r="C656" s="470"/>
      <c r="D656" s="470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</row>
    <row r="657" spans="1:17" ht="19.5" customHeight="1" x14ac:dyDescent="0.25">
      <c r="A657" s="38"/>
      <c r="B657" s="38"/>
      <c r="C657" s="470"/>
      <c r="D657" s="470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</row>
    <row r="658" spans="1:17" ht="19.5" customHeight="1" x14ac:dyDescent="0.25">
      <c r="A658" s="38"/>
      <c r="B658" s="38"/>
      <c r="C658" s="470"/>
      <c r="D658" s="470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</row>
    <row r="659" spans="1:17" ht="19.5" customHeight="1" x14ac:dyDescent="0.25">
      <c r="A659" s="38"/>
      <c r="B659" s="38"/>
      <c r="C659" s="470"/>
      <c r="D659" s="470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</row>
    <row r="660" spans="1:17" ht="19.5" customHeight="1" x14ac:dyDescent="0.25">
      <c r="A660" s="38"/>
      <c r="B660" s="38"/>
      <c r="C660" s="470"/>
      <c r="D660" s="470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</row>
    <row r="661" spans="1:17" ht="19.5" customHeight="1" x14ac:dyDescent="0.25">
      <c r="A661" s="38"/>
      <c r="B661" s="38"/>
      <c r="C661" s="470"/>
      <c r="D661" s="470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</row>
    <row r="662" spans="1:17" ht="19.5" customHeight="1" x14ac:dyDescent="0.25">
      <c r="A662" s="38"/>
      <c r="B662" s="38"/>
      <c r="C662" s="470"/>
      <c r="D662" s="470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</row>
    <row r="663" spans="1:17" ht="19.5" customHeight="1" x14ac:dyDescent="0.25">
      <c r="A663" s="38"/>
      <c r="B663" s="38"/>
      <c r="C663" s="470"/>
      <c r="D663" s="470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</row>
    <row r="664" spans="1:17" ht="19.5" customHeight="1" x14ac:dyDescent="0.25">
      <c r="A664" s="38"/>
      <c r="B664" s="38"/>
      <c r="C664" s="470"/>
      <c r="D664" s="470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</row>
    <row r="665" spans="1:17" ht="19.5" customHeight="1" x14ac:dyDescent="0.25">
      <c r="A665" s="38"/>
      <c r="B665" s="38"/>
      <c r="C665" s="470"/>
      <c r="D665" s="470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</row>
    <row r="666" spans="1:17" ht="19.5" customHeight="1" x14ac:dyDescent="0.25">
      <c r="A666" s="38"/>
      <c r="B666" s="38"/>
      <c r="C666" s="470"/>
      <c r="D666" s="470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</row>
    <row r="667" spans="1:17" ht="19.5" customHeight="1" x14ac:dyDescent="0.25">
      <c r="A667" s="38"/>
      <c r="B667" s="38"/>
      <c r="C667" s="470"/>
      <c r="D667" s="470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</row>
    <row r="668" spans="1:17" ht="19.5" customHeight="1" x14ac:dyDescent="0.25">
      <c r="A668" s="38"/>
      <c r="B668" s="38"/>
      <c r="C668" s="470"/>
      <c r="D668" s="470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</row>
    <row r="669" spans="1:17" ht="19.5" customHeight="1" x14ac:dyDescent="0.25">
      <c r="A669" s="38"/>
      <c r="B669" s="38"/>
      <c r="C669" s="470"/>
      <c r="D669" s="470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</row>
    <row r="670" spans="1:17" ht="19.5" customHeight="1" x14ac:dyDescent="0.25">
      <c r="A670" s="38"/>
      <c r="B670" s="38"/>
      <c r="C670" s="470"/>
      <c r="D670" s="470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</row>
    <row r="671" spans="1:17" ht="19.5" customHeight="1" x14ac:dyDescent="0.25">
      <c r="A671" s="38"/>
      <c r="B671" s="38"/>
      <c r="C671" s="470"/>
      <c r="D671" s="470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</row>
    <row r="672" spans="1:17" ht="19.5" customHeight="1" x14ac:dyDescent="0.25">
      <c r="A672" s="38"/>
      <c r="B672" s="38"/>
      <c r="C672" s="470"/>
      <c r="D672" s="470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</row>
    <row r="673" spans="1:17" ht="19.5" customHeight="1" x14ac:dyDescent="0.25">
      <c r="A673" s="38"/>
      <c r="B673" s="38"/>
      <c r="C673" s="470"/>
      <c r="D673" s="470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</row>
    <row r="674" spans="1:17" ht="19.5" customHeight="1" x14ac:dyDescent="0.25">
      <c r="A674" s="38"/>
      <c r="B674" s="38"/>
      <c r="C674" s="470"/>
      <c r="D674" s="470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</row>
    <row r="675" spans="1:17" ht="19.5" customHeight="1" x14ac:dyDescent="0.25">
      <c r="A675" s="38"/>
      <c r="B675" s="38"/>
      <c r="C675" s="470"/>
      <c r="D675" s="470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</row>
    <row r="676" spans="1:17" ht="19.5" customHeight="1" x14ac:dyDescent="0.25">
      <c r="A676" s="38"/>
      <c r="B676" s="38"/>
      <c r="C676" s="470"/>
      <c r="D676" s="470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</row>
    <row r="677" spans="1:17" ht="19.5" customHeight="1" x14ac:dyDescent="0.25">
      <c r="A677" s="38"/>
      <c r="B677" s="38"/>
      <c r="C677" s="470"/>
      <c r="D677" s="470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</row>
    <row r="678" spans="1:17" ht="19.5" customHeight="1" x14ac:dyDescent="0.25">
      <c r="A678" s="38"/>
      <c r="B678" s="38"/>
      <c r="C678" s="470"/>
      <c r="D678" s="470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</row>
    <row r="679" spans="1:17" ht="19.5" customHeight="1" x14ac:dyDescent="0.25">
      <c r="A679" s="38"/>
      <c r="B679" s="38"/>
      <c r="C679" s="470"/>
      <c r="D679" s="470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</row>
    <row r="680" spans="1:17" ht="19.5" customHeight="1" x14ac:dyDescent="0.25">
      <c r="A680" s="38"/>
      <c r="B680" s="38"/>
      <c r="C680" s="470"/>
      <c r="D680" s="470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</row>
    <row r="681" spans="1:17" ht="19.5" customHeight="1" x14ac:dyDescent="0.25">
      <c r="A681" s="38"/>
      <c r="B681" s="38"/>
      <c r="C681" s="470"/>
      <c r="D681" s="470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</row>
    <row r="682" spans="1:17" ht="19.5" customHeight="1" x14ac:dyDescent="0.25">
      <c r="A682" s="38"/>
      <c r="B682" s="38"/>
      <c r="C682" s="470"/>
      <c r="D682" s="470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</row>
    <row r="683" spans="1:17" ht="19.5" customHeight="1" x14ac:dyDescent="0.25">
      <c r="A683" s="38"/>
      <c r="B683" s="38"/>
      <c r="C683" s="470"/>
      <c r="D683" s="470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</row>
    <row r="684" spans="1:17" ht="19.5" customHeight="1" x14ac:dyDescent="0.25">
      <c r="A684" s="38"/>
      <c r="B684" s="38"/>
      <c r="C684" s="470"/>
      <c r="D684" s="470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</row>
    <row r="685" spans="1:17" ht="19.5" customHeight="1" x14ac:dyDescent="0.25">
      <c r="A685" s="38"/>
      <c r="B685" s="38"/>
      <c r="C685" s="470"/>
      <c r="D685" s="470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</row>
    <row r="686" spans="1:17" ht="19.5" customHeight="1" x14ac:dyDescent="0.25">
      <c r="A686" s="38"/>
      <c r="B686" s="38"/>
      <c r="C686" s="470"/>
      <c r="D686" s="470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</row>
    <row r="687" spans="1:17" ht="19.5" customHeight="1" x14ac:dyDescent="0.25">
      <c r="A687" s="38"/>
      <c r="B687" s="38"/>
      <c r="C687" s="470"/>
      <c r="D687" s="470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</row>
    <row r="688" spans="1:17" ht="19.5" customHeight="1" x14ac:dyDescent="0.25">
      <c r="A688" s="38"/>
      <c r="B688" s="38"/>
      <c r="C688" s="470"/>
      <c r="D688" s="470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</row>
    <row r="689" spans="1:17" ht="19.5" customHeight="1" x14ac:dyDescent="0.25">
      <c r="A689" s="38"/>
      <c r="B689" s="38"/>
      <c r="C689" s="470"/>
      <c r="D689" s="470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</row>
    <row r="690" spans="1:17" ht="19.5" customHeight="1" x14ac:dyDescent="0.25">
      <c r="A690" s="38"/>
      <c r="B690" s="38"/>
      <c r="C690" s="470"/>
      <c r="D690" s="470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</row>
    <row r="691" spans="1:17" ht="19.5" customHeight="1" x14ac:dyDescent="0.25">
      <c r="A691" s="38"/>
      <c r="B691" s="38"/>
      <c r="C691" s="470"/>
      <c r="D691" s="470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</row>
    <row r="692" spans="1:17" ht="19.5" customHeight="1" x14ac:dyDescent="0.25">
      <c r="A692" s="38"/>
      <c r="B692" s="38"/>
      <c r="C692" s="470"/>
      <c r="D692" s="470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</row>
    <row r="693" spans="1:17" ht="19.5" customHeight="1" x14ac:dyDescent="0.25">
      <c r="A693" s="38"/>
      <c r="B693" s="38"/>
      <c r="C693" s="470"/>
      <c r="D693" s="470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</row>
    <row r="694" spans="1:17" ht="19.5" customHeight="1" x14ac:dyDescent="0.25">
      <c r="A694" s="38"/>
      <c r="B694" s="38"/>
      <c r="C694" s="470"/>
      <c r="D694" s="470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</row>
    <row r="695" spans="1:17" ht="19.5" customHeight="1" x14ac:dyDescent="0.25">
      <c r="A695" s="38"/>
      <c r="B695" s="38"/>
      <c r="C695" s="470"/>
      <c r="D695" s="470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</row>
    <row r="696" spans="1:17" ht="19.5" customHeight="1" x14ac:dyDescent="0.25">
      <c r="A696" s="38"/>
      <c r="B696" s="38"/>
      <c r="C696" s="470"/>
      <c r="D696" s="470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</row>
    <row r="697" spans="1:17" ht="19.5" customHeight="1" x14ac:dyDescent="0.25">
      <c r="A697" s="38"/>
      <c r="B697" s="38"/>
      <c r="C697" s="470"/>
      <c r="D697" s="470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</row>
    <row r="698" spans="1:17" ht="19.5" customHeight="1" x14ac:dyDescent="0.25">
      <c r="A698" s="38"/>
      <c r="B698" s="38"/>
      <c r="C698" s="470"/>
      <c r="D698" s="470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</row>
    <row r="699" spans="1:17" ht="19.5" customHeight="1" x14ac:dyDescent="0.25">
      <c r="A699" s="38"/>
      <c r="B699" s="38"/>
      <c r="C699" s="470"/>
      <c r="D699" s="470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</row>
    <row r="700" spans="1:17" ht="19.5" customHeight="1" x14ac:dyDescent="0.25">
      <c r="A700" s="38"/>
      <c r="B700" s="38"/>
      <c r="C700" s="470"/>
      <c r="D700" s="470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</row>
    <row r="701" spans="1:17" ht="19.5" customHeight="1" x14ac:dyDescent="0.25">
      <c r="A701" s="38"/>
      <c r="B701" s="38"/>
      <c r="C701" s="470"/>
      <c r="D701" s="470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</row>
    <row r="702" spans="1:17" ht="19.5" customHeight="1" x14ac:dyDescent="0.25">
      <c r="A702" s="38"/>
      <c r="B702" s="38"/>
      <c r="C702" s="470"/>
      <c r="D702" s="470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</row>
    <row r="703" spans="1:17" ht="19.5" customHeight="1" x14ac:dyDescent="0.25">
      <c r="A703" s="38"/>
      <c r="B703" s="38"/>
      <c r="C703" s="470"/>
      <c r="D703" s="470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</row>
    <row r="704" spans="1:17" ht="19.5" customHeight="1" x14ac:dyDescent="0.25">
      <c r="A704" s="38"/>
      <c r="B704" s="38"/>
      <c r="C704" s="470"/>
      <c r="D704" s="470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</row>
    <row r="705" spans="1:17" ht="19.5" customHeight="1" x14ac:dyDescent="0.25">
      <c r="A705" s="38"/>
      <c r="B705" s="38"/>
      <c r="C705" s="470"/>
      <c r="D705" s="470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</row>
    <row r="706" spans="1:17" ht="19.5" customHeight="1" x14ac:dyDescent="0.25">
      <c r="A706" s="38"/>
      <c r="B706" s="38"/>
      <c r="C706" s="470"/>
      <c r="D706" s="470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</row>
    <row r="707" spans="1:17" ht="19.5" customHeight="1" x14ac:dyDescent="0.25">
      <c r="A707" s="38"/>
      <c r="B707" s="38"/>
      <c r="C707" s="470"/>
      <c r="D707" s="470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</row>
    <row r="708" spans="1:17" ht="19.5" customHeight="1" x14ac:dyDescent="0.25">
      <c r="A708" s="38"/>
      <c r="B708" s="38"/>
      <c r="C708" s="470"/>
      <c r="D708" s="470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</row>
    <row r="709" spans="1:17" ht="19.5" customHeight="1" x14ac:dyDescent="0.25">
      <c r="A709" s="38"/>
      <c r="B709" s="38"/>
      <c r="C709" s="470"/>
      <c r="D709" s="470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</row>
    <row r="710" spans="1:17" ht="19.5" customHeight="1" x14ac:dyDescent="0.25">
      <c r="A710" s="38"/>
      <c r="B710" s="38"/>
      <c r="C710" s="470"/>
      <c r="D710" s="470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</row>
    <row r="711" spans="1:17" ht="19.5" customHeight="1" x14ac:dyDescent="0.25">
      <c r="A711" s="38"/>
      <c r="B711" s="38"/>
      <c r="C711" s="470"/>
      <c r="D711" s="470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</row>
    <row r="712" spans="1:17" ht="19.5" customHeight="1" x14ac:dyDescent="0.25">
      <c r="A712" s="38"/>
      <c r="B712" s="38"/>
      <c r="C712" s="470"/>
      <c r="D712" s="470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</row>
    <row r="713" spans="1:17" ht="19.5" customHeight="1" x14ac:dyDescent="0.25">
      <c r="A713" s="38"/>
      <c r="B713" s="38"/>
      <c r="C713" s="470"/>
      <c r="D713" s="470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</row>
    <row r="714" spans="1:17" ht="19.5" customHeight="1" x14ac:dyDescent="0.25">
      <c r="A714" s="38"/>
      <c r="B714" s="38"/>
      <c r="C714" s="470"/>
      <c r="D714" s="470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</row>
    <row r="715" spans="1:17" ht="19.5" customHeight="1" x14ac:dyDescent="0.25">
      <c r="A715" s="38"/>
      <c r="B715" s="38"/>
      <c r="C715" s="470"/>
      <c r="D715" s="470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</row>
    <row r="716" spans="1:17" ht="19.5" customHeight="1" x14ac:dyDescent="0.25">
      <c r="A716" s="38"/>
      <c r="B716" s="38"/>
      <c r="C716" s="470"/>
      <c r="D716" s="470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</row>
    <row r="717" spans="1:17" ht="19.5" customHeight="1" x14ac:dyDescent="0.25">
      <c r="A717" s="38"/>
      <c r="B717" s="38"/>
      <c r="C717" s="470"/>
      <c r="D717" s="470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</row>
    <row r="718" spans="1:17" ht="19.5" customHeight="1" x14ac:dyDescent="0.25">
      <c r="A718" s="38"/>
      <c r="B718" s="38"/>
      <c r="C718" s="470"/>
      <c r="D718" s="470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</row>
    <row r="719" spans="1:17" ht="19.5" customHeight="1" x14ac:dyDescent="0.25">
      <c r="A719" s="38"/>
      <c r="B719" s="38"/>
      <c r="C719" s="470"/>
      <c r="D719" s="470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</row>
    <row r="720" spans="1:17" ht="19.5" customHeight="1" x14ac:dyDescent="0.25">
      <c r="A720" s="38"/>
      <c r="B720" s="38"/>
      <c r="C720" s="470"/>
      <c r="D720" s="470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</row>
    <row r="721" spans="1:17" ht="19.5" customHeight="1" x14ac:dyDescent="0.25">
      <c r="A721" s="38"/>
      <c r="B721" s="38"/>
      <c r="C721" s="470"/>
      <c r="D721" s="470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</row>
    <row r="722" spans="1:17" ht="19.5" customHeight="1" x14ac:dyDescent="0.25">
      <c r="A722" s="38"/>
      <c r="B722" s="38"/>
      <c r="C722" s="470"/>
      <c r="D722" s="470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</row>
    <row r="723" spans="1:17" ht="19.5" customHeight="1" x14ac:dyDescent="0.25">
      <c r="A723" s="38"/>
      <c r="B723" s="38"/>
      <c r="C723" s="470"/>
      <c r="D723" s="470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</row>
    <row r="724" spans="1:17" ht="19.5" customHeight="1" x14ac:dyDescent="0.25">
      <c r="A724" s="38"/>
      <c r="B724" s="38"/>
      <c r="C724" s="470"/>
      <c r="D724" s="470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</row>
    <row r="725" spans="1:17" ht="19.5" customHeight="1" x14ac:dyDescent="0.25">
      <c r="A725" s="38"/>
      <c r="B725" s="38"/>
      <c r="C725" s="470"/>
      <c r="D725" s="470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</row>
    <row r="726" spans="1:17" ht="19.5" customHeight="1" x14ac:dyDescent="0.25">
      <c r="A726" s="38"/>
      <c r="B726" s="38"/>
      <c r="C726" s="470"/>
      <c r="D726" s="470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</row>
    <row r="727" spans="1:17" ht="19.5" customHeight="1" x14ac:dyDescent="0.25">
      <c r="A727" s="38"/>
      <c r="B727" s="38"/>
      <c r="C727" s="470"/>
      <c r="D727" s="470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</row>
    <row r="728" spans="1:17" ht="19.5" customHeight="1" x14ac:dyDescent="0.25">
      <c r="A728" s="38"/>
      <c r="B728" s="38"/>
      <c r="C728" s="470"/>
      <c r="D728" s="470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</row>
    <row r="729" spans="1:17" ht="19.5" customHeight="1" x14ac:dyDescent="0.25">
      <c r="A729" s="38"/>
      <c r="B729" s="38"/>
      <c r="C729" s="470"/>
      <c r="D729" s="470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</row>
    <row r="730" spans="1:17" ht="19.5" customHeight="1" x14ac:dyDescent="0.25">
      <c r="A730" s="38"/>
      <c r="B730" s="38"/>
      <c r="C730" s="470"/>
      <c r="D730" s="470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</row>
    <row r="731" spans="1:17" ht="19.5" customHeight="1" x14ac:dyDescent="0.25">
      <c r="A731" s="38"/>
      <c r="B731" s="38"/>
      <c r="C731" s="470"/>
      <c r="D731" s="470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</row>
    <row r="732" spans="1:17" ht="19.5" customHeight="1" x14ac:dyDescent="0.25">
      <c r="A732" s="38"/>
      <c r="B732" s="38"/>
      <c r="C732" s="470"/>
      <c r="D732" s="470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</row>
    <row r="733" spans="1:17" ht="19.5" customHeight="1" x14ac:dyDescent="0.25">
      <c r="A733" s="38"/>
      <c r="B733" s="38"/>
      <c r="C733" s="470"/>
      <c r="D733" s="470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</row>
    <row r="734" spans="1:17" ht="19.5" customHeight="1" x14ac:dyDescent="0.25">
      <c r="A734" s="38"/>
      <c r="B734" s="38"/>
      <c r="C734" s="470"/>
      <c r="D734" s="470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</row>
    <row r="735" spans="1:17" ht="19.5" customHeight="1" x14ac:dyDescent="0.25">
      <c r="A735" s="38"/>
      <c r="B735" s="38"/>
      <c r="C735" s="470"/>
      <c r="D735" s="470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</row>
    <row r="736" spans="1:17" ht="19.5" customHeight="1" x14ac:dyDescent="0.25">
      <c r="A736" s="38"/>
      <c r="B736" s="38"/>
      <c r="C736" s="470"/>
      <c r="D736" s="470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</row>
    <row r="737" spans="1:17" ht="19.5" customHeight="1" x14ac:dyDescent="0.25">
      <c r="A737" s="38"/>
      <c r="B737" s="38"/>
      <c r="C737" s="470"/>
      <c r="D737" s="470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</row>
    <row r="738" spans="1:17" ht="19.5" customHeight="1" x14ac:dyDescent="0.25">
      <c r="A738" s="38"/>
      <c r="B738" s="38"/>
      <c r="C738" s="470"/>
      <c r="D738" s="470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</row>
    <row r="739" spans="1:17" ht="19.5" customHeight="1" x14ac:dyDescent="0.25">
      <c r="A739" s="38"/>
      <c r="B739" s="38"/>
      <c r="C739" s="470"/>
      <c r="D739" s="470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</row>
    <row r="740" spans="1:17" ht="19.5" customHeight="1" x14ac:dyDescent="0.25">
      <c r="A740" s="38"/>
      <c r="B740" s="38"/>
      <c r="C740" s="470"/>
      <c r="D740" s="470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</row>
    <row r="741" spans="1:17" ht="19.5" customHeight="1" x14ac:dyDescent="0.25">
      <c r="A741" s="38"/>
      <c r="B741" s="38"/>
      <c r="C741" s="470"/>
      <c r="D741" s="470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</row>
    <row r="742" spans="1:17" ht="19.5" customHeight="1" x14ac:dyDescent="0.25">
      <c r="A742" s="38"/>
      <c r="B742" s="38"/>
      <c r="C742" s="470"/>
      <c r="D742" s="470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</row>
    <row r="743" spans="1:17" ht="19.5" customHeight="1" x14ac:dyDescent="0.25">
      <c r="A743" s="38"/>
      <c r="B743" s="38"/>
      <c r="C743" s="470"/>
      <c r="D743" s="470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</row>
    <row r="744" spans="1:17" ht="19.5" customHeight="1" x14ac:dyDescent="0.25">
      <c r="A744" s="38"/>
      <c r="B744" s="38"/>
      <c r="C744" s="470"/>
      <c r="D744" s="470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</row>
    <row r="745" spans="1:17" ht="19.5" customHeight="1" x14ac:dyDescent="0.25">
      <c r="A745" s="38"/>
      <c r="B745" s="38"/>
      <c r="C745" s="470"/>
      <c r="D745" s="470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</row>
    <row r="746" spans="1:17" ht="19.5" customHeight="1" x14ac:dyDescent="0.25">
      <c r="A746" s="38"/>
      <c r="B746" s="38"/>
      <c r="C746" s="470"/>
      <c r="D746" s="470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</row>
    <row r="747" spans="1:17" ht="19.5" customHeight="1" x14ac:dyDescent="0.25">
      <c r="A747" s="38"/>
      <c r="B747" s="38"/>
      <c r="C747" s="470"/>
      <c r="D747" s="470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</row>
    <row r="748" spans="1:17" ht="19.5" customHeight="1" x14ac:dyDescent="0.25">
      <c r="A748" s="38"/>
      <c r="B748" s="38"/>
      <c r="C748" s="470"/>
      <c r="D748" s="470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</row>
    <row r="749" spans="1:17" ht="19.5" customHeight="1" x14ac:dyDescent="0.25">
      <c r="A749" s="38"/>
      <c r="B749" s="38"/>
      <c r="C749" s="470"/>
      <c r="D749" s="470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</row>
    <row r="750" spans="1:17" ht="19.5" customHeight="1" x14ac:dyDescent="0.25">
      <c r="A750" s="38"/>
      <c r="B750" s="38"/>
      <c r="C750" s="470"/>
      <c r="D750" s="470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</row>
    <row r="751" spans="1:17" ht="19.5" customHeight="1" x14ac:dyDescent="0.25">
      <c r="A751" s="38"/>
      <c r="B751" s="38"/>
      <c r="C751" s="470"/>
      <c r="D751" s="470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</row>
    <row r="752" spans="1:17" ht="19.5" customHeight="1" x14ac:dyDescent="0.25">
      <c r="A752" s="38"/>
      <c r="B752" s="38"/>
      <c r="C752" s="470"/>
      <c r="D752" s="470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</row>
    <row r="753" spans="1:17" ht="19.5" customHeight="1" x14ac:dyDescent="0.25">
      <c r="A753" s="38"/>
      <c r="B753" s="38"/>
      <c r="C753" s="470"/>
      <c r="D753" s="470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</row>
    <row r="754" spans="1:17" ht="19.5" customHeight="1" x14ac:dyDescent="0.25">
      <c r="A754" s="38"/>
      <c r="B754" s="38"/>
      <c r="C754" s="470"/>
      <c r="D754" s="470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</row>
    <row r="755" spans="1:17" ht="19.5" customHeight="1" x14ac:dyDescent="0.25">
      <c r="A755" s="38"/>
      <c r="B755" s="38"/>
      <c r="C755" s="470"/>
      <c r="D755" s="470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</row>
    <row r="756" spans="1:17" ht="19.5" customHeight="1" x14ac:dyDescent="0.25">
      <c r="A756" s="38"/>
      <c r="B756" s="38"/>
      <c r="C756" s="470"/>
      <c r="D756" s="470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</row>
    <row r="757" spans="1:17" ht="19.5" customHeight="1" x14ac:dyDescent="0.25">
      <c r="A757" s="38"/>
      <c r="B757" s="38"/>
      <c r="C757" s="470"/>
      <c r="D757" s="470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</row>
    <row r="758" spans="1:17" ht="19.5" customHeight="1" x14ac:dyDescent="0.25">
      <c r="A758" s="38"/>
      <c r="B758" s="38"/>
      <c r="C758" s="470"/>
      <c r="D758" s="470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</row>
    <row r="759" spans="1:17" ht="19.5" customHeight="1" x14ac:dyDescent="0.25">
      <c r="A759" s="38"/>
      <c r="B759" s="38"/>
      <c r="C759" s="470"/>
      <c r="D759" s="470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</row>
    <row r="760" spans="1:17" ht="19.5" customHeight="1" x14ac:dyDescent="0.25">
      <c r="A760" s="38"/>
      <c r="B760" s="38"/>
      <c r="C760" s="470"/>
      <c r="D760" s="470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</row>
    <row r="761" spans="1:17" ht="19.5" customHeight="1" x14ac:dyDescent="0.25">
      <c r="A761" s="38"/>
      <c r="B761" s="38"/>
      <c r="C761" s="470"/>
      <c r="D761" s="470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</row>
    <row r="762" spans="1:17" ht="19.5" customHeight="1" x14ac:dyDescent="0.25">
      <c r="A762" s="38"/>
      <c r="B762" s="38"/>
      <c r="C762" s="470"/>
      <c r="D762" s="470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</row>
    <row r="763" spans="1:17" ht="19.5" customHeight="1" x14ac:dyDescent="0.25">
      <c r="A763" s="38"/>
      <c r="B763" s="38"/>
      <c r="C763" s="470"/>
      <c r="D763" s="470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</row>
    <row r="764" spans="1:17" ht="19.5" customHeight="1" x14ac:dyDescent="0.25">
      <c r="A764" s="38"/>
      <c r="B764" s="38"/>
      <c r="C764" s="470"/>
      <c r="D764" s="470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</row>
    <row r="765" spans="1:17" ht="19.5" customHeight="1" x14ac:dyDescent="0.25">
      <c r="A765" s="38"/>
      <c r="B765" s="38"/>
      <c r="C765" s="470"/>
      <c r="D765" s="470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</row>
    <row r="766" spans="1:17" ht="19.5" customHeight="1" x14ac:dyDescent="0.25">
      <c r="A766" s="38"/>
      <c r="B766" s="38"/>
      <c r="C766" s="470"/>
      <c r="D766" s="470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</row>
    <row r="767" spans="1:17" ht="19.5" customHeight="1" x14ac:dyDescent="0.25">
      <c r="A767" s="38"/>
      <c r="B767" s="38"/>
      <c r="C767" s="470"/>
      <c r="D767" s="470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</row>
    <row r="768" spans="1:17" ht="19.5" customHeight="1" x14ac:dyDescent="0.25">
      <c r="A768" s="38"/>
      <c r="B768" s="38"/>
      <c r="C768" s="470"/>
      <c r="D768" s="470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</row>
    <row r="769" spans="1:17" ht="19.5" customHeight="1" x14ac:dyDescent="0.25">
      <c r="A769" s="38"/>
      <c r="B769" s="38"/>
      <c r="C769" s="470"/>
      <c r="D769" s="470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</row>
    <row r="770" spans="1:17" ht="19.5" customHeight="1" x14ac:dyDescent="0.25">
      <c r="A770" s="38"/>
      <c r="B770" s="38"/>
      <c r="C770" s="470"/>
      <c r="D770" s="470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</row>
    <row r="771" spans="1:17" ht="19.5" customHeight="1" x14ac:dyDescent="0.25">
      <c r="A771" s="38"/>
      <c r="B771" s="38"/>
      <c r="C771" s="470"/>
      <c r="D771" s="470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</row>
    <row r="772" spans="1:17" ht="19.5" customHeight="1" x14ac:dyDescent="0.25">
      <c r="A772" s="38"/>
      <c r="B772" s="38"/>
      <c r="C772" s="470"/>
      <c r="D772" s="470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</row>
    <row r="773" spans="1:17" ht="19.5" customHeight="1" x14ac:dyDescent="0.25">
      <c r="A773" s="38"/>
      <c r="B773" s="38"/>
      <c r="C773" s="470"/>
      <c r="D773" s="470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</row>
    <row r="774" spans="1:17" ht="19.5" customHeight="1" x14ac:dyDescent="0.25">
      <c r="A774" s="38"/>
      <c r="B774" s="38"/>
      <c r="C774" s="470"/>
      <c r="D774" s="470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</row>
    <row r="775" spans="1:17" ht="19.5" customHeight="1" x14ac:dyDescent="0.25">
      <c r="A775" s="38"/>
      <c r="B775" s="38"/>
      <c r="C775" s="470"/>
      <c r="D775" s="470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</row>
    <row r="776" spans="1:17" ht="19.5" customHeight="1" x14ac:dyDescent="0.25">
      <c r="A776" s="38"/>
      <c r="B776" s="38"/>
      <c r="C776" s="470"/>
      <c r="D776" s="470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</row>
    <row r="777" spans="1:17" ht="19.5" customHeight="1" x14ac:dyDescent="0.25">
      <c r="A777" s="38"/>
      <c r="B777" s="38"/>
      <c r="C777" s="470"/>
      <c r="D777" s="470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</row>
    <row r="778" spans="1:17" ht="19.5" customHeight="1" x14ac:dyDescent="0.25">
      <c r="A778" s="38"/>
      <c r="B778" s="38"/>
      <c r="C778" s="470"/>
      <c r="D778" s="470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</row>
    <row r="779" spans="1:17" ht="19.5" customHeight="1" x14ac:dyDescent="0.25">
      <c r="A779" s="38"/>
      <c r="B779" s="38"/>
      <c r="C779" s="470"/>
      <c r="D779" s="470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</row>
    <row r="780" spans="1:17" ht="19.5" customHeight="1" x14ac:dyDescent="0.25">
      <c r="A780" s="38"/>
      <c r="B780" s="38"/>
      <c r="C780" s="470"/>
      <c r="D780" s="470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</row>
    <row r="781" spans="1:17" ht="19.5" customHeight="1" x14ac:dyDescent="0.25">
      <c r="A781" s="38"/>
      <c r="B781" s="38"/>
      <c r="C781" s="470"/>
      <c r="D781" s="470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</row>
    <row r="782" spans="1:17" ht="19.5" customHeight="1" x14ac:dyDescent="0.25">
      <c r="A782" s="38"/>
      <c r="B782" s="38"/>
      <c r="C782" s="470"/>
      <c r="D782" s="470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</row>
    <row r="783" spans="1:17" ht="19.5" customHeight="1" x14ac:dyDescent="0.25">
      <c r="A783" s="38"/>
      <c r="B783" s="38"/>
      <c r="C783" s="470"/>
      <c r="D783" s="470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</row>
    <row r="784" spans="1:17" ht="19.5" customHeight="1" x14ac:dyDescent="0.25">
      <c r="A784" s="38"/>
      <c r="B784" s="38"/>
      <c r="C784" s="470"/>
      <c r="D784" s="470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</row>
    <row r="785" spans="1:17" ht="19.5" customHeight="1" x14ac:dyDescent="0.25">
      <c r="A785" s="38"/>
      <c r="B785" s="38"/>
      <c r="C785" s="470"/>
      <c r="D785" s="470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</row>
    <row r="786" spans="1:17" ht="19.5" customHeight="1" x14ac:dyDescent="0.25">
      <c r="A786" s="38"/>
      <c r="B786" s="38"/>
      <c r="C786" s="470"/>
      <c r="D786" s="470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</row>
    <row r="787" spans="1:17" ht="19.5" customHeight="1" x14ac:dyDescent="0.25">
      <c r="A787" s="38"/>
      <c r="B787" s="38"/>
      <c r="C787" s="470"/>
      <c r="D787" s="470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</row>
    <row r="788" spans="1:17" ht="19.5" customHeight="1" x14ac:dyDescent="0.25">
      <c r="A788" s="38"/>
      <c r="B788" s="38"/>
      <c r="C788" s="470"/>
      <c r="D788" s="470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</row>
    <row r="789" spans="1:17" ht="19.5" customHeight="1" x14ac:dyDescent="0.25">
      <c r="A789" s="38"/>
      <c r="B789" s="38"/>
      <c r="C789" s="470"/>
      <c r="D789" s="470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</row>
    <row r="790" spans="1:17" ht="19.5" customHeight="1" x14ac:dyDescent="0.25">
      <c r="A790" s="38"/>
      <c r="B790" s="38"/>
      <c r="C790" s="470"/>
      <c r="D790" s="470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</row>
    <row r="791" spans="1:17" ht="19.5" customHeight="1" x14ac:dyDescent="0.25">
      <c r="A791" s="38"/>
      <c r="B791" s="38"/>
      <c r="C791" s="470"/>
      <c r="D791" s="470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</row>
    <row r="792" spans="1:17" ht="19.5" customHeight="1" x14ac:dyDescent="0.25">
      <c r="A792" s="38"/>
      <c r="B792" s="38"/>
      <c r="C792" s="470"/>
      <c r="D792" s="470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</row>
    <row r="793" spans="1:17" ht="19.5" customHeight="1" x14ac:dyDescent="0.25">
      <c r="A793" s="38"/>
      <c r="B793" s="38"/>
      <c r="C793" s="470"/>
      <c r="D793" s="470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</row>
    <row r="794" spans="1:17" ht="19.5" customHeight="1" x14ac:dyDescent="0.25">
      <c r="A794" s="38"/>
      <c r="B794" s="38"/>
      <c r="C794" s="470"/>
      <c r="D794" s="470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</row>
    <row r="795" spans="1:17" ht="19.5" customHeight="1" x14ac:dyDescent="0.25">
      <c r="A795" s="38"/>
      <c r="B795" s="38"/>
      <c r="C795" s="470"/>
      <c r="D795" s="470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</row>
    <row r="796" spans="1:17" ht="19.5" customHeight="1" x14ac:dyDescent="0.25">
      <c r="A796" s="38"/>
      <c r="B796" s="38"/>
      <c r="C796" s="470"/>
      <c r="D796" s="470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</row>
    <row r="797" spans="1:17" ht="19.5" customHeight="1" x14ac:dyDescent="0.25">
      <c r="A797" s="38"/>
      <c r="B797" s="38"/>
      <c r="C797" s="470"/>
      <c r="D797" s="470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</row>
    <row r="798" spans="1:17" ht="19.5" customHeight="1" x14ac:dyDescent="0.25">
      <c r="A798" s="38"/>
      <c r="B798" s="38"/>
      <c r="C798" s="470"/>
      <c r="D798" s="470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</row>
    <row r="799" spans="1:17" ht="19.5" customHeight="1" x14ac:dyDescent="0.25">
      <c r="A799" s="38"/>
      <c r="B799" s="38"/>
      <c r="C799" s="470"/>
      <c r="D799" s="470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</row>
    <row r="800" spans="1:17" ht="19.5" customHeight="1" x14ac:dyDescent="0.25">
      <c r="A800" s="38"/>
      <c r="B800" s="38"/>
      <c r="C800" s="470"/>
      <c r="D800" s="470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</row>
    <row r="801" spans="1:17" ht="19.5" customHeight="1" x14ac:dyDescent="0.25">
      <c r="A801" s="38"/>
      <c r="B801" s="38"/>
      <c r="C801" s="470"/>
      <c r="D801" s="470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</row>
    <row r="802" spans="1:17" ht="19.5" customHeight="1" x14ac:dyDescent="0.25">
      <c r="A802" s="38"/>
      <c r="B802" s="38"/>
      <c r="C802" s="470"/>
      <c r="D802" s="470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</row>
    <row r="803" spans="1:17" ht="19.5" customHeight="1" x14ac:dyDescent="0.25">
      <c r="A803" s="38"/>
      <c r="B803" s="38"/>
      <c r="C803" s="470"/>
      <c r="D803" s="470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</row>
    <row r="804" spans="1:17" ht="19.5" customHeight="1" x14ac:dyDescent="0.25">
      <c r="A804" s="38"/>
      <c r="B804" s="38"/>
      <c r="C804" s="470"/>
      <c r="D804" s="470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</row>
    <row r="805" spans="1:17" ht="19.5" customHeight="1" x14ac:dyDescent="0.25">
      <c r="A805" s="38"/>
      <c r="B805" s="38"/>
      <c r="C805" s="470"/>
      <c r="D805" s="470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</row>
    <row r="806" spans="1:17" ht="19.5" customHeight="1" x14ac:dyDescent="0.25">
      <c r="A806" s="38"/>
      <c r="B806" s="38"/>
      <c r="C806" s="470"/>
      <c r="D806" s="470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</row>
    <row r="807" spans="1:17" ht="19.5" customHeight="1" x14ac:dyDescent="0.25">
      <c r="A807" s="38"/>
      <c r="B807" s="38"/>
      <c r="C807" s="470"/>
      <c r="D807" s="470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</row>
    <row r="808" spans="1:17" ht="19.5" customHeight="1" x14ac:dyDescent="0.25">
      <c r="A808" s="38"/>
      <c r="B808" s="38"/>
      <c r="C808" s="470"/>
      <c r="D808" s="470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</row>
    <row r="809" spans="1:17" ht="19.5" customHeight="1" x14ac:dyDescent="0.25">
      <c r="A809" s="38"/>
      <c r="B809" s="38"/>
      <c r="C809" s="470"/>
      <c r="D809" s="470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</row>
    <row r="810" spans="1:17" ht="19.5" customHeight="1" x14ac:dyDescent="0.25">
      <c r="A810" s="38"/>
      <c r="B810" s="38"/>
      <c r="C810" s="470"/>
      <c r="D810" s="470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</row>
    <row r="811" spans="1:17" ht="19.5" customHeight="1" x14ac:dyDescent="0.25">
      <c r="A811" s="38"/>
      <c r="B811" s="38"/>
      <c r="C811" s="470"/>
      <c r="D811" s="470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</row>
    <row r="812" spans="1:17" ht="19.5" customHeight="1" x14ac:dyDescent="0.25">
      <c r="A812" s="38"/>
      <c r="B812" s="38"/>
      <c r="C812" s="470"/>
      <c r="D812" s="470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</row>
    <row r="813" spans="1:17" ht="19.5" customHeight="1" x14ac:dyDescent="0.25">
      <c r="A813" s="38"/>
      <c r="B813" s="38"/>
      <c r="C813" s="470"/>
      <c r="D813" s="470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</row>
    <row r="814" spans="1:17" ht="19.5" customHeight="1" x14ac:dyDescent="0.25">
      <c r="A814" s="38"/>
      <c r="B814" s="38"/>
      <c r="C814" s="470"/>
      <c r="D814" s="470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</row>
    <row r="815" spans="1:17" ht="19.5" customHeight="1" x14ac:dyDescent="0.25">
      <c r="A815" s="38"/>
      <c r="B815" s="38"/>
      <c r="C815" s="470"/>
      <c r="D815" s="470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</row>
    <row r="816" spans="1:17" ht="19.5" customHeight="1" x14ac:dyDescent="0.25">
      <c r="A816" s="38"/>
      <c r="B816" s="38"/>
      <c r="C816" s="470"/>
      <c r="D816" s="470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</row>
    <row r="817" spans="1:17" ht="19.5" customHeight="1" x14ac:dyDescent="0.25">
      <c r="A817" s="38"/>
      <c r="B817" s="38"/>
      <c r="C817" s="470"/>
      <c r="D817" s="470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</row>
    <row r="818" spans="1:17" ht="19.5" customHeight="1" x14ac:dyDescent="0.25">
      <c r="A818" s="38"/>
      <c r="B818" s="38"/>
      <c r="C818" s="470"/>
      <c r="D818" s="470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</row>
    <row r="819" spans="1:17" ht="19.5" customHeight="1" x14ac:dyDescent="0.25">
      <c r="A819" s="38"/>
      <c r="B819" s="38"/>
      <c r="C819" s="470"/>
      <c r="D819" s="470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</row>
    <row r="820" spans="1:17" ht="19.5" customHeight="1" x14ac:dyDescent="0.25">
      <c r="A820" s="38"/>
      <c r="B820" s="38"/>
      <c r="C820" s="470"/>
      <c r="D820" s="470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</row>
    <row r="821" spans="1:17" ht="19.5" customHeight="1" x14ac:dyDescent="0.25">
      <c r="A821" s="38"/>
      <c r="B821" s="38"/>
      <c r="C821" s="470"/>
      <c r="D821" s="470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</row>
    <row r="822" spans="1:17" ht="19.5" customHeight="1" x14ac:dyDescent="0.25">
      <c r="A822" s="38"/>
      <c r="B822" s="38"/>
      <c r="C822" s="470"/>
      <c r="D822" s="470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</row>
    <row r="823" spans="1:17" ht="19.5" customHeight="1" x14ac:dyDescent="0.25">
      <c r="A823" s="38"/>
      <c r="B823" s="38"/>
      <c r="C823" s="470"/>
      <c r="D823" s="470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</row>
    <row r="824" spans="1:17" ht="19.5" customHeight="1" x14ac:dyDescent="0.25">
      <c r="A824" s="38"/>
      <c r="B824" s="38"/>
      <c r="C824" s="470"/>
      <c r="D824" s="470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</row>
    <row r="825" spans="1:17" ht="19.5" customHeight="1" x14ac:dyDescent="0.25">
      <c r="A825" s="38"/>
      <c r="B825" s="38"/>
      <c r="C825" s="470"/>
      <c r="D825" s="470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</row>
    <row r="826" spans="1:17" ht="19.5" customHeight="1" x14ac:dyDescent="0.25">
      <c r="A826" s="38"/>
      <c r="B826" s="38"/>
      <c r="C826" s="470"/>
      <c r="D826" s="470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</row>
    <row r="827" spans="1:17" ht="19.5" customHeight="1" x14ac:dyDescent="0.25">
      <c r="A827" s="38"/>
      <c r="B827" s="38"/>
      <c r="C827" s="470"/>
      <c r="D827" s="470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</row>
    <row r="828" spans="1:17" ht="19.5" customHeight="1" x14ac:dyDescent="0.25">
      <c r="A828" s="38"/>
      <c r="B828" s="38"/>
      <c r="C828" s="470"/>
      <c r="D828" s="470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</row>
    <row r="829" spans="1:17" ht="19.5" customHeight="1" x14ac:dyDescent="0.25">
      <c r="A829" s="38"/>
      <c r="B829" s="38"/>
      <c r="C829" s="470"/>
      <c r="D829" s="470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</row>
    <row r="830" spans="1:17" ht="19.5" customHeight="1" x14ac:dyDescent="0.25">
      <c r="A830" s="38"/>
      <c r="B830" s="38"/>
      <c r="C830" s="470"/>
      <c r="D830" s="470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</row>
    <row r="831" spans="1:17" ht="19.5" customHeight="1" x14ac:dyDescent="0.25">
      <c r="A831" s="38"/>
      <c r="B831" s="38"/>
      <c r="C831" s="470"/>
      <c r="D831" s="470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</row>
    <row r="832" spans="1:17" ht="19.5" customHeight="1" x14ac:dyDescent="0.25">
      <c r="A832" s="38"/>
      <c r="B832" s="38"/>
      <c r="C832" s="470"/>
      <c r="D832" s="470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</row>
    <row r="833" spans="1:17" ht="19.5" customHeight="1" x14ac:dyDescent="0.25">
      <c r="A833" s="38"/>
      <c r="B833" s="38"/>
      <c r="C833" s="470"/>
      <c r="D833" s="470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</row>
    <row r="834" spans="1:17" ht="19.5" customHeight="1" x14ac:dyDescent="0.25">
      <c r="A834" s="38"/>
      <c r="B834" s="38"/>
      <c r="C834" s="470"/>
      <c r="D834" s="470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</row>
    <row r="835" spans="1:17" ht="19.5" customHeight="1" x14ac:dyDescent="0.25">
      <c r="A835" s="38"/>
      <c r="B835" s="38"/>
      <c r="C835" s="470"/>
      <c r="D835" s="470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</row>
    <row r="836" spans="1:17" ht="19.5" customHeight="1" x14ac:dyDescent="0.25">
      <c r="A836" s="38"/>
      <c r="B836" s="38"/>
      <c r="C836" s="470"/>
      <c r="D836" s="470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</row>
    <row r="837" spans="1:17" ht="19.5" customHeight="1" x14ac:dyDescent="0.25">
      <c r="A837" s="38"/>
      <c r="B837" s="38"/>
      <c r="C837" s="470"/>
      <c r="D837" s="470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</row>
    <row r="838" spans="1:17" ht="19.5" customHeight="1" x14ac:dyDescent="0.25">
      <c r="A838" s="38"/>
      <c r="B838" s="38"/>
      <c r="C838" s="470"/>
      <c r="D838" s="470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</row>
    <row r="839" spans="1:17" ht="19.5" customHeight="1" x14ac:dyDescent="0.25">
      <c r="A839" s="38"/>
      <c r="B839" s="38"/>
      <c r="C839" s="470"/>
      <c r="D839" s="470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</row>
    <row r="840" spans="1:17" ht="19.5" customHeight="1" x14ac:dyDescent="0.25">
      <c r="A840" s="38"/>
      <c r="B840" s="38"/>
      <c r="C840" s="470"/>
      <c r="D840" s="470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</row>
    <row r="841" spans="1:17" ht="19.5" customHeight="1" x14ac:dyDescent="0.25">
      <c r="A841" s="38"/>
      <c r="B841" s="38"/>
      <c r="C841" s="470"/>
      <c r="D841" s="470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</row>
    <row r="842" spans="1:17" ht="19.5" customHeight="1" x14ac:dyDescent="0.25">
      <c r="A842" s="38"/>
      <c r="B842" s="38"/>
      <c r="C842" s="470"/>
      <c r="D842" s="470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</row>
    <row r="843" spans="1:17" ht="19.5" customHeight="1" x14ac:dyDescent="0.25">
      <c r="A843" s="38"/>
      <c r="B843" s="38"/>
      <c r="C843" s="470"/>
      <c r="D843" s="470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</row>
    <row r="844" spans="1:17" ht="19.5" customHeight="1" x14ac:dyDescent="0.25">
      <c r="A844" s="38"/>
      <c r="B844" s="38"/>
      <c r="C844" s="470"/>
      <c r="D844" s="470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</row>
    <row r="845" spans="1:17" ht="19.5" customHeight="1" x14ac:dyDescent="0.25">
      <c r="A845" s="38"/>
      <c r="B845" s="38"/>
      <c r="C845" s="470"/>
      <c r="D845" s="470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</row>
    <row r="846" spans="1:17" ht="19.5" customHeight="1" x14ac:dyDescent="0.25">
      <c r="A846" s="38"/>
      <c r="B846" s="38"/>
      <c r="C846" s="470"/>
      <c r="D846" s="470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</row>
    <row r="847" spans="1:17" ht="19.5" customHeight="1" x14ac:dyDescent="0.25">
      <c r="A847" s="38"/>
      <c r="B847" s="38"/>
      <c r="C847" s="470"/>
      <c r="D847" s="470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</row>
    <row r="848" spans="1:17" ht="19.5" customHeight="1" x14ac:dyDescent="0.25">
      <c r="A848" s="38"/>
      <c r="B848" s="38"/>
      <c r="C848" s="470"/>
      <c r="D848" s="470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</row>
    <row r="849" spans="1:17" ht="19.5" customHeight="1" x14ac:dyDescent="0.25">
      <c r="A849" s="38"/>
      <c r="B849" s="38"/>
      <c r="C849" s="470"/>
      <c r="D849" s="470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</row>
    <row r="850" spans="1:17" ht="19.5" customHeight="1" x14ac:dyDescent="0.25">
      <c r="A850" s="38"/>
      <c r="B850" s="38"/>
      <c r="C850" s="470"/>
      <c r="D850" s="470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</row>
    <row r="851" spans="1:17" ht="19.5" customHeight="1" x14ac:dyDescent="0.25">
      <c r="A851" s="38"/>
      <c r="B851" s="38"/>
      <c r="C851" s="470"/>
      <c r="D851" s="470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</row>
    <row r="852" spans="1:17" ht="19.5" customHeight="1" x14ac:dyDescent="0.25">
      <c r="A852" s="38"/>
      <c r="B852" s="38"/>
      <c r="C852" s="470"/>
      <c r="D852" s="470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</row>
    <row r="853" spans="1:17" ht="19.5" customHeight="1" x14ac:dyDescent="0.25">
      <c r="A853" s="38"/>
      <c r="B853" s="38"/>
      <c r="C853" s="470"/>
      <c r="D853" s="470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</row>
    <row r="854" spans="1:17" ht="19.5" customHeight="1" x14ac:dyDescent="0.25">
      <c r="A854" s="38"/>
      <c r="B854" s="38"/>
      <c r="C854" s="470"/>
      <c r="D854" s="470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</row>
    <row r="855" spans="1:17" ht="19.5" customHeight="1" x14ac:dyDescent="0.25">
      <c r="A855" s="38"/>
      <c r="B855" s="38"/>
      <c r="C855" s="470"/>
      <c r="D855" s="470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</row>
    <row r="856" spans="1:17" ht="19.5" customHeight="1" x14ac:dyDescent="0.25">
      <c r="A856" s="38"/>
      <c r="B856" s="38"/>
      <c r="C856" s="470"/>
      <c r="D856" s="470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</row>
    <row r="857" spans="1:17" ht="19.5" customHeight="1" x14ac:dyDescent="0.25">
      <c r="A857" s="38"/>
      <c r="B857" s="38"/>
      <c r="C857" s="470"/>
      <c r="D857" s="470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</row>
    <row r="858" spans="1:17" ht="19.5" customHeight="1" x14ac:dyDescent="0.25">
      <c r="A858" s="38"/>
      <c r="B858" s="38"/>
      <c r="C858" s="470"/>
      <c r="D858" s="470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</row>
    <row r="859" spans="1:17" ht="19.5" customHeight="1" x14ac:dyDescent="0.25">
      <c r="A859" s="38"/>
      <c r="B859" s="38"/>
      <c r="C859" s="470"/>
      <c r="D859" s="470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</row>
    <row r="860" spans="1:17" ht="19.5" customHeight="1" x14ac:dyDescent="0.25">
      <c r="A860" s="38"/>
      <c r="B860" s="38"/>
      <c r="C860" s="470"/>
      <c r="D860" s="470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</row>
    <row r="861" spans="1:17" ht="19.5" customHeight="1" x14ac:dyDescent="0.25">
      <c r="A861" s="38"/>
      <c r="B861" s="38"/>
      <c r="C861" s="470"/>
      <c r="D861" s="470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</row>
    <row r="862" spans="1:17" ht="19.5" customHeight="1" x14ac:dyDescent="0.25">
      <c r="A862" s="38"/>
      <c r="B862" s="38"/>
      <c r="C862" s="470"/>
      <c r="D862" s="470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</row>
    <row r="863" spans="1:17" ht="19.5" customHeight="1" x14ac:dyDescent="0.25">
      <c r="A863" s="38"/>
      <c r="B863" s="38"/>
      <c r="C863" s="470"/>
      <c r="D863" s="470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</row>
    <row r="864" spans="1:17" ht="19.5" customHeight="1" x14ac:dyDescent="0.25">
      <c r="A864" s="38"/>
      <c r="B864" s="38"/>
      <c r="C864" s="470"/>
      <c r="D864" s="470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</row>
    <row r="865" spans="1:17" ht="19.5" customHeight="1" x14ac:dyDescent="0.25">
      <c r="A865" s="38"/>
      <c r="B865" s="38"/>
      <c r="C865" s="470"/>
      <c r="D865" s="470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</row>
    <row r="866" spans="1:17" ht="19.5" customHeight="1" x14ac:dyDescent="0.25">
      <c r="A866" s="38"/>
      <c r="B866" s="38"/>
      <c r="C866" s="470"/>
      <c r="D866" s="470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</row>
    <row r="867" spans="1:17" ht="19.5" customHeight="1" x14ac:dyDescent="0.25">
      <c r="A867" s="38"/>
      <c r="B867" s="38"/>
      <c r="C867" s="470"/>
      <c r="D867" s="470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</row>
    <row r="868" spans="1:17" ht="19.5" customHeight="1" x14ac:dyDescent="0.25">
      <c r="A868" s="38"/>
      <c r="B868" s="38"/>
      <c r="C868" s="470"/>
      <c r="D868" s="470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</row>
    <row r="869" spans="1:17" ht="19.5" customHeight="1" x14ac:dyDescent="0.25">
      <c r="A869" s="38"/>
      <c r="B869" s="38"/>
      <c r="C869" s="470"/>
      <c r="D869" s="470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</row>
    <row r="870" spans="1:17" ht="19.5" customHeight="1" x14ac:dyDescent="0.25">
      <c r="A870" s="38"/>
      <c r="B870" s="38"/>
      <c r="C870" s="470"/>
      <c r="D870" s="470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</row>
    <row r="871" spans="1:17" ht="19.5" customHeight="1" x14ac:dyDescent="0.25">
      <c r="A871" s="38"/>
      <c r="B871" s="38"/>
      <c r="C871" s="470"/>
      <c r="D871" s="470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</row>
    <row r="872" spans="1:17" ht="19.5" customHeight="1" x14ac:dyDescent="0.25">
      <c r="A872" s="38"/>
      <c r="B872" s="38"/>
      <c r="C872" s="470"/>
      <c r="D872" s="470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</row>
    <row r="873" spans="1:17" ht="19.5" customHeight="1" x14ac:dyDescent="0.25">
      <c r="A873" s="38"/>
      <c r="B873" s="38"/>
      <c r="C873" s="470"/>
      <c r="D873" s="470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</row>
    <row r="874" spans="1:17" ht="19.5" customHeight="1" x14ac:dyDescent="0.25">
      <c r="A874" s="38"/>
      <c r="B874" s="38"/>
      <c r="C874" s="470"/>
      <c r="D874" s="470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</row>
    <row r="875" spans="1:17" ht="19.5" customHeight="1" x14ac:dyDescent="0.25">
      <c r="A875" s="38"/>
      <c r="B875" s="38"/>
      <c r="C875" s="470"/>
      <c r="D875" s="470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</row>
    <row r="876" spans="1:17" ht="19.5" customHeight="1" x14ac:dyDescent="0.25">
      <c r="A876" s="38"/>
      <c r="B876" s="38"/>
      <c r="C876" s="470"/>
      <c r="D876" s="470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</row>
    <row r="877" spans="1:17" ht="19.5" customHeight="1" x14ac:dyDescent="0.25">
      <c r="A877" s="38"/>
      <c r="B877" s="38"/>
      <c r="C877" s="470"/>
      <c r="D877" s="470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</row>
    <row r="878" spans="1:17" ht="19.5" customHeight="1" x14ac:dyDescent="0.25">
      <c r="A878" s="38"/>
      <c r="B878" s="38"/>
      <c r="C878" s="470"/>
      <c r="D878" s="470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</row>
    <row r="879" spans="1:17" ht="19.5" customHeight="1" x14ac:dyDescent="0.25">
      <c r="A879" s="38"/>
      <c r="B879" s="38"/>
      <c r="C879" s="470"/>
      <c r="D879" s="470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</row>
    <row r="880" spans="1:17" ht="19.5" customHeight="1" x14ac:dyDescent="0.25">
      <c r="A880" s="38"/>
      <c r="B880" s="38"/>
      <c r="C880" s="470"/>
      <c r="D880" s="470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</row>
    <row r="881" spans="1:17" ht="19.5" customHeight="1" x14ac:dyDescent="0.25">
      <c r="A881" s="38"/>
      <c r="B881" s="38"/>
      <c r="C881" s="470"/>
      <c r="D881" s="470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</row>
    <row r="882" spans="1:17" ht="19.5" customHeight="1" x14ac:dyDescent="0.25">
      <c r="A882" s="38"/>
      <c r="B882" s="38"/>
      <c r="C882" s="470"/>
      <c r="D882" s="470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</row>
    <row r="883" spans="1:17" ht="19.5" customHeight="1" x14ac:dyDescent="0.25">
      <c r="A883" s="38"/>
      <c r="B883" s="38"/>
      <c r="C883" s="470"/>
      <c r="D883" s="470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</row>
    <row r="884" spans="1:17" ht="19.5" customHeight="1" x14ac:dyDescent="0.25">
      <c r="A884" s="38"/>
      <c r="B884" s="38"/>
      <c r="C884" s="470"/>
      <c r="D884" s="470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</row>
    <row r="885" spans="1:17" ht="19.5" customHeight="1" x14ac:dyDescent="0.25">
      <c r="A885" s="38"/>
      <c r="B885" s="38"/>
      <c r="C885" s="470"/>
      <c r="D885" s="470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</row>
    <row r="886" spans="1:17" ht="19.5" customHeight="1" x14ac:dyDescent="0.25">
      <c r="A886" s="38"/>
      <c r="B886" s="38"/>
      <c r="C886" s="470"/>
      <c r="D886" s="470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</row>
    <row r="887" spans="1:17" ht="19.5" customHeight="1" x14ac:dyDescent="0.25">
      <c r="A887" s="38"/>
      <c r="B887" s="38"/>
      <c r="C887" s="470"/>
      <c r="D887" s="470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</row>
    <row r="888" spans="1:17" ht="19.5" customHeight="1" x14ac:dyDescent="0.25">
      <c r="A888" s="38"/>
      <c r="B888" s="38"/>
      <c r="C888" s="470"/>
      <c r="D888" s="470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</row>
    <row r="889" spans="1:17" ht="19.5" customHeight="1" x14ac:dyDescent="0.25">
      <c r="A889" s="38"/>
      <c r="B889" s="38"/>
      <c r="C889" s="470"/>
      <c r="D889" s="470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</row>
    <row r="890" spans="1:17" ht="19.5" customHeight="1" x14ac:dyDescent="0.25">
      <c r="A890" s="38"/>
      <c r="B890" s="38"/>
      <c r="C890" s="470"/>
      <c r="D890" s="470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</row>
    <row r="891" spans="1:17" ht="19.5" customHeight="1" x14ac:dyDescent="0.25">
      <c r="A891" s="38"/>
      <c r="B891" s="38"/>
      <c r="C891" s="470"/>
      <c r="D891" s="470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</row>
    <row r="892" spans="1:17" ht="19.5" customHeight="1" x14ac:dyDescent="0.25">
      <c r="A892" s="38"/>
      <c r="B892" s="38"/>
      <c r="C892" s="470"/>
      <c r="D892" s="470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</row>
    <row r="893" spans="1:17" ht="19.5" customHeight="1" x14ac:dyDescent="0.25">
      <c r="A893" s="38"/>
      <c r="B893" s="38"/>
      <c r="C893" s="470"/>
      <c r="D893" s="470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</row>
    <row r="894" spans="1:17" ht="19.5" customHeight="1" x14ac:dyDescent="0.25">
      <c r="A894" s="38"/>
      <c r="B894" s="38"/>
      <c r="C894" s="470"/>
      <c r="D894" s="470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</row>
    <row r="895" spans="1:17" ht="19.5" customHeight="1" x14ac:dyDescent="0.25">
      <c r="A895" s="38"/>
      <c r="B895" s="38"/>
      <c r="C895" s="470"/>
      <c r="D895" s="470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</row>
    <row r="896" spans="1:17" ht="19.5" customHeight="1" x14ac:dyDescent="0.25">
      <c r="A896" s="38"/>
      <c r="B896" s="38"/>
      <c r="C896" s="470"/>
      <c r="D896" s="470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</row>
    <row r="897" spans="1:17" ht="19.5" customHeight="1" x14ac:dyDescent="0.25">
      <c r="A897" s="38"/>
      <c r="B897" s="38"/>
      <c r="C897" s="470"/>
      <c r="D897" s="470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</row>
    <row r="898" spans="1:17" ht="19.5" customHeight="1" x14ac:dyDescent="0.25">
      <c r="A898" s="38"/>
      <c r="B898" s="38"/>
      <c r="C898" s="470"/>
      <c r="D898" s="470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</row>
    <row r="899" spans="1:17" ht="19.5" customHeight="1" x14ac:dyDescent="0.25">
      <c r="A899" s="38"/>
      <c r="B899" s="38"/>
      <c r="C899" s="470"/>
      <c r="D899" s="470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</row>
    <row r="900" spans="1:17" ht="19.5" customHeight="1" x14ac:dyDescent="0.25">
      <c r="A900" s="38"/>
      <c r="B900" s="38"/>
      <c r="C900" s="470"/>
      <c r="D900" s="470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</row>
    <row r="901" spans="1:17" ht="19.5" customHeight="1" x14ac:dyDescent="0.25">
      <c r="A901" s="38"/>
      <c r="B901" s="38"/>
      <c r="C901" s="470"/>
      <c r="D901" s="470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</row>
    <row r="902" spans="1:17" ht="19.5" customHeight="1" x14ac:dyDescent="0.25">
      <c r="A902" s="38"/>
      <c r="B902" s="38"/>
      <c r="C902" s="470"/>
      <c r="D902" s="470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</row>
    <row r="903" spans="1:17" ht="19.5" customHeight="1" x14ac:dyDescent="0.25">
      <c r="A903" s="38"/>
      <c r="B903" s="38"/>
      <c r="C903" s="470"/>
      <c r="D903" s="470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</row>
    <row r="904" spans="1:17" ht="19.5" customHeight="1" x14ac:dyDescent="0.25">
      <c r="A904" s="38"/>
      <c r="B904" s="38"/>
      <c r="C904" s="470"/>
      <c r="D904" s="470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</row>
    <row r="905" spans="1:17" ht="19.5" customHeight="1" x14ac:dyDescent="0.25">
      <c r="A905" s="38"/>
      <c r="B905" s="38"/>
      <c r="C905" s="470"/>
      <c r="D905" s="470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</row>
    <row r="906" spans="1:17" ht="19.5" customHeight="1" x14ac:dyDescent="0.25">
      <c r="A906" s="38"/>
      <c r="B906" s="38"/>
      <c r="C906" s="470"/>
      <c r="D906" s="470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</row>
    <row r="907" spans="1:17" ht="19.5" customHeight="1" x14ac:dyDescent="0.25">
      <c r="A907" s="38"/>
      <c r="B907" s="38"/>
      <c r="C907" s="470"/>
      <c r="D907" s="470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</row>
    <row r="908" spans="1:17" ht="19.5" customHeight="1" x14ac:dyDescent="0.25">
      <c r="A908" s="38"/>
      <c r="B908" s="38"/>
      <c r="C908" s="470"/>
      <c r="D908" s="470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</row>
    <row r="909" spans="1:17" ht="19.5" customHeight="1" x14ac:dyDescent="0.25">
      <c r="A909" s="38"/>
      <c r="B909" s="38"/>
      <c r="C909" s="470"/>
      <c r="D909" s="470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</row>
    <row r="910" spans="1:17" ht="19.5" customHeight="1" x14ac:dyDescent="0.25">
      <c r="A910" s="38"/>
      <c r="B910" s="38"/>
      <c r="C910" s="470"/>
      <c r="D910" s="470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</row>
    <row r="911" spans="1:17" ht="19.5" customHeight="1" x14ac:dyDescent="0.25">
      <c r="A911" s="38"/>
      <c r="B911" s="38"/>
      <c r="C911" s="470"/>
      <c r="D911" s="470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</row>
    <row r="912" spans="1:17" ht="19.5" customHeight="1" x14ac:dyDescent="0.25">
      <c r="A912" s="38"/>
      <c r="B912" s="38"/>
      <c r="C912" s="470"/>
      <c r="D912" s="470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</row>
    <row r="913" spans="1:17" ht="19.5" customHeight="1" x14ac:dyDescent="0.25">
      <c r="A913" s="38"/>
      <c r="B913" s="38"/>
      <c r="C913" s="470"/>
      <c r="D913" s="470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</row>
    <row r="914" spans="1:17" ht="19.5" customHeight="1" x14ac:dyDescent="0.25">
      <c r="A914" s="38"/>
      <c r="B914" s="38"/>
      <c r="C914" s="470"/>
      <c r="D914" s="470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</row>
    <row r="915" spans="1:17" ht="19.5" customHeight="1" x14ac:dyDescent="0.25">
      <c r="A915" s="38"/>
      <c r="B915" s="38"/>
      <c r="C915" s="470"/>
      <c r="D915" s="470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</row>
    <row r="916" spans="1:17" ht="19.5" customHeight="1" x14ac:dyDescent="0.25">
      <c r="A916" s="38"/>
      <c r="B916" s="38"/>
      <c r="C916" s="470"/>
      <c r="D916" s="470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</row>
    <row r="917" spans="1:17" ht="19.5" customHeight="1" x14ac:dyDescent="0.25">
      <c r="A917" s="38"/>
      <c r="B917" s="38"/>
      <c r="C917" s="470"/>
      <c r="D917" s="470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</row>
    <row r="918" spans="1:17" ht="19.5" customHeight="1" x14ac:dyDescent="0.25">
      <c r="A918" s="38"/>
      <c r="B918" s="38"/>
      <c r="C918" s="470"/>
      <c r="D918" s="470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</row>
    <row r="919" spans="1:17" ht="19.5" customHeight="1" x14ac:dyDescent="0.25">
      <c r="A919" s="38"/>
      <c r="B919" s="38"/>
      <c r="C919" s="470"/>
      <c r="D919" s="470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</row>
    <row r="920" spans="1:17" ht="19.5" customHeight="1" x14ac:dyDescent="0.25">
      <c r="A920" s="38"/>
      <c r="B920" s="38"/>
      <c r="C920" s="470"/>
      <c r="D920" s="470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</row>
    <row r="921" spans="1:17" ht="19.5" customHeight="1" x14ac:dyDescent="0.25">
      <c r="A921" s="38"/>
      <c r="B921" s="38"/>
      <c r="C921" s="470"/>
      <c r="D921" s="470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</row>
    <row r="922" spans="1:17" ht="19.5" customHeight="1" x14ac:dyDescent="0.25">
      <c r="A922" s="38"/>
      <c r="B922" s="38"/>
      <c r="C922" s="470"/>
      <c r="D922" s="470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</row>
    <row r="923" spans="1:17" ht="19.5" customHeight="1" x14ac:dyDescent="0.25">
      <c r="A923" s="38"/>
      <c r="B923" s="38"/>
      <c r="C923" s="470"/>
      <c r="D923" s="470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</row>
    <row r="924" spans="1:17" ht="19.5" customHeight="1" x14ac:dyDescent="0.25">
      <c r="A924" s="38"/>
      <c r="B924" s="38"/>
      <c r="C924" s="470"/>
      <c r="D924" s="470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</row>
    <row r="925" spans="1:17" ht="19.5" customHeight="1" x14ac:dyDescent="0.25">
      <c r="A925" s="38"/>
      <c r="B925" s="38"/>
      <c r="C925" s="470"/>
      <c r="D925" s="470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</row>
    <row r="926" spans="1:17" ht="19.5" customHeight="1" x14ac:dyDescent="0.25">
      <c r="A926" s="38"/>
      <c r="B926" s="38"/>
      <c r="C926" s="470"/>
      <c r="D926" s="470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</row>
    <row r="927" spans="1:17" ht="19.5" customHeight="1" x14ac:dyDescent="0.25">
      <c r="A927" s="38"/>
      <c r="B927" s="38"/>
      <c r="C927" s="470"/>
      <c r="D927" s="470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</row>
    <row r="928" spans="1:17" ht="19.5" customHeight="1" x14ac:dyDescent="0.25">
      <c r="A928" s="38"/>
      <c r="B928" s="38"/>
      <c r="C928" s="470"/>
      <c r="D928" s="470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</row>
    <row r="929" spans="1:17" ht="19.5" customHeight="1" x14ac:dyDescent="0.25">
      <c r="A929" s="38"/>
      <c r="B929" s="38"/>
      <c r="C929" s="470"/>
      <c r="D929" s="470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</row>
    <row r="930" spans="1:17" ht="19.5" customHeight="1" x14ac:dyDescent="0.25">
      <c r="A930" s="38"/>
      <c r="B930" s="38"/>
      <c r="C930" s="470"/>
      <c r="D930" s="470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</row>
    <row r="931" spans="1:17" ht="19.5" customHeight="1" x14ac:dyDescent="0.25">
      <c r="A931" s="38"/>
      <c r="B931" s="38"/>
      <c r="C931" s="470"/>
      <c r="D931" s="470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</row>
    <row r="932" spans="1:17" ht="19.5" customHeight="1" x14ac:dyDescent="0.25">
      <c r="A932" s="38"/>
      <c r="B932" s="38"/>
      <c r="C932" s="470"/>
      <c r="D932" s="470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</row>
    <row r="933" spans="1:17" ht="19.5" customHeight="1" x14ac:dyDescent="0.25">
      <c r="A933" s="38"/>
      <c r="B933" s="38"/>
      <c r="C933" s="470"/>
      <c r="D933" s="470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</row>
    <row r="934" spans="1:17" ht="19.5" customHeight="1" x14ac:dyDescent="0.25">
      <c r="A934" s="38"/>
      <c r="B934" s="38"/>
      <c r="C934" s="470"/>
      <c r="D934" s="470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</row>
    <row r="935" spans="1:17" ht="19.5" customHeight="1" x14ac:dyDescent="0.25">
      <c r="A935" s="38"/>
      <c r="B935" s="38"/>
      <c r="C935" s="470"/>
      <c r="D935" s="470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</row>
    <row r="936" spans="1:17" ht="19.5" customHeight="1" x14ac:dyDescent="0.25">
      <c r="A936" s="38"/>
      <c r="B936" s="38"/>
      <c r="C936" s="470"/>
      <c r="D936" s="470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</row>
    <row r="937" spans="1:17" ht="19.5" customHeight="1" x14ac:dyDescent="0.25">
      <c r="A937" s="38"/>
      <c r="B937" s="38"/>
      <c r="C937" s="470"/>
      <c r="D937" s="470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</row>
    <row r="938" spans="1:17" ht="19.5" customHeight="1" x14ac:dyDescent="0.25">
      <c r="A938" s="38"/>
      <c r="B938" s="38"/>
      <c r="C938" s="470"/>
      <c r="D938" s="470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</row>
    <row r="939" spans="1:17" ht="19.5" customHeight="1" x14ac:dyDescent="0.25">
      <c r="A939" s="38"/>
      <c r="B939" s="38"/>
      <c r="C939" s="470"/>
      <c r="D939" s="470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</row>
    <row r="940" spans="1:17" ht="19.5" customHeight="1" x14ac:dyDescent="0.25">
      <c r="A940" s="38"/>
      <c r="B940" s="38"/>
      <c r="C940" s="470"/>
      <c r="D940" s="470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</row>
    <row r="941" spans="1:17" ht="19.5" customHeight="1" x14ac:dyDescent="0.25">
      <c r="A941" s="38"/>
      <c r="B941" s="38"/>
      <c r="C941" s="470"/>
      <c r="D941" s="470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</row>
    <row r="942" spans="1:17" ht="19.5" customHeight="1" x14ac:dyDescent="0.25">
      <c r="A942" s="38"/>
      <c r="B942" s="38"/>
      <c r="C942" s="470"/>
      <c r="D942" s="470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</row>
    <row r="943" spans="1:17" ht="19.5" customHeight="1" x14ac:dyDescent="0.25">
      <c r="A943" s="38"/>
      <c r="B943" s="38"/>
      <c r="C943" s="470"/>
      <c r="D943" s="470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</row>
    <row r="944" spans="1:17" ht="19.5" customHeight="1" x14ac:dyDescent="0.25">
      <c r="A944" s="38"/>
      <c r="B944" s="38"/>
      <c r="C944" s="470"/>
      <c r="D944" s="470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</row>
    <row r="945" spans="1:17" ht="19.5" customHeight="1" x14ac:dyDescent="0.25">
      <c r="A945" s="38"/>
      <c r="B945" s="38"/>
      <c r="C945" s="470"/>
      <c r="D945" s="470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</row>
    <row r="946" spans="1:17" ht="19.5" customHeight="1" x14ac:dyDescent="0.25">
      <c r="A946" s="38"/>
      <c r="B946" s="38"/>
      <c r="C946" s="470"/>
      <c r="D946" s="470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</row>
    <row r="947" spans="1:17" ht="19.5" customHeight="1" x14ac:dyDescent="0.25">
      <c r="A947" s="38"/>
      <c r="B947" s="38"/>
      <c r="C947" s="470"/>
      <c r="D947" s="470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</row>
    <row r="948" spans="1:17" ht="19.5" customHeight="1" x14ac:dyDescent="0.25">
      <c r="A948" s="38"/>
      <c r="B948" s="38"/>
      <c r="C948" s="470"/>
      <c r="D948" s="470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</row>
    <row r="949" spans="1:17" ht="19.5" customHeight="1" x14ac:dyDescent="0.25">
      <c r="A949" s="38"/>
      <c r="B949" s="38"/>
      <c r="C949" s="470"/>
      <c r="D949" s="470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</row>
    <row r="950" spans="1:17" ht="19.5" customHeight="1" x14ac:dyDescent="0.25">
      <c r="A950" s="38"/>
      <c r="B950" s="38"/>
      <c r="C950" s="470"/>
      <c r="D950" s="470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</row>
    <row r="951" spans="1:17" ht="19.5" customHeight="1" x14ac:dyDescent="0.25">
      <c r="A951" s="38"/>
      <c r="B951" s="38"/>
      <c r="C951" s="470"/>
      <c r="D951" s="470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</row>
    <row r="952" spans="1:17" ht="19.5" customHeight="1" x14ac:dyDescent="0.25">
      <c r="A952" s="38"/>
      <c r="B952" s="38"/>
      <c r="C952" s="470"/>
      <c r="D952" s="470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</row>
    <row r="953" spans="1:17" ht="19.5" customHeight="1" x14ac:dyDescent="0.25">
      <c r="A953" s="38"/>
      <c r="B953" s="38"/>
      <c r="C953" s="470"/>
      <c r="D953" s="470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</row>
    <row r="954" spans="1:17" ht="19.5" customHeight="1" x14ac:dyDescent="0.25">
      <c r="A954" s="38"/>
      <c r="B954" s="38"/>
      <c r="C954" s="470"/>
      <c r="D954" s="470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</row>
    <row r="955" spans="1:17" ht="19.5" customHeight="1" x14ac:dyDescent="0.25">
      <c r="A955" s="38"/>
      <c r="B955" s="38"/>
      <c r="C955" s="470"/>
      <c r="D955" s="470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</row>
    <row r="956" spans="1:17" ht="19.5" customHeight="1" x14ac:dyDescent="0.25">
      <c r="A956" s="38"/>
      <c r="B956" s="38"/>
      <c r="C956" s="470"/>
      <c r="D956" s="470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</row>
    <row r="957" spans="1:17" ht="19.5" customHeight="1" x14ac:dyDescent="0.25">
      <c r="A957" s="38"/>
      <c r="B957" s="38"/>
      <c r="C957" s="470"/>
      <c r="D957" s="470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</row>
    <row r="958" spans="1:17" ht="19.5" customHeight="1" x14ac:dyDescent="0.25">
      <c r="A958" s="38"/>
      <c r="B958" s="38"/>
      <c r="C958" s="470"/>
      <c r="D958" s="470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</row>
    <row r="959" spans="1:17" ht="19.5" customHeight="1" x14ac:dyDescent="0.25">
      <c r="A959" s="38"/>
      <c r="B959" s="38"/>
      <c r="C959" s="470"/>
      <c r="D959" s="470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</row>
    <row r="960" spans="1:17" ht="19.5" customHeight="1" x14ac:dyDescent="0.25">
      <c r="A960" s="38"/>
      <c r="B960" s="38"/>
      <c r="C960" s="470"/>
      <c r="D960" s="470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</row>
    <row r="961" spans="1:17" ht="19.5" customHeight="1" x14ac:dyDescent="0.25">
      <c r="A961" s="38"/>
      <c r="B961" s="38"/>
      <c r="C961" s="470"/>
      <c r="D961" s="470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</row>
    <row r="962" spans="1:17" ht="19.5" customHeight="1" x14ac:dyDescent="0.25">
      <c r="A962" s="38"/>
      <c r="B962" s="38"/>
      <c r="C962" s="470"/>
      <c r="D962" s="470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</row>
    <row r="963" spans="1:17" ht="19.5" customHeight="1" x14ac:dyDescent="0.25">
      <c r="A963" s="38"/>
      <c r="B963" s="38"/>
      <c r="C963" s="470"/>
      <c r="D963" s="470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</row>
    <row r="964" spans="1:17" ht="19.5" customHeight="1" x14ac:dyDescent="0.25">
      <c r="A964" s="38"/>
      <c r="B964" s="38"/>
      <c r="C964" s="470"/>
      <c r="D964" s="470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</row>
    <row r="965" spans="1:17" ht="19.5" customHeight="1" x14ac:dyDescent="0.25">
      <c r="A965" s="38"/>
      <c r="B965" s="38"/>
      <c r="C965" s="470"/>
      <c r="D965" s="470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</row>
    <row r="966" spans="1:17" ht="19.5" customHeight="1" x14ac:dyDescent="0.25">
      <c r="A966" s="38"/>
      <c r="B966" s="38"/>
      <c r="C966" s="470"/>
      <c r="D966" s="470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</row>
    <row r="967" spans="1:17" ht="19.5" customHeight="1" x14ac:dyDescent="0.25">
      <c r="A967" s="38"/>
      <c r="B967" s="38"/>
      <c r="C967" s="470"/>
      <c r="D967" s="470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</row>
    <row r="968" spans="1:17" ht="19.5" customHeight="1" x14ac:dyDescent="0.25">
      <c r="A968" s="38"/>
      <c r="B968" s="38"/>
      <c r="C968" s="470"/>
      <c r="D968" s="470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</row>
    <row r="969" spans="1:17" ht="19.5" customHeight="1" x14ac:dyDescent="0.25">
      <c r="A969" s="38"/>
      <c r="B969" s="38"/>
      <c r="C969" s="470"/>
      <c r="D969" s="470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</row>
    <row r="970" spans="1:17" ht="19.5" customHeight="1" x14ac:dyDescent="0.25">
      <c r="A970" s="38"/>
      <c r="B970" s="38"/>
      <c r="C970" s="470"/>
      <c r="D970" s="470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</row>
    <row r="971" spans="1:17" ht="19.5" customHeight="1" x14ac:dyDescent="0.25">
      <c r="A971" s="38"/>
      <c r="B971" s="38"/>
      <c r="C971" s="470"/>
      <c r="D971" s="470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</row>
    <row r="972" spans="1:17" ht="19.5" customHeight="1" x14ac:dyDescent="0.25">
      <c r="A972" s="38"/>
      <c r="B972" s="38"/>
      <c r="C972" s="470"/>
      <c r="D972" s="470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</row>
    <row r="973" spans="1:17" ht="19.5" customHeight="1" x14ac:dyDescent="0.25">
      <c r="A973" s="38"/>
      <c r="B973" s="38"/>
      <c r="C973" s="470"/>
      <c r="D973" s="470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</row>
    <row r="974" spans="1:17" ht="19.5" customHeight="1" x14ac:dyDescent="0.25">
      <c r="A974" s="38"/>
      <c r="B974" s="38"/>
      <c r="C974" s="470"/>
      <c r="D974" s="470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</row>
    <row r="975" spans="1:17" ht="19.5" customHeight="1" x14ac:dyDescent="0.25">
      <c r="A975" s="38"/>
      <c r="B975" s="38"/>
      <c r="C975" s="470"/>
      <c r="D975" s="470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</row>
    <row r="976" spans="1:17" ht="19.5" customHeight="1" x14ac:dyDescent="0.25">
      <c r="A976" s="38"/>
      <c r="B976" s="38"/>
      <c r="C976" s="470"/>
      <c r="D976" s="470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</row>
    <row r="977" spans="1:17" ht="19.5" customHeight="1" x14ac:dyDescent="0.25">
      <c r="A977" s="38"/>
      <c r="B977" s="38"/>
      <c r="C977" s="470"/>
      <c r="D977" s="470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</row>
    <row r="978" spans="1:17" ht="19.5" customHeight="1" x14ac:dyDescent="0.25">
      <c r="A978" s="38"/>
      <c r="B978" s="38"/>
      <c r="C978" s="470"/>
      <c r="D978" s="470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</row>
    <row r="979" spans="1:17" ht="19.5" customHeight="1" x14ac:dyDescent="0.25">
      <c r="A979" s="38"/>
      <c r="B979" s="38"/>
      <c r="C979" s="470"/>
      <c r="D979" s="470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</row>
    <row r="980" spans="1:17" ht="19.5" customHeight="1" x14ac:dyDescent="0.25">
      <c r="A980" s="38"/>
      <c r="B980" s="38"/>
      <c r="C980" s="470"/>
      <c r="D980" s="470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</row>
    <row r="981" spans="1:17" ht="19.5" customHeight="1" x14ac:dyDescent="0.25">
      <c r="A981" s="38"/>
      <c r="B981" s="38"/>
      <c r="C981" s="470"/>
      <c r="D981" s="470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</row>
    <row r="982" spans="1:17" ht="19.5" customHeight="1" x14ac:dyDescent="0.25">
      <c r="A982" s="38"/>
      <c r="B982" s="38"/>
      <c r="C982" s="470"/>
      <c r="D982" s="470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</row>
    <row r="983" spans="1:17" ht="19.5" customHeight="1" x14ac:dyDescent="0.25">
      <c r="A983" s="38"/>
      <c r="B983" s="38"/>
      <c r="C983" s="470"/>
      <c r="D983" s="470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</row>
    <row r="984" spans="1:17" ht="19.5" customHeight="1" x14ac:dyDescent="0.25">
      <c r="A984" s="38"/>
      <c r="B984" s="38"/>
      <c r="C984" s="470"/>
      <c r="D984" s="470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</row>
    <row r="985" spans="1:17" ht="19.5" customHeight="1" x14ac:dyDescent="0.25">
      <c r="A985" s="38"/>
      <c r="B985" s="38"/>
      <c r="C985" s="470"/>
      <c r="D985" s="470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</row>
    <row r="986" spans="1:17" ht="19.5" customHeight="1" x14ac:dyDescent="0.25">
      <c r="A986" s="38"/>
      <c r="B986" s="38"/>
      <c r="C986" s="470"/>
      <c r="D986" s="470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</row>
    <row r="987" spans="1:17" ht="19.5" customHeight="1" x14ac:dyDescent="0.25">
      <c r="A987" s="38"/>
      <c r="B987" s="38"/>
      <c r="C987" s="470"/>
      <c r="D987" s="470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</row>
    <row r="988" spans="1:17" ht="19.5" customHeight="1" x14ac:dyDescent="0.25">
      <c r="A988" s="38"/>
      <c r="B988" s="38"/>
      <c r="C988" s="470"/>
      <c r="D988" s="470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</row>
    <row r="989" spans="1:17" ht="19.5" customHeight="1" x14ac:dyDescent="0.25">
      <c r="A989" s="38"/>
      <c r="B989" s="38"/>
      <c r="C989" s="470"/>
      <c r="D989" s="470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</row>
    <row r="990" spans="1:17" ht="19.5" customHeight="1" x14ac:dyDescent="0.25">
      <c r="A990" s="38"/>
      <c r="B990" s="38"/>
      <c r="C990" s="470"/>
      <c r="D990" s="470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</row>
    <row r="991" spans="1:17" ht="19.5" customHeight="1" x14ac:dyDescent="0.25">
      <c r="A991" s="38"/>
      <c r="B991" s="38"/>
      <c r="C991" s="470"/>
      <c r="D991" s="470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</row>
    <row r="992" spans="1:17" ht="19.5" customHeight="1" x14ac:dyDescent="0.25">
      <c r="A992" s="38"/>
      <c r="B992" s="38"/>
      <c r="C992" s="470"/>
      <c r="D992" s="470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</row>
    <row r="993" spans="1:17" ht="19.5" customHeight="1" x14ac:dyDescent="0.25">
      <c r="A993" s="38"/>
      <c r="B993" s="38"/>
      <c r="C993" s="470"/>
      <c r="D993" s="470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</row>
    <row r="994" spans="1:17" ht="19.5" customHeight="1" x14ac:dyDescent="0.25">
      <c r="A994" s="38"/>
      <c r="B994" s="38"/>
      <c r="C994" s="470"/>
      <c r="D994" s="470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</row>
    <row r="995" spans="1:17" ht="19.5" customHeight="1" x14ac:dyDescent="0.25">
      <c r="A995" s="38"/>
      <c r="B995" s="38"/>
      <c r="C995" s="470"/>
      <c r="D995" s="470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</row>
    <row r="996" spans="1:17" ht="19.5" customHeight="1" x14ac:dyDescent="0.25">
      <c r="A996" s="38"/>
      <c r="B996" s="38"/>
      <c r="C996" s="470"/>
      <c r="D996" s="470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</row>
    <row r="997" spans="1:17" ht="19.5" customHeight="1" x14ac:dyDescent="0.25">
      <c r="A997" s="38"/>
      <c r="B997" s="38"/>
      <c r="C997" s="470"/>
      <c r="D997" s="470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</row>
    <row r="998" spans="1:17" ht="19.5" customHeight="1" x14ac:dyDescent="0.25">
      <c r="A998" s="38"/>
      <c r="B998" s="38"/>
      <c r="C998" s="470"/>
      <c r="D998" s="470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</row>
    <row r="999" spans="1:17" ht="19.5" customHeight="1" x14ac:dyDescent="0.25">
      <c r="A999" s="38"/>
      <c r="B999" s="38"/>
      <c r="C999" s="470"/>
      <c r="D999" s="470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</row>
    <row r="1000" spans="1:17" ht="19.5" customHeight="1" x14ac:dyDescent="0.25">
      <c r="A1000" s="38"/>
      <c r="B1000" s="38"/>
      <c r="C1000" s="470"/>
      <c r="D1000" s="470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</row>
  </sheetData>
  <pageMargins left="0.511811024" right="0.511811024" top="0.78740157499999996" bottom="0.78740157499999996" header="0" footer="0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25EF9-4FD7-43ED-8137-49ED8F416F77}">
  <dimension ref="A1:W1001"/>
  <sheetViews>
    <sheetView showGridLines="0" zoomScale="55" zoomScaleNormal="55" workbookViewId="0">
      <selection activeCell="B3" sqref="B3:C18"/>
    </sheetView>
  </sheetViews>
  <sheetFormatPr defaultColWidth="14.42578125" defaultRowHeight="15" customHeight="1" x14ac:dyDescent="0.25"/>
  <cols>
    <col min="1" max="1" width="59.42578125" customWidth="1"/>
    <col min="2" max="2" width="22.28515625" customWidth="1"/>
    <col min="3" max="3" width="16.85546875" customWidth="1"/>
    <col min="4" max="4" width="24.140625" style="3" customWidth="1"/>
    <col min="5" max="5" width="94.7109375" style="3" customWidth="1"/>
    <col min="6" max="6" width="9.140625" customWidth="1"/>
    <col min="7" max="7" width="11.7109375" customWidth="1"/>
    <col min="8" max="10" width="9.140625" customWidth="1"/>
    <col min="11" max="11" width="10.85546875" customWidth="1"/>
    <col min="12" max="23" width="9.140625" customWidth="1"/>
  </cols>
  <sheetData>
    <row r="1" spans="1:23" ht="21" customHeight="1" x14ac:dyDescent="0.6">
      <c r="A1" s="1132" t="s">
        <v>546</v>
      </c>
      <c r="B1" s="1134" t="s">
        <v>559</v>
      </c>
      <c r="C1" s="1135"/>
      <c r="D1" s="917" t="s">
        <v>560</v>
      </c>
      <c r="E1" s="1136" t="s">
        <v>1293</v>
      </c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</row>
    <row r="2" spans="1:23" ht="24" customHeight="1" x14ac:dyDescent="0.6">
      <c r="A2" s="1133"/>
      <c r="B2" s="477" t="s">
        <v>561</v>
      </c>
      <c r="C2" s="456" t="s">
        <v>549</v>
      </c>
      <c r="D2" s="918" t="s">
        <v>549</v>
      </c>
      <c r="E2" s="1137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</row>
    <row r="3" spans="1:23" ht="25.9" customHeight="1" x14ac:dyDescent="0.25">
      <c r="A3" s="953" t="str">
        <f>ORÇAMENTO_EXECUTIVO_REV02!A4</f>
        <v>MOVIMENTAÇÃO DE TERRA</v>
      </c>
      <c r="B3" s="954">
        <f>ORÇAMENTO_EXECUTIVO_REV02!B4</f>
        <v>2545063.3884582501</v>
      </c>
      <c r="C3" s="954">
        <f>ORÇAMENTO_EXECUTIVO_REV02!D4</f>
        <v>173.21109642671686</v>
      </c>
      <c r="D3" s="955" t="str">
        <f>FIXED(CÁLCULO_MÉDIAS!P14,2,FALSE)&amp;" "&amp;"-"&amp;FIXED(CÁLCULO_MÉDIAS!Q14,2,FALSE)</f>
        <v>110,00 -160,00</v>
      </c>
      <c r="E3" s="965" t="s">
        <v>1313</v>
      </c>
      <c r="F3" s="52"/>
      <c r="G3" s="483"/>
      <c r="H3" s="484"/>
      <c r="I3" s="52"/>
      <c r="J3" s="483"/>
      <c r="K3" s="483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</row>
    <row r="4" spans="1:23" ht="25.9" customHeight="1" x14ac:dyDescent="0.25">
      <c r="A4" s="959" t="str">
        <f>ORÇAMENTO_EXECUTIVO_REV02!A5</f>
        <v>INFRAESTRUTURA</v>
      </c>
      <c r="B4" s="960">
        <f>ORÇAMENTO_EXECUTIVO_REV02!B5</f>
        <v>5742340.0165556455</v>
      </c>
      <c r="C4" s="960">
        <f>ORÇAMENTO_EXECUTIVO_REV02!D5</f>
        <v>390.810309414394</v>
      </c>
      <c r="D4" s="961" t="str">
        <f>FIXED(CÁLCULO_MÉDIAS!P15,2,FALSE)&amp;" "&amp;"-"&amp;FIXED(CÁLCULO_MÉDIAS!Q15,2,FALSE)</f>
        <v>180,00 -250,00</v>
      </c>
      <c r="E4" s="966" t="s">
        <v>1314</v>
      </c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</row>
    <row r="5" spans="1:23" ht="25.9" customHeight="1" x14ac:dyDescent="0.25">
      <c r="A5" s="962" t="str">
        <f>ORÇAMENTO_EXECUTIVO_REV02!A6</f>
        <v>CONTENÇÕES</v>
      </c>
      <c r="B5" s="963">
        <f>ORÇAMENTO_EXECUTIVO_REV02!B6</f>
        <v>1644604.5753569845</v>
      </c>
      <c r="C5" s="963">
        <f>ORÇAMENTO_EXECUTIVO_REV02!D6</f>
        <v>111.92796335754267</v>
      </c>
      <c r="D5" s="964" t="str">
        <f>FIXED(CÁLCULO_MÉDIAS!P16,2,FALSE)&amp;" "&amp;"-"&amp;FIXED(CÁLCULO_MÉDIAS!Q16,2,FALSE)</f>
        <v>70,00 -110,00</v>
      </c>
      <c r="E5" s="967" t="s">
        <v>1315</v>
      </c>
      <c r="F5" s="52"/>
      <c r="G5" s="483"/>
      <c r="H5" s="484"/>
      <c r="I5" s="52"/>
      <c r="J5" s="483"/>
      <c r="K5" s="483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</row>
    <row r="6" spans="1:23" ht="25.9" customHeight="1" x14ac:dyDescent="0.25">
      <c r="A6" s="959" t="str">
        <f>ORÇAMENTO_EXECUTIVO_REV02!A7</f>
        <v>SUPRAESTRUTURA</v>
      </c>
      <c r="B6" s="960">
        <f>ORÇAMENTO_EXECUTIVO_REV02!B7</f>
        <v>16955389.957323126</v>
      </c>
      <c r="C6" s="960">
        <f>ORÇAMENTO_EXECUTIVO_REV02!D7</f>
        <v>1153.9444157536589</v>
      </c>
      <c r="D6" s="961" t="str">
        <f>FIXED(CÁLCULO_MÉDIAS!P17,2,FALSE)&amp;" "&amp;"-"&amp;FIXED(CÁLCULO_MÉDIAS!Q17,2,FALSE)</f>
        <v>760,00 -1.050,00</v>
      </c>
      <c r="E6" s="966" t="s">
        <v>1316</v>
      </c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</row>
    <row r="7" spans="1:23" ht="25.9" customHeight="1" x14ac:dyDescent="0.25">
      <c r="A7" s="953" t="str">
        <f>ORÇAMENTO_EXECUTIVO_REV02!A8</f>
        <v>ALVENARIA</v>
      </c>
      <c r="B7" s="954">
        <f>ORÇAMENTO_EXECUTIVO_REV02!B8</f>
        <v>3148673.3767500008</v>
      </c>
      <c r="C7" s="954">
        <f>ORÇAMENTO_EXECUTIVO_REV02!D8</f>
        <v>214.29138871345137</v>
      </c>
      <c r="D7" s="955" t="str">
        <f>FIXED(CÁLCULO_MÉDIAS!P18,2,FALSE)&amp;" "&amp;"-"&amp;FIXED(CÁLCULO_MÉDIAS!Q18,2,FALSE)</f>
        <v>190,00 -280,00</v>
      </c>
      <c r="E7" s="965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</row>
    <row r="8" spans="1:23" ht="25.9" customHeight="1" x14ac:dyDescent="0.25">
      <c r="A8" s="956" t="str">
        <f>ORÇAMENTO_EXECUTIVO_REV02!A9</f>
        <v>INSTALAÇÕES ELÉTRICAS, HIDRÁULICAS, GLP E PREVENTIVAS</v>
      </c>
      <c r="B8" s="957">
        <f>ORÇAMENTO_EXECUTIVO_REV02!B9</f>
        <v>6206500.608</v>
      </c>
      <c r="C8" s="957">
        <f>ORÇAMENTO_EXECUTIVO_REV02!D9</f>
        <v>422.4</v>
      </c>
      <c r="D8" s="958" t="str">
        <f>FIXED(CÁLCULO_MÉDIAS!P19,2,FALSE)&amp;" "&amp;"-"&amp;FIXED(CÁLCULO_MÉDIAS!Q19,2,FALSE)</f>
        <v>400,00 -530,00</v>
      </c>
      <c r="E8" s="968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</row>
    <row r="9" spans="1:23" ht="25.9" customHeight="1" x14ac:dyDescent="0.25">
      <c r="A9" s="962" t="str">
        <f>ORÇAMENTO_EXECUTIVO_REV02!A10</f>
        <v>EQUIPAMENTOS E SISTEMAS ESPECIAIS</v>
      </c>
      <c r="B9" s="963">
        <f>ORÇAMENTO_EXECUTIVO_REV02!B10</f>
        <v>7227828.5380000006</v>
      </c>
      <c r="C9" s="963">
        <f>ORÇAMENTO_EXECUTIVO_REV02!D10</f>
        <v>491.90920411993943</v>
      </c>
      <c r="D9" s="964" t="str">
        <f>FIXED(CÁLCULO_MÉDIAS!P20,2,FALSE)&amp;" "&amp;"-"&amp;FIXED(CÁLCULO_MÉDIAS!Q20,2,FALSE)</f>
        <v>330,00 -370,00</v>
      </c>
      <c r="E9" s="967" t="s">
        <v>1317</v>
      </c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</row>
    <row r="10" spans="1:23" ht="25.9" customHeight="1" x14ac:dyDescent="0.25">
      <c r="A10" s="959" t="str">
        <f>ORÇAMENTO_EXECUTIVO_REV02!A11</f>
        <v>IMPERMEABILIZAÇÃO</v>
      </c>
      <c r="B10" s="960">
        <f>ORÇAMENTO_EXECUTIVO_REV02!B11</f>
        <v>1260169.0552000001</v>
      </c>
      <c r="C10" s="960">
        <f>ORÇAMENTO_EXECUTIVO_REV02!D11</f>
        <v>85.764175746694789</v>
      </c>
      <c r="D10" s="961" t="str">
        <f>FIXED(CÁLCULO_MÉDIAS!P21,2,FALSE)&amp;" "&amp;"-"&amp;FIXED(CÁLCULO_MÉDIAS!Q21,2,FALSE)</f>
        <v>70,00 -110,00</v>
      </c>
      <c r="E10" s="966" t="s">
        <v>1318</v>
      </c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</row>
    <row r="11" spans="1:23" ht="25.9" customHeight="1" x14ac:dyDescent="0.25">
      <c r="A11" s="953" t="str">
        <f>ORÇAMENTO_EXECUTIVO_REV02!A12</f>
        <v>REVESTIMENTOS INTERNOS EM PISO E PAREDE</v>
      </c>
      <c r="B11" s="954">
        <f>ORÇAMENTO_EXECUTIVO_REV02!B12</f>
        <v>1754484.6086989837</v>
      </c>
      <c r="C11" s="954">
        <f>ORÇAMENTO_EXECUTIVO_REV02!D12</f>
        <v>119.40614293329828</v>
      </c>
      <c r="D11" s="955" t="str">
        <f>FIXED(CÁLCULO_MÉDIAS!P22,2,FALSE)&amp;" "&amp;"-"&amp;FIXED(CÁLCULO_MÉDIAS!Q22,2,FALSE)</f>
        <v>110,00 -250,00</v>
      </c>
      <c r="E11" s="965" t="s">
        <v>1300</v>
      </c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</row>
    <row r="12" spans="1:23" ht="25.9" customHeight="1" x14ac:dyDescent="0.25">
      <c r="A12" s="956" t="str">
        <f>ORÇAMENTO_EXECUTIVO_REV02!A13</f>
        <v>REVESTIMENTOS E ACABAMENTOS INTERNOS EM TETO</v>
      </c>
      <c r="B12" s="957">
        <f>ORÇAMENTO_EXECUTIVO_REV02!B13</f>
        <v>1764973.6104000001</v>
      </c>
      <c r="C12" s="957">
        <f>ORÇAMENTO_EXECUTIVO_REV02!D13</f>
        <v>120.12</v>
      </c>
      <c r="D12" s="958" t="str">
        <f>FIXED(CÁLCULO_MÉDIAS!P23,2,FALSE)&amp;" "&amp;"-"&amp;FIXED(CÁLCULO_MÉDIAS!Q23,2,FALSE)</f>
        <v>80,00 -110,00</v>
      </c>
      <c r="E12" s="968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</row>
    <row r="13" spans="1:23" ht="46.15" customHeight="1" x14ac:dyDescent="0.25">
      <c r="A13" s="962" t="str">
        <f>ORÇAMENTO_EXECUTIVO_REV02!A14</f>
        <v>ACABAMENTOS EM PISO E PAREDE</v>
      </c>
      <c r="B13" s="963">
        <f>ORÇAMENTO_EXECUTIVO_REV02!B14</f>
        <v>4311125.5016342858</v>
      </c>
      <c r="C13" s="963">
        <f>ORÇAMENTO_EXECUTIVO_REV02!D14</f>
        <v>293.40517739466276</v>
      </c>
      <c r="D13" s="964" t="str">
        <f>FIXED(CÁLCULO_MÉDIAS!P24,2,FALSE)&amp;" "&amp;"-"&amp;FIXED(CÁLCULO_MÉDIAS!Q24,2,FALSE)</f>
        <v>210,00 -280,00</v>
      </c>
      <c r="E13" s="967" t="s">
        <v>1319</v>
      </c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</row>
    <row r="14" spans="1:23" ht="25.9" customHeight="1" x14ac:dyDescent="0.25">
      <c r="A14" s="956" t="str">
        <f>ORÇAMENTO_EXECUTIVO_REV02!A15</f>
        <v>PINTURA INTERNA</v>
      </c>
      <c r="B14" s="957">
        <f>ORÇAMENTO_EXECUTIVO_REV02!B15</f>
        <v>2297072.5250000004</v>
      </c>
      <c r="C14" s="957">
        <f>ORÇAMENTO_EXECUTIVO_REV02!D15</f>
        <v>156.33341488911367</v>
      </c>
      <c r="D14" s="958" t="str">
        <f>FIXED(CÁLCULO_MÉDIAS!P25,2,FALSE)&amp;" "&amp;"-"&amp;FIXED(CÁLCULO_MÉDIAS!Q25,2,FALSE)</f>
        <v>100,00 -190,00</v>
      </c>
      <c r="E14" s="968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</row>
    <row r="15" spans="1:23" ht="25.9" customHeight="1" x14ac:dyDescent="0.25">
      <c r="A15" s="962" t="str">
        <f>ORÇAMENTO_EXECUTIVO_REV02!A16</f>
        <v>ESQUADRIAS, VIDROS E FERRAGENS</v>
      </c>
      <c r="B15" s="963">
        <f>ORÇAMENTO_EXECUTIVO_REV02!B16</f>
        <v>9402166.3945000023</v>
      </c>
      <c r="C15" s="963">
        <f>ORÇAMENTO_EXECUTIVO_REV02!D16</f>
        <v>639.88958285409399</v>
      </c>
      <c r="D15" s="964" t="str">
        <f>FIXED(CÁLCULO_MÉDIAS!P26,2,FALSE)&amp;" "&amp;"-"&amp;FIXED(CÁLCULO_MÉDIAS!Q26,2,FALSE)</f>
        <v>580,00 -290,00</v>
      </c>
      <c r="E15" s="967" t="s">
        <v>1301</v>
      </c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</row>
    <row r="16" spans="1:23" ht="39.6" customHeight="1" x14ac:dyDescent="0.25">
      <c r="A16" s="959" t="str">
        <f>ORÇAMENTO_EXECUTIVO_REV02!A17</f>
        <v>REVESTIMENTOS E ACABAMENTOS DE FACHADA</v>
      </c>
      <c r="B16" s="960">
        <f>'Rev. Fachada'!G32</f>
        <v>3087626.2103809789</v>
      </c>
      <c r="C16" s="960">
        <f>ORÇAMENTO_EXECUTIVO_REV02!D17</f>
        <v>210.1366605174955</v>
      </c>
      <c r="D16" s="961" t="str">
        <f>FIXED(CÁLCULO_MÉDIAS!P27,2,FALSE)&amp;" "&amp;"-"&amp;FIXED(CÁLCULO_MÉDIAS!Q27,2,FALSE)</f>
        <v>110,00 -210,00</v>
      </c>
      <c r="E16" s="966" t="s">
        <v>1321</v>
      </c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</row>
    <row r="17" spans="1:23" ht="25.9" customHeight="1" x14ac:dyDescent="0.25">
      <c r="A17" s="953" t="str">
        <f>ORÇAMENTO_EXECUTIVO_REV02!A18</f>
        <v>SERVIÇOS COMPLEMENTARES</v>
      </c>
      <c r="B17" s="954">
        <f>ORÇAMENTO_EXECUTIVO_REV02!B18</f>
        <v>3531038.3132285946</v>
      </c>
      <c r="C17" s="954">
        <f>ORÇAMENTO_EXECUTIVO_REV02!D18</f>
        <v>240.31425721367759</v>
      </c>
      <c r="D17" s="955" t="str">
        <f>FIXED(CÁLCULO_MÉDIAS!P28,2,FALSE)&amp;" "&amp;"-"&amp;FIXED(CÁLCULO_MÉDIAS!Q28,2,FALSE)</f>
        <v>180,00 -310,00</v>
      </c>
      <c r="E17" s="965" t="s">
        <v>1320</v>
      </c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</row>
    <row r="18" spans="1:23" s="189" customFormat="1" ht="19.5" customHeight="1" thickBot="1" x14ac:dyDescent="0.3">
      <c r="A18" s="944" t="s">
        <v>17</v>
      </c>
      <c r="B18" s="946">
        <f>SUM(B3:B17)</f>
        <v>70879056.679486856</v>
      </c>
      <c r="C18" s="946">
        <f>SUM(C3:C17)</f>
        <v>4823.8637893347395</v>
      </c>
      <c r="D18" s="947" t="str">
        <f>FIXED(CÁLCULO_MÉDIAS!P30,2,FALSE)&amp;" "&amp;"-"&amp;FIXED(CÁLCULO_MÉDIAS!Q30,2,FALSE)</f>
        <v>3.480,00 -4.500,00</v>
      </c>
      <c r="E18" s="945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</row>
    <row r="19" spans="1:23" ht="21.75" customHeight="1" x14ac:dyDescent="0.6">
      <c r="A19" s="34"/>
      <c r="B19" s="485"/>
      <c r="C19" s="34"/>
      <c r="D19" s="36"/>
      <c r="E19" s="36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</row>
    <row r="20" spans="1:23" ht="21.75" customHeight="1" x14ac:dyDescent="0.6">
      <c r="A20" s="34"/>
      <c r="B20" s="485"/>
      <c r="C20" s="34"/>
      <c r="D20" s="36"/>
      <c r="E20" s="36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</row>
    <row r="21" spans="1:23" ht="21.75" customHeight="1" x14ac:dyDescent="0.6">
      <c r="A21" s="34"/>
      <c r="B21" s="485"/>
      <c r="C21" s="34"/>
      <c r="D21" s="36"/>
      <c r="E21" s="36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</row>
    <row r="22" spans="1:23" ht="21.75" hidden="1" customHeight="1" x14ac:dyDescent="0.6">
      <c r="A22" s="34"/>
      <c r="B22" s="485">
        <v>2007.57</v>
      </c>
      <c r="C22" s="34"/>
      <c r="D22" s="36"/>
      <c r="E22" s="36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</row>
    <row r="23" spans="1:23" ht="21.75" hidden="1" customHeight="1" x14ac:dyDescent="0.6">
      <c r="A23" s="34"/>
      <c r="B23" s="485">
        <v>2461.35</v>
      </c>
      <c r="C23" s="34"/>
      <c r="D23" s="36"/>
      <c r="E23" s="36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</row>
    <row r="24" spans="1:23" ht="21.75" hidden="1" customHeight="1" x14ac:dyDescent="0.6">
      <c r="A24" s="34"/>
      <c r="B24" s="485">
        <f>B23/B22</f>
        <v>1.2260344595705255</v>
      </c>
      <c r="C24" s="34"/>
      <c r="D24" s="36"/>
      <c r="E24" s="36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</row>
    <row r="25" spans="1:23" ht="21.75" hidden="1" customHeight="1" x14ac:dyDescent="0.6">
      <c r="A25" s="34"/>
      <c r="B25" s="485"/>
      <c r="C25" s="34"/>
      <c r="D25" s="36"/>
      <c r="E25" s="36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</row>
    <row r="26" spans="1:23" ht="21.75" hidden="1" customHeight="1" x14ac:dyDescent="0.6">
      <c r="A26" s="34"/>
      <c r="B26" s="485"/>
      <c r="C26" s="34"/>
      <c r="D26" s="36"/>
      <c r="E26" s="36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</row>
    <row r="27" spans="1:23" ht="21.75" hidden="1" customHeight="1" x14ac:dyDescent="0.6">
      <c r="A27" s="34"/>
      <c r="B27" s="485"/>
      <c r="C27" s="34">
        <v>1.1023000000000001</v>
      </c>
      <c r="D27" s="36"/>
      <c r="E27" s="36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</row>
    <row r="28" spans="1:23" ht="21.75" hidden="1" customHeight="1" x14ac:dyDescent="0.6">
      <c r="A28" s="34"/>
      <c r="B28" s="485"/>
      <c r="C28" s="34"/>
      <c r="D28" s="36"/>
      <c r="E28" s="36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</row>
    <row r="29" spans="1:23" ht="21.75" hidden="1" customHeight="1" x14ac:dyDescent="0.6">
      <c r="A29" s="486" t="s">
        <v>562</v>
      </c>
      <c r="B29" s="485">
        <v>900</v>
      </c>
      <c r="C29" s="485"/>
      <c r="D29" s="487"/>
      <c r="E29" s="487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</row>
    <row r="30" spans="1:23" ht="21.75" hidden="1" customHeight="1" x14ac:dyDescent="0.6">
      <c r="A30" s="488" t="s">
        <v>563</v>
      </c>
      <c r="B30" s="485">
        <v>25</v>
      </c>
      <c r="C30" s="485"/>
      <c r="D30" s="487"/>
      <c r="E30" s="487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</row>
    <row r="31" spans="1:23" ht="21.75" hidden="1" customHeight="1" x14ac:dyDescent="0.6">
      <c r="A31" s="486" t="s">
        <v>564</v>
      </c>
      <c r="B31" s="485">
        <v>15</v>
      </c>
      <c r="C31" s="485"/>
      <c r="D31" s="487"/>
      <c r="E31" s="487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</row>
    <row r="32" spans="1:23" ht="21.75" hidden="1" customHeight="1" x14ac:dyDescent="0.6">
      <c r="A32" s="488" t="s">
        <v>565</v>
      </c>
      <c r="B32" s="485">
        <v>150</v>
      </c>
      <c r="C32" s="485"/>
      <c r="D32" s="487"/>
      <c r="E32" s="487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</row>
    <row r="33" spans="1:23" ht="21.75" hidden="1" customHeight="1" x14ac:dyDescent="0.6">
      <c r="A33" s="486" t="s">
        <v>566</v>
      </c>
      <c r="B33" s="485">
        <v>440</v>
      </c>
      <c r="C33" s="485"/>
      <c r="D33" s="487"/>
      <c r="E33" s="487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</row>
    <row r="34" spans="1:23" ht="21.75" hidden="1" customHeight="1" x14ac:dyDescent="0.6">
      <c r="A34" s="488" t="s">
        <v>202</v>
      </c>
      <c r="B34" s="485"/>
      <c r="C34" s="485"/>
      <c r="D34" s="487"/>
      <c r="E34" s="487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</row>
    <row r="35" spans="1:23" ht="21.75" hidden="1" customHeight="1" x14ac:dyDescent="0.6">
      <c r="A35" s="486" t="s">
        <v>567</v>
      </c>
      <c r="B35" s="485">
        <v>55</v>
      </c>
      <c r="C35" s="485"/>
      <c r="D35" s="487"/>
      <c r="E35" s="487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</row>
    <row r="36" spans="1:23" ht="21.75" hidden="1" customHeight="1" x14ac:dyDescent="0.6">
      <c r="A36" s="488" t="s">
        <v>568</v>
      </c>
      <c r="B36" s="485">
        <v>170</v>
      </c>
      <c r="C36" s="485"/>
      <c r="D36" s="487"/>
      <c r="E36" s="487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</row>
    <row r="37" spans="1:23" ht="21.75" hidden="1" customHeight="1" x14ac:dyDescent="0.6">
      <c r="A37" s="486" t="s">
        <v>569</v>
      </c>
      <c r="B37" s="485">
        <v>165</v>
      </c>
      <c r="C37" s="485"/>
      <c r="D37" s="487"/>
      <c r="E37" s="487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</row>
    <row r="38" spans="1:23" ht="21.75" hidden="1" customHeight="1" x14ac:dyDescent="0.6">
      <c r="A38" s="488" t="s">
        <v>570</v>
      </c>
      <c r="B38" s="485">
        <v>40</v>
      </c>
      <c r="C38" s="485"/>
      <c r="D38" s="487"/>
      <c r="E38" s="487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</row>
    <row r="39" spans="1:23" ht="21.75" hidden="1" customHeight="1" x14ac:dyDescent="0.6">
      <c r="A39" s="486" t="s">
        <v>571</v>
      </c>
      <c r="B39" s="485">
        <v>55</v>
      </c>
      <c r="C39" s="485"/>
      <c r="D39" s="487"/>
      <c r="E39" s="487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</row>
    <row r="40" spans="1:23" ht="21.75" hidden="1" customHeight="1" x14ac:dyDescent="0.6">
      <c r="A40" s="488" t="s">
        <v>572</v>
      </c>
      <c r="B40" s="485">
        <v>35</v>
      </c>
      <c r="C40" s="485"/>
      <c r="D40" s="487"/>
      <c r="E40" s="487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</row>
    <row r="41" spans="1:23" ht="21.75" hidden="1" customHeight="1" x14ac:dyDescent="0.6">
      <c r="A41" s="486" t="s">
        <v>573</v>
      </c>
      <c r="B41" s="485">
        <v>130</v>
      </c>
      <c r="C41" s="485"/>
      <c r="D41" s="487"/>
      <c r="E41" s="487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</row>
    <row r="42" spans="1:23" ht="21.75" hidden="1" customHeight="1" x14ac:dyDescent="0.6">
      <c r="A42" s="488" t="s">
        <v>574</v>
      </c>
      <c r="B42" s="485">
        <v>35</v>
      </c>
      <c r="C42" s="485"/>
      <c r="D42" s="487"/>
      <c r="E42" s="487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</row>
    <row r="43" spans="1:23" ht="21.75" hidden="1" customHeight="1" x14ac:dyDescent="0.6">
      <c r="A43" s="486" t="s">
        <v>575</v>
      </c>
      <c r="B43" s="485">
        <v>35</v>
      </c>
      <c r="C43" s="485"/>
      <c r="D43" s="487"/>
      <c r="E43" s="487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</row>
    <row r="44" spans="1:23" ht="21.75" hidden="1" customHeight="1" x14ac:dyDescent="0.6">
      <c r="A44" s="488" t="s">
        <v>576</v>
      </c>
      <c r="B44" s="485">
        <v>430</v>
      </c>
      <c r="C44" s="485"/>
      <c r="D44" s="487"/>
      <c r="E44" s="487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</row>
    <row r="45" spans="1:23" ht="21.75" hidden="1" customHeight="1" x14ac:dyDescent="0.6">
      <c r="A45" s="486" t="s">
        <v>572</v>
      </c>
      <c r="B45" s="485">
        <v>35</v>
      </c>
      <c r="C45" s="485"/>
      <c r="D45" s="487"/>
      <c r="E45" s="487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</row>
    <row r="46" spans="1:23" ht="21.75" hidden="1" customHeight="1" x14ac:dyDescent="0.6">
      <c r="A46" s="488" t="s">
        <v>577</v>
      </c>
      <c r="B46" s="485">
        <v>150</v>
      </c>
      <c r="C46" s="485"/>
      <c r="D46" s="487"/>
      <c r="E46" s="487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</row>
    <row r="47" spans="1:23" ht="21.75" hidden="1" customHeight="1" x14ac:dyDescent="0.6">
      <c r="A47" s="34"/>
      <c r="B47" s="485"/>
      <c r="C47" s="34"/>
      <c r="D47" s="36"/>
      <c r="E47" s="36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</row>
    <row r="48" spans="1:23" ht="21.75" hidden="1" customHeight="1" x14ac:dyDescent="0.6">
      <c r="A48" s="34"/>
      <c r="B48" s="485"/>
      <c r="C48" s="34"/>
      <c r="D48" s="36"/>
      <c r="E48" s="36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</row>
    <row r="49" spans="1:23" ht="21.75" hidden="1" customHeight="1" x14ac:dyDescent="0.6">
      <c r="A49" s="34"/>
      <c r="B49" s="485"/>
      <c r="C49" s="34"/>
      <c r="D49" s="36"/>
      <c r="E49" s="36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</row>
    <row r="50" spans="1:23" ht="21.75" hidden="1" customHeight="1" x14ac:dyDescent="0.6">
      <c r="A50" s="34"/>
      <c r="B50" s="485"/>
      <c r="C50" s="34"/>
      <c r="D50" s="36"/>
      <c r="E50" s="36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</row>
    <row r="51" spans="1:23" ht="21.75" hidden="1" customHeight="1" x14ac:dyDescent="0.6">
      <c r="A51" s="34"/>
      <c r="B51" s="485"/>
      <c r="C51" s="34"/>
      <c r="D51" s="36"/>
      <c r="E51" s="36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</row>
    <row r="52" spans="1:23" ht="21.75" hidden="1" customHeight="1" x14ac:dyDescent="0.6">
      <c r="A52" s="34"/>
      <c r="B52" s="485"/>
      <c r="C52" s="34"/>
      <c r="D52" s="36"/>
      <c r="E52" s="36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</row>
    <row r="53" spans="1:23" ht="21.75" hidden="1" customHeight="1" x14ac:dyDescent="0.6">
      <c r="A53" s="34"/>
      <c r="B53" s="485"/>
      <c r="C53" s="34"/>
      <c r="D53" s="36"/>
      <c r="E53" s="36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</row>
    <row r="54" spans="1:23" ht="21.75" hidden="1" customHeight="1" x14ac:dyDescent="0.6">
      <c r="A54" s="34"/>
      <c r="B54" s="485"/>
      <c r="C54" s="34"/>
      <c r="D54" s="36"/>
      <c r="E54" s="36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</row>
    <row r="55" spans="1:23" ht="21.75" hidden="1" customHeight="1" x14ac:dyDescent="0.6">
      <c r="A55" s="34"/>
      <c r="B55" s="485"/>
      <c r="C55" s="34"/>
      <c r="D55" s="36"/>
      <c r="E55" s="36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</row>
    <row r="56" spans="1:23" ht="21.75" hidden="1" customHeight="1" x14ac:dyDescent="0.6">
      <c r="A56" s="34"/>
      <c r="B56" s="485"/>
      <c r="C56" s="34"/>
      <c r="D56" s="36"/>
      <c r="E56" s="36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</row>
    <row r="57" spans="1:23" ht="21.75" hidden="1" customHeight="1" x14ac:dyDescent="0.6">
      <c r="A57" s="34"/>
      <c r="B57" s="485"/>
      <c r="C57" s="34"/>
      <c r="D57" s="36"/>
      <c r="E57" s="36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</row>
    <row r="58" spans="1:23" ht="21.75" hidden="1" customHeight="1" x14ac:dyDescent="0.6">
      <c r="A58" s="34"/>
      <c r="B58" s="485"/>
      <c r="C58" s="34"/>
      <c r="D58" s="36"/>
      <c r="E58" s="36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</row>
    <row r="59" spans="1:23" ht="21.75" hidden="1" customHeight="1" x14ac:dyDescent="0.6">
      <c r="A59" s="34"/>
      <c r="B59" s="485"/>
      <c r="C59" s="34"/>
      <c r="D59" s="36"/>
      <c r="E59" s="36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</row>
    <row r="60" spans="1:23" ht="21.75" hidden="1" customHeight="1" x14ac:dyDescent="0.6">
      <c r="A60" s="34"/>
      <c r="B60" s="485"/>
      <c r="C60" s="34"/>
      <c r="D60" s="36"/>
      <c r="E60" s="36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</row>
    <row r="61" spans="1:23" ht="21.75" hidden="1" customHeight="1" x14ac:dyDescent="0.6">
      <c r="A61" s="34"/>
      <c r="B61" s="485"/>
      <c r="C61" s="34"/>
      <c r="D61" s="36"/>
      <c r="E61" s="36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</row>
    <row r="62" spans="1:23" ht="21.75" hidden="1" customHeight="1" x14ac:dyDescent="0.6">
      <c r="A62" s="34"/>
      <c r="B62" s="485"/>
      <c r="C62" s="34"/>
      <c r="D62" s="36"/>
      <c r="E62" s="36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</row>
    <row r="63" spans="1:23" ht="21.75" hidden="1" customHeight="1" x14ac:dyDescent="0.6">
      <c r="A63" s="34"/>
      <c r="B63" s="485"/>
      <c r="C63" s="34"/>
      <c r="D63" s="36"/>
      <c r="E63" s="36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</row>
    <row r="64" spans="1:23" ht="21.75" hidden="1" customHeight="1" x14ac:dyDescent="0.6">
      <c r="A64" s="34"/>
      <c r="B64" s="485"/>
      <c r="C64" s="34"/>
      <c r="D64" s="36"/>
      <c r="E64" s="36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</row>
    <row r="65" spans="1:23" ht="21.75" hidden="1" customHeight="1" x14ac:dyDescent="0.6">
      <c r="A65" s="34"/>
      <c r="B65" s="485"/>
      <c r="C65" s="34"/>
      <c r="D65" s="36"/>
      <c r="E65" s="36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</row>
    <row r="66" spans="1:23" ht="21.75" hidden="1" customHeight="1" x14ac:dyDescent="0.6">
      <c r="A66" s="34"/>
      <c r="B66" s="485"/>
      <c r="C66" s="34"/>
      <c r="D66" s="36"/>
      <c r="E66" s="36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</row>
    <row r="67" spans="1:23" ht="21.75" hidden="1" customHeight="1" x14ac:dyDescent="0.6">
      <c r="A67" s="34"/>
      <c r="B67" s="485"/>
      <c r="C67" s="34"/>
      <c r="D67" s="36"/>
      <c r="E67" s="36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</row>
    <row r="68" spans="1:23" ht="21.75" hidden="1" customHeight="1" x14ac:dyDescent="0.6">
      <c r="A68" s="34"/>
      <c r="B68" s="485"/>
      <c r="C68" s="34"/>
      <c r="D68" s="36"/>
      <c r="E68" s="36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</row>
    <row r="69" spans="1:23" ht="21.75" hidden="1" customHeight="1" x14ac:dyDescent="0.6">
      <c r="A69" s="34"/>
      <c r="B69" s="485"/>
      <c r="C69" s="34"/>
      <c r="D69" s="36"/>
      <c r="E69" s="36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</row>
    <row r="70" spans="1:23" ht="21.75" hidden="1" customHeight="1" x14ac:dyDescent="0.6">
      <c r="A70" s="34"/>
      <c r="B70" s="485"/>
      <c r="C70" s="34"/>
      <c r="D70" s="36"/>
      <c r="E70" s="36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</row>
    <row r="71" spans="1:23" ht="21.75" hidden="1" customHeight="1" x14ac:dyDescent="0.6">
      <c r="A71" s="34"/>
      <c r="B71" s="485"/>
      <c r="C71" s="34"/>
      <c r="D71" s="36"/>
      <c r="E71" s="36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</row>
    <row r="72" spans="1:23" ht="21.75" hidden="1" customHeight="1" x14ac:dyDescent="0.6">
      <c r="A72" s="34"/>
      <c r="B72" s="485"/>
      <c r="C72" s="34"/>
      <c r="D72" s="36"/>
      <c r="E72" s="36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</row>
    <row r="73" spans="1:23" ht="21.75" hidden="1" customHeight="1" x14ac:dyDescent="0.6">
      <c r="A73" s="34"/>
      <c r="B73" s="485"/>
      <c r="C73" s="34"/>
      <c r="D73" s="36"/>
      <c r="E73" s="36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</row>
    <row r="74" spans="1:23" ht="21.75" hidden="1" customHeight="1" x14ac:dyDescent="0.6">
      <c r="A74" s="34"/>
      <c r="B74" s="485"/>
      <c r="C74" s="34"/>
      <c r="D74" s="36"/>
      <c r="E74" s="36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</row>
    <row r="75" spans="1:23" ht="21.75" customHeight="1" x14ac:dyDescent="0.6">
      <c r="A75" s="34"/>
      <c r="B75" s="485"/>
      <c r="C75" s="34"/>
      <c r="D75" s="36"/>
      <c r="E75" s="36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</row>
    <row r="76" spans="1:23" ht="21.75" customHeight="1" x14ac:dyDescent="0.6">
      <c r="A76" s="34"/>
      <c r="B76" s="485"/>
      <c r="C76" s="34"/>
      <c r="D76" s="36"/>
      <c r="E76" s="36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</row>
    <row r="77" spans="1:23" ht="21.75" customHeight="1" x14ac:dyDescent="0.6">
      <c r="A77" s="34"/>
      <c r="B77" s="485"/>
      <c r="C77" s="34"/>
      <c r="D77" s="36"/>
      <c r="E77" s="36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</row>
    <row r="78" spans="1:23" ht="21.75" customHeight="1" x14ac:dyDescent="0.6">
      <c r="A78" s="34"/>
      <c r="B78" s="485"/>
      <c r="C78" s="34"/>
      <c r="D78" s="36"/>
      <c r="E78" s="36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</row>
    <row r="79" spans="1:23" ht="21.75" customHeight="1" x14ac:dyDescent="0.6">
      <c r="A79" s="34"/>
      <c r="B79" s="485"/>
      <c r="C79" s="34"/>
      <c r="D79" s="36"/>
      <c r="E79" s="36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</row>
    <row r="80" spans="1:23" ht="21.75" customHeight="1" x14ac:dyDescent="0.6">
      <c r="A80" s="34"/>
      <c r="B80" s="485"/>
      <c r="C80" s="34"/>
      <c r="D80" s="36"/>
      <c r="E80" s="36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</row>
    <row r="81" spans="1:23" ht="21.75" customHeight="1" x14ac:dyDescent="0.6">
      <c r="A81" s="34"/>
      <c r="B81" s="485"/>
      <c r="C81" s="34"/>
      <c r="D81" s="36"/>
      <c r="E81" s="36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</row>
    <row r="82" spans="1:23" ht="21.75" customHeight="1" x14ac:dyDescent="0.6">
      <c r="A82" s="34"/>
      <c r="B82" s="485"/>
      <c r="C82" s="34"/>
      <c r="D82" s="36"/>
      <c r="E82" s="36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</row>
    <row r="83" spans="1:23" ht="21.75" customHeight="1" x14ac:dyDescent="0.6">
      <c r="A83" s="34"/>
      <c r="B83" s="485"/>
      <c r="C83" s="34"/>
      <c r="D83" s="36"/>
      <c r="E83" s="36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</row>
    <row r="84" spans="1:23" ht="21.75" customHeight="1" x14ac:dyDescent="0.6">
      <c r="A84" s="34"/>
      <c r="B84" s="485"/>
      <c r="C84" s="34"/>
      <c r="D84" s="36"/>
      <c r="E84" s="36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</row>
    <row r="85" spans="1:23" ht="21.75" customHeight="1" x14ac:dyDescent="0.6">
      <c r="A85" s="34"/>
      <c r="B85" s="485"/>
      <c r="C85" s="34"/>
      <c r="D85" s="36"/>
      <c r="E85" s="36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</row>
    <row r="86" spans="1:23" ht="21.75" customHeight="1" x14ac:dyDescent="0.6">
      <c r="A86" s="34"/>
      <c r="B86" s="485"/>
      <c r="C86" s="34"/>
      <c r="D86" s="36"/>
      <c r="E86" s="36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</row>
    <row r="87" spans="1:23" ht="21.75" customHeight="1" x14ac:dyDescent="0.6">
      <c r="A87" s="34"/>
      <c r="B87" s="485"/>
      <c r="C87" s="34"/>
      <c r="D87" s="36"/>
      <c r="E87" s="36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</row>
    <row r="88" spans="1:23" ht="21.75" customHeight="1" x14ac:dyDescent="0.6">
      <c r="A88" s="34"/>
      <c r="B88" s="485"/>
      <c r="C88" s="34"/>
      <c r="D88" s="36"/>
      <c r="E88" s="36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</row>
    <row r="89" spans="1:23" ht="21.75" customHeight="1" x14ac:dyDescent="0.6">
      <c r="A89" s="34"/>
      <c r="B89" s="485"/>
      <c r="C89" s="34"/>
      <c r="D89" s="36"/>
      <c r="E89" s="36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</row>
    <row r="90" spans="1:23" ht="21.75" customHeight="1" x14ac:dyDescent="0.6">
      <c r="A90" s="34"/>
      <c r="B90" s="485"/>
      <c r="C90" s="34"/>
      <c r="D90" s="36"/>
      <c r="E90" s="36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</row>
    <row r="91" spans="1:23" ht="21.75" customHeight="1" x14ac:dyDescent="0.6">
      <c r="A91" s="34"/>
      <c r="B91" s="485"/>
      <c r="C91" s="34"/>
      <c r="D91" s="36"/>
      <c r="E91" s="36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</row>
    <row r="92" spans="1:23" ht="21.75" customHeight="1" x14ac:dyDescent="0.6">
      <c r="A92" s="34"/>
      <c r="B92" s="485"/>
      <c r="C92" s="34"/>
      <c r="D92" s="36"/>
      <c r="E92" s="36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</row>
    <row r="93" spans="1:23" ht="21.75" customHeight="1" x14ac:dyDescent="0.6">
      <c r="A93" s="34"/>
      <c r="B93" s="485"/>
      <c r="C93" s="34"/>
      <c r="D93" s="36"/>
      <c r="E93" s="36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</row>
    <row r="94" spans="1:23" ht="21.75" customHeight="1" x14ac:dyDescent="0.6">
      <c r="A94" s="34"/>
      <c r="B94" s="485"/>
      <c r="C94" s="34"/>
      <c r="D94" s="36"/>
      <c r="E94" s="36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</row>
    <row r="95" spans="1:23" ht="21.75" customHeight="1" x14ac:dyDescent="0.6">
      <c r="A95" s="34"/>
      <c r="B95" s="485"/>
      <c r="C95" s="34"/>
      <c r="D95" s="36"/>
      <c r="E95" s="36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</row>
    <row r="96" spans="1:23" ht="21.75" customHeight="1" x14ac:dyDescent="0.6">
      <c r="A96" s="34"/>
      <c r="B96" s="485"/>
      <c r="C96" s="34"/>
      <c r="D96" s="36"/>
      <c r="E96" s="36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</row>
    <row r="97" spans="1:23" ht="21.75" customHeight="1" x14ac:dyDescent="0.6">
      <c r="A97" s="34"/>
      <c r="B97" s="485"/>
      <c r="C97" s="34"/>
      <c r="D97" s="36"/>
      <c r="E97" s="36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</row>
    <row r="98" spans="1:23" ht="21.75" customHeight="1" x14ac:dyDescent="0.6">
      <c r="A98" s="34"/>
      <c r="B98" s="485"/>
      <c r="C98" s="34"/>
      <c r="D98" s="36"/>
      <c r="E98" s="36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</row>
    <row r="99" spans="1:23" ht="21.75" customHeight="1" x14ac:dyDescent="0.6">
      <c r="A99" s="34"/>
      <c r="B99" s="485"/>
      <c r="C99" s="34"/>
      <c r="D99" s="36"/>
      <c r="E99" s="36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</row>
    <row r="100" spans="1:23" ht="21.75" customHeight="1" x14ac:dyDescent="0.6">
      <c r="A100" s="34"/>
      <c r="B100" s="485"/>
      <c r="C100" s="34"/>
      <c r="D100" s="36"/>
      <c r="E100" s="36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</row>
    <row r="101" spans="1:23" ht="21.75" customHeight="1" x14ac:dyDescent="0.6">
      <c r="A101" s="34"/>
      <c r="B101" s="485"/>
      <c r="C101" s="34"/>
      <c r="D101" s="36"/>
      <c r="E101" s="36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</row>
    <row r="102" spans="1:23" ht="21.75" customHeight="1" x14ac:dyDescent="0.6">
      <c r="A102" s="34"/>
      <c r="B102" s="485"/>
      <c r="C102" s="34"/>
      <c r="D102" s="36"/>
      <c r="E102" s="36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</row>
    <row r="103" spans="1:23" ht="21.75" customHeight="1" x14ac:dyDescent="0.6">
      <c r="A103" s="34"/>
      <c r="B103" s="485"/>
      <c r="C103" s="34"/>
      <c r="D103" s="36"/>
      <c r="E103" s="36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</row>
    <row r="104" spans="1:23" ht="21.75" customHeight="1" x14ac:dyDescent="0.6">
      <c r="A104" s="34"/>
      <c r="B104" s="485"/>
      <c r="C104" s="34"/>
      <c r="D104" s="36"/>
      <c r="E104" s="36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</row>
    <row r="105" spans="1:23" ht="21.75" customHeight="1" x14ac:dyDescent="0.6">
      <c r="A105" s="34"/>
      <c r="B105" s="485"/>
      <c r="C105" s="34"/>
      <c r="D105" s="36"/>
      <c r="E105" s="36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</row>
    <row r="106" spans="1:23" ht="21.75" customHeight="1" x14ac:dyDescent="0.6">
      <c r="A106" s="34"/>
      <c r="B106" s="485"/>
      <c r="C106" s="34"/>
      <c r="D106" s="36"/>
      <c r="E106" s="36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</row>
    <row r="107" spans="1:23" ht="21.75" customHeight="1" x14ac:dyDescent="0.6">
      <c r="A107" s="34"/>
      <c r="B107" s="485"/>
      <c r="C107" s="34"/>
      <c r="D107" s="36"/>
      <c r="E107" s="36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</row>
    <row r="108" spans="1:23" ht="21.75" customHeight="1" x14ac:dyDescent="0.6">
      <c r="A108" s="34"/>
      <c r="B108" s="485"/>
      <c r="C108" s="34"/>
      <c r="D108" s="36"/>
      <c r="E108" s="36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</row>
    <row r="109" spans="1:23" ht="21.75" customHeight="1" x14ac:dyDescent="0.6">
      <c r="A109" s="34"/>
      <c r="B109" s="485"/>
      <c r="C109" s="34"/>
      <c r="D109" s="36"/>
      <c r="E109" s="36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</row>
    <row r="110" spans="1:23" ht="21.75" customHeight="1" x14ac:dyDescent="0.6">
      <c r="A110" s="34"/>
      <c r="B110" s="485"/>
      <c r="C110" s="34"/>
      <c r="D110" s="36"/>
      <c r="E110" s="36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</row>
    <row r="111" spans="1:23" ht="21.75" customHeight="1" x14ac:dyDescent="0.6">
      <c r="A111" s="34"/>
      <c r="B111" s="485"/>
      <c r="C111" s="34"/>
      <c r="D111" s="36"/>
      <c r="E111" s="36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</row>
    <row r="112" spans="1:23" ht="21.75" customHeight="1" x14ac:dyDescent="0.6">
      <c r="A112" s="34"/>
      <c r="B112" s="485"/>
      <c r="C112" s="34"/>
      <c r="D112" s="36"/>
      <c r="E112" s="36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</row>
    <row r="113" spans="1:23" ht="21.75" customHeight="1" x14ac:dyDescent="0.6">
      <c r="A113" s="34"/>
      <c r="B113" s="485"/>
      <c r="C113" s="34"/>
      <c r="D113" s="36"/>
      <c r="E113" s="36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</row>
    <row r="114" spans="1:23" ht="21.75" customHeight="1" x14ac:dyDescent="0.6">
      <c r="A114" s="34"/>
      <c r="B114" s="485"/>
      <c r="C114" s="34"/>
      <c r="D114" s="36"/>
      <c r="E114" s="36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</row>
    <row r="115" spans="1:23" ht="21.75" customHeight="1" x14ac:dyDescent="0.6">
      <c r="A115" s="34"/>
      <c r="B115" s="485"/>
      <c r="C115" s="34"/>
      <c r="D115" s="36"/>
      <c r="E115" s="36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</row>
    <row r="116" spans="1:23" ht="21.75" customHeight="1" x14ac:dyDescent="0.6">
      <c r="A116" s="34"/>
      <c r="B116" s="485"/>
      <c r="C116" s="34"/>
      <c r="D116" s="36"/>
      <c r="E116" s="36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</row>
    <row r="117" spans="1:23" ht="21.75" customHeight="1" x14ac:dyDescent="0.6">
      <c r="A117" s="34"/>
      <c r="B117" s="485"/>
      <c r="C117" s="34"/>
      <c r="D117" s="36"/>
      <c r="E117" s="36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</row>
    <row r="118" spans="1:23" ht="21.75" customHeight="1" x14ac:dyDescent="0.6">
      <c r="A118" s="34"/>
      <c r="B118" s="485"/>
      <c r="C118" s="34"/>
      <c r="D118" s="36"/>
      <c r="E118" s="36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</row>
    <row r="119" spans="1:23" ht="21.75" customHeight="1" x14ac:dyDescent="0.6">
      <c r="A119" s="34"/>
      <c r="B119" s="485"/>
      <c r="C119" s="34"/>
      <c r="D119" s="36"/>
      <c r="E119" s="36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</row>
    <row r="120" spans="1:23" ht="21.75" customHeight="1" x14ac:dyDescent="0.6">
      <c r="A120" s="34"/>
      <c r="B120" s="485"/>
      <c r="C120" s="34"/>
      <c r="D120" s="36"/>
      <c r="E120" s="36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</row>
    <row r="121" spans="1:23" ht="21.75" customHeight="1" x14ac:dyDescent="0.6">
      <c r="A121" s="34"/>
      <c r="B121" s="485"/>
      <c r="C121" s="34"/>
      <c r="D121" s="36"/>
      <c r="E121" s="36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</row>
    <row r="122" spans="1:23" ht="21.75" customHeight="1" x14ac:dyDescent="0.6">
      <c r="A122" s="34"/>
      <c r="B122" s="485"/>
      <c r="C122" s="34"/>
      <c r="D122" s="36"/>
      <c r="E122" s="36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</row>
    <row r="123" spans="1:23" ht="21.75" customHeight="1" x14ac:dyDescent="0.6">
      <c r="A123" s="34"/>
      <c r="B123" s="485"/>
      <c r="C123" s="34"/>
      <c r="D123" s="36"/>
      <c r="E123" s="36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</row>
    <row r="124" spans="1:23" ht="21.75" customHeight="1" x14ac:dyDescent="0.6">
      <c r="A124" s="34"/>
      <c r="B124" s="485"/>
      <c r="C124" s="34"/>
      <c r="D124" s="36"/>
      <c r="E124" s="36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</row>
    <row r="125" spans="1:23" ht="21.75" customHeight="1" x14ac:dyDescent="0.6">
      <c r="A125" s="34"/>
      <c r="B125" s="485"/>
      <c r="C125" s="34"/>
      <c r="D125" s="36"/>
      <c r="E125" s="36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</row>
    <row r="126" spans="1:23" ht="21.75" customHeight="1" x14ac:dyDescent="0.6">
      <c r="A126" s="34"/>
      <c r="B126" s="485"/>
      <c r="C126" s="34"/>
      <c r="D126" s="36"/>
      <c r="E126" s="36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</row>
    <row r="127" spans="1:23" ht="21.75" customHeight="1" x14ac:dyDescent="0.6">
      <c r="A127" s="34"/>
      <c r="B127" s="485"/>
      <c r="C127" s="34"/>
      <c r="D127" s="36"/>
      <c r="E127" s="36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</row>
    <row r="128" spans="1:23" ht="21.75" customHeight="1" x14ac:dyDescent="0.6">
      <c r="A128" s="34"/>
      <c r="B128" s="485"/>
      <c r="C128" s="34"/>
      <c r="D128" s="36"/>
      <c r="E128" s="36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</row>
    <row r="129" spans="1:23" ht="21.75" customHeight="1" x14ac:dyDescent="0.6">
      <c r="A129" s="34"/>
      <c r="B129" s="485"/>
      <c r="C129" s="34"/>
      <c r="D129" s="36"/>
      <c r="E129" s="36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</row>
    <row r="130" spans="1:23" ht="21.75" customHeight="1" x14ac:dyDescent="0.6">
      <c r="A130" s="34"/>
      <c r="B130" s="485"/>
      <c r="C130" s="34"/>
      <c r="D130" s="36"/>
      <c r="E130" s="36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</row>
    <row r="131" spans="1:23" ht="21.75" customHeight="1" x14ac:dyDescent="0.6">
      <c r="A131" s="34"/>
      <c r="B131" s="485"/>
      <c r="C131" s="34"/>
      <c r="D131" s="36"/>
      <c r="E131" s="36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</row>
    <row r="132" spans="1:23" ht="21.75" customHeight="1" x14ac:dyDescent="0.6">
      <c r="A132" s="34"/>
      <c r="B132" s="485"/>
      <c r="C132" s="34"/>
      <c r="D132" s="36"/>
      <c r="E132" s="36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</row>
    <row r="133" spans="1:23" ht="21.75" customHeight="1" x14ac:dyDescent="0.6">
      <c r="A133" s="34"/>
      <c r="B133" s="485"/>
      <c r="C133" s="34"/>
      <c r="D133" s="36"/>
      <c r="E133" s="36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</row>
    <row r="134" spans="1:23" ht="21.75" customHeight="1" x14ac:dyDescent="0.6">
      <c r="A134" s="34"/>
      <c r="B134" s="485"/>
      <c r="C134" s="34"/>
      <c r="D134" s="36"/>
      <c r="E134" s="36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</row>
    <row r="135" spans="1:23" ht="21.75" customHeight="1" x14ac:dyDescent="0.6">
      <c r="A135" s="34"/>
      <c r="B135" s="485"/>
      <c r="C135" s="34"/>
      <c r="D135" s="36"/>
      <c r="E135" s="36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</row>
    <row r="136" spans="1:23" ht="21.75" customHeight="1" x14ac:dyDescent="0.6">
      <c r="A136" s="34"/>
      <c r="B136" s="485"/>
      <c r="C136" s="34"/>
      <c r="D136" s="36"/>
      <c r="E136" s="36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</row>
    <row r="137" spans="1:23" ht="21.75" customHeight="1" x14ac:dyDescent="0.6">
      <c r="A137" s="34"/>
      <c r="B137" s="485"/>
      <c r="C137" s="34"/>
      <c r="D137" s="36"/>
      <c r="E137" s="36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</row>
    <row r="138" spans="1:23" ht="21.75" customHeight="1" x14ac:dyDescent="0.6">
      <c r="A138" s="34"/>
      <c r="B138" s="485"/>
      <c r="C138" s="34"/>
      <c r="D138" s="36"/>
      <c r="E138" s="36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</row>
    <row r="139" spans="1:23" ht="21.75" customHeight="1" x14ac:dyDescent="0.6">
      <c r="A139" s="34"/>
      <c r="B139" s="485"/>
      <c r="C139" s="34"/>
      <c r="D139" s="36"/>
      <c r="E139" s="36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</row>
    <row r="140" spans="1:23" ht="21.75" customHeight="1" x14ac:dyDescent="0.6">
      <c r="A140" s="34"/>
      <c r="B140" s="485"/>
      <c r="C140" s="34"/>
      <c r="D140" s="36"/>
      <c r="E140" s="36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</row>
    <row r="141" spans="1:23" ht="21.75" customHeight="1" x14ac:dyDescent="0.6">
      <c r="A141" s="34"/>
      <c r="B141" s="485"/>
      <c r="C141" s="34"/>
      <c r="D141" s="36"/>
      <c r="E141" s="36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</row>
    <row r="142" spans="1:23" ht="21.75" customHeight="1" x14ac:dyDescent="0.6">
      <c r="A142" s="34"/>
      <c r="B142" s="485"/>
      <c r="C142" s="34"/>
      <c r="D142" s="36"/>
      <c r="E142" s="36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</row>
    <row r="143" spans="1:23" ht="21.75" customHeight="1" x14ac:dyDescent="0.6">
      <c r="A143" s="34"/>
      <c r="B143" s="485"/>
      <c r="C143" s="34"/>
      <c r="D143" s="36"/>
      <c r="E143" s="36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</row>
    <row r="144" spans="1:23" ht="21.75" customHeight="1" x14ac:dyDescent="0.6">
      <c r="A144" s="34"/>
      <c r="B144" s="485"/>
      <c r="C144" s="34"/>
      <c r="D144" s="36"/>
      <c r="E144" s="36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</row>
    <row r="145" spans="1:23" ht="21.75" customHeight="1" x14ac:dyDescent="0.6">
      <c r="A145" s="34"/>
      <c r="B145" s="485"/>
      <c r="C145" s="34"/>
      <c r="D145" s="36"/>
      <c r="E145" s="36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</row>
    <row r="146" spans="1:23" ht="21.75" customHeight="1" x14ac:dyDescent="0.6">
      <c r="A146" s="34"/>
      <c r="B146" s="485"/>
      <c r="C146" s="34"/>
      <c r="D146" s="36"/>
      <c r="E146" s="36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</row>
    <row r="147" spans="1:23" ht="21.75" customHeight="1" x14ac:dyDescent="0.6">
      <c r="A147" s="34"/>
      <c r="B147" s="485"/>
      <c r="C147" s="34"/>
      <c r="D147" s="36"/>
      <c r="E147" s="36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</row>
    <row r="148" spans="1:23" ht="21.75" customHeight="1" x14ac:dyDescent="0.6">
      <c r="A148" s="34"/>
      <c r="B148" s="485"/>
      <c r="C148" s="34"/>
      <c r="D148" s="36"/>
      <c r="E148" s="36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</row>
    <row r="149" spans="1:23" ht="21.75" customHeight="1" x14ac:dyDescent="0.6">
      <c r="A149" s="34"/>
      <c r="B149" s="485"/>
      <c r="C149" s="34"/>
      <c r="D149" s="36"/>
      <c r="E149" s="36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</row>
    <row r="150" spans="1:23" ht="21.75" customHeight="1" x14ac:dyDescent="0.6">
      <c r="A150" s="34"/>
      <c r="B150" s="485"/>
      <c r="C150" s="34"/>
      <c r="D150" s="36"/>
      <c r="E150" s="36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</row>
    <row r="151" spans="1:23" ht="21.75" customHeight="1" x14ac:dyDescent="0.6">
      <c r="A151" s="34"/>
      <c r="B151" s="485"/>
      <c r="C151" s="34"/>
      <c r="D151" s="36"/>
      <c r="E151" s="36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</row>
    <row r="152" spans="1:23" ht="21.75" customHeight="1" x14ac:dyDescent="0.6">
      <c r="A152" s="34"/>
      <c r="B152" s="485"/>
      <c r="C152" s="34"/>
      <c r="D152" s="36"/>
      <c r="E152" s="36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</row>
    <row r="153" spans="1:23" ht="21.75" customHeight="1" x14ac:dyDescent="0.6">
      <c r="A153" s="34"/>
      <c r="B153" s="485"/>
      <c r="C153" s="34"/>
      <c r="D153" s="36"/>
      <c r="E153" s="36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</row>
    <row r="154" spans="1:23" ht="21.75" customHeight="1" x14ac:dyDescent="0.6">
      <c r="A154" s="34"/>
      <c r="B154" s="485"/>
      <c r="C154" s="34"/>
      <c r="D154" s="36"/>
      <c r="E154" s="36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</row>
    <row r="155" spans="1:23" ht="21.75" customHeight="1" x14ac:dyDescent="0.6">
      <c r="A155" s="34"/>
      <c r="B155" s="485"/>
      <c r="C155" s="34"/>
      <c r="D155" s="36"/>
      <c r="E155" s="36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</row>
    <row r="156" spans="1:23" ht="21.75" customHeight="1" x14ac:dyDescent="0.6">
      <c r="A156" s="34"/>
      <c r="B156" s="485"/>
      <c r="C156" s="34"/>
      <c r="D156" s="36"/>
      <c r="E156" s="36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</row>
    <row r="157" spans="1:23" ht="21.75" customHeight="1" x14ac:dyDescent="0.6">
      <c r="A157" s="34"/>
      <c r="B157" s="485"/>
      <c r="C157" s="34"/>
      <c r="D157" s="36"/>
      <c r="E157" s="36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</row>
    <row r="158" spans="1:23" ht="21.75" customHeight="1" x14ac:dyDescent="0.6">
      <c r="A158" s="34"/>
      <c r="B158" s="485"/>
      <c r="C158" s="34"/>
      <c r="D158" s="36"/>
      <c r="E158" s="36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</row>
    <row r="159" spans="1:23" ht="21.75" customHeight="1" x14ac:dyDescent="0.6">
      <c r="A159" s="34"/>
      <c r="B159" s="485"/>
      <c r="C159" s="34"/>
      <c r="D159" s="36"/>
      <c r="E159" s="36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</row>
    <row r="160" spans="1:23" ht="21.75" customHeight="1" x14ac:dyDescent="0.6">
      <c r="A160" s="34"/>
      <c r="B160" s="485"/>
      <c r="C160" s="34"/>
      <c r="D160" s="36"/>
      <c r="E160" s="36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</row>
    <row r="161" spans="1:23" ht="21.75" customHeight="1" x14ac:dyDescent="0.6">
      <c r="A161" s="34"/>
      <c r="B161" s="485"/>
      <c r="C161" s="34"/>
      <c r="D161" s="36"/>
      <c r="E161" s="36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</row>
    <row r="162" spans="1:23" ht="21.75" customHeight="1" x14ac:dyDescent="0.6">
      <c r="A162" s="34"/>
      <c r="B162" s="485"/>
      <c r="C162" s="34"/>
      <c r="D162" s="36"/>
      <c r="E162" s="36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</row>
    <row r="163" spans="1:23" ht="21.75" customHeight="1" x14ac:dyDescent="0.6">
      <c r="A163" s="34"/>
      <c r="B163" s="485"/>
      <c r="C163" s="34"/>
      <c r="D163" s="36"/>
      <c r="E163" s="36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</row>
    <row r="164" spans="1:23" ht="21.75" customHeight="1" x14ac:dyDescent="0.6">
      <c r="A164" s="34"/>
      <c r="B164" s="485"/>
      <c r="C164" s="34"/>
      <c r="D164" s="36"/>
      <c r="E164" s="36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</row>
    <row r="165" spans="1:23" ht="21.75" customHeight="1" x14ac:dyDescent="0.6">
      <c r="A165" s="34"/>
      <c r="B165" s="485"/>
      <c r="C165" s="34"/>
      <c r="D165" s="36"/>
      <c r="E165" s="36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</row>
    <row r="166" spans="1:23" ht="21.75" customHeight="1" x14ac:dyDescent="0.6">
      <c r="A166" s="34"/>
      <c r="B166" s="485"/>
      <c r="C166" s="34"/>
      <c r="D166" s="36"/>
      <c r="E166" s="36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</row>
    <row r="167" spans="1:23" ht="21.75" customHeight="1" x14ac:dyDescent="0.6">
      <c r="A167" s="34"/>
      <c r="B167" s="485"/>
      <c r="C167" s="34"/>
      <c r="D167" s="36"/>
      <c r="E167" s="36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</row>
    <row r="168" spans="1:23" ht="21.75" customHeight="1" x14ac:dyDescent="0.6">
      <c r="A168" s="34"/>
      <c r="B168" s="485"/>
      <c r="C168" s="34"/>
      <c r="D168" s="36"/>
      <c r="E168" s="36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</row>
    <row r="169" spans="1:23" ht="21.75" customHeight="1" x14ac:dyDescent="0.6">
      <c r="A169" s="34"/>
      <c r="B169" s="485"/>
      <c r="C169" s="34"/>
      <c r="D169" s="36"/>
      <c r="E169" s="36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</row>
    <row r="170" spans="1:23" ht="21.75" customHeight="1" x14ac:dyDescent="0.6">
      <c r="A170" s="34"/>
      <c r="B170" s="485"/>
      <c r="C170" s="34"/>
      <c r="D170" s="36"/>
      <c r="E170" s="36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</row>
    <row r="171" spans="1:23" ht="21.75" customHeight="1" x14ac:dyDescent="0.6">
      <c r="A171" s="34"/>
      <c r="B171" s="485"/>
      <c r="C171" s="34"/>
      <c r="D171" s="36"/>
      <c r="E171" s="36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</row>
    <row r="172" spans="1:23" ht="21.75" customHeight="1" x14ac:dyDescent="0.6">
      <c r="A172" s="34"/>
      <c r="B172" s="485"/>
      <c r="C172" s="34"/>
      <c r="D172" s="36"/>
      <c r="E172" s="36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</row>
    <row r="173" spans="1:23" ht="21.75" customHeight="1" x14ac:dyDescent="0.6">
      <c r="A173" s="34"/>
      <c r="B173" s="485"/>
      <c r="C173" s="34"/>
      <c r="D173" s="36"/>
      <c r="E173" s="36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</row>
    <row r="174" spans="1:23" ht="21.75" customHeight="1" x14ac:dyDescent="0.6">
      <c r="A174" s="34"/>
      <c r="B174" s="485"/>
      <c r="C174" s="34"/>
      <c r="D174" s="36"/>
      <c r="E174" s="36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</row>
    <row r="175" spans="1:23" ht="21.75" customHeight="1" x14ac:dyDescent="0.6">
      <c r="A175" s="34"/>
      <c r="B175" s="485"/>
      <c r="C175" s="34"/>
      <c r="D175" s="36"/>
      <c r="E175" s="36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</row>
    <row r="176" spans="1:23" ht="21.75" customHeight="1" x14ac:dyDescent="0.6">
      <c r="A176" s="34"/>
      <c r="B176" s="485"/>
      <c r="C176" s="34"/>
      <c r="D176" s="36"/>
      <c r="E176" s="36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</row>
    <row r="177" spans="1:23" ht="21.75" customHeight="1" x14ac:dyDescent="0.6">
      <c r="A177" s="34"/>
      <c r="B177" s="485"/>
      <c r="C177" s="34"/>
      <c r="D177" s="36"/>
      <c r="E177" s="36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</row>
    <row r="178" spans="1:23" ht="21.75" customHeight="1" x14ac:dyDescent="0.6">
      <c r="A178" s="34"/>
      <c r="B178" s="485"/>
      <c r="C178" s="34"/>
      <c r="D178" s="36"/>
      <c r="E178" s="36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</row>
    <row r="179" spans="1:23" ht="21.75" customHeight="1" x14ac:dyDescent="0.6">
      <c r="A179" s="34"/>
      <c r="B179" s="485"/>
      <c r="C179" s="34"/>
      <c r="D179" s="36"/>
      <c r="E179" s="36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</row>
    <row r="180" spans="1:23" ht="21.75" customHeight="1" x14ac:dyDescent="0.6">
      <c r="A180" s="34"/>
      <c r="B180" s="485"/>
      <c r="C180" s="34"/>
      <c r="D180" s="36"/>
      <c r="E180" s="36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</row>
    <row r="181" spans="1:23" ht="21.75" customHeight="1" x14ac:dyDescent="0.6">
      <c r="A181" s="34"/>
      <c r="B181" s="485"/>
      <c r="C181" s="34"/>
      <c r="D181" s="36"/>
      <c r="E181" s="36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</row>
    <row r="182" spans="1:23" ht="21.75" customHeight="1" x14ac:dyDescent="0.6">
      <c r="A182" s="34"/>
      <c r="B182" s="485"/>
      <c r="C182" s="34"/>
      <c r="D182" s="36"/>
      <c r="E182" s="36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</row>
    <row r="183" spans="1:23" ht="21.75" customHeight="1" x14ac:dyDescent="0.6">
      <c r="A183" s="34"/>
      <c r="B183" s="485"/>
      <c r="C183" s="34"/>
      <c r="D183" s="36"/>
      <c r="E183" s="36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</row>
    <row r="184" spans="1:23" ht="21.75" customHeight="1" x14ac:dyDescent="0.6">
      <c r="A184" s="34"/>
      <c r="B184" s="485"/>
      <c r="C184" s="34"/>
      <c r="D184" s="36"/>
      <c r="E184" s="36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</row>
    <row r="185" spans="1:23" ht="21.75" customHeight="1" x14ac:dyDescent="0.6">
      <c r="A185" s="34"/>
      <c r="B185" s="485"/>
      <c r="C185" s="34"/>
      <c r="D185" s="36"/>
      <c r="E185" s="36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</row>
    <row r="186" spans="1:23" ht="21.75" customHeight="1" x14ac:dyDescent="0.6">
      <c r="A186" s="34"/>
      <c r="B186" s="485"/>
      <c r="C186" s="34"/>
      <c r="D186" s="36"/>
      <c r="E186" s="36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</row>
    <row r="187" spans="1:23" ht="21.75" customHeight="1" x14ac:dyDescent="0.6">
      <c r="A187" s="34"/>
      <c r="B187" s="485"/>
      <c r="C187" s="34"/>
      <c r="D187" s="36"/>
      <c r="E187" s="36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</row>
    <row r="188" spans="1:23" ht="21.75" customHeight="1" x14ac:dyDescent="0.6">
      <c r="A188" s="34"/>
      <c r="B188" s="485"/>
      <c r="C188" s="34"/>
      <c r="D188" s="36"/>
      <c r="E188" s="36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</row>
    <row r="189" spans="1:23" ht="21.75" customHeight="1" x14ac:dyDescent="0.6">
      <c r="A189" s="34"/>
      <c r="B189" s="485"/>
      <c r="C189" s="34"/>
      <c r="D189" s="36"/>
      <c r="E189" s="36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</row>
    <row r="190" spans="1:23" ht="21.75" customHeight="1" x14ac:dyDescent="0.6">
      <c r="A190" s="34"/>
      <c r="B190" s="485"/>
      <c r="C190" s="34"/>
      <c r="D190" s="36"/>
      <c r="E190" s="36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</row>
    <row r="191" spans="1:23" ht="21.75" customHeight="1" x14ac:dyDescent="0.6">
      <c r="A191" s="34"/>
      <c r="B191" s="485"/>
      <c r="C191" s="34"/>
      <c r="D191" s="36"/>
      <c r="E191" s="36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</row>
    <row r="192" spans="1:23" ht="21.75" customHeight="1" x14ac:dyDescent="0.6">
      <c r="A192" s="34"/>
      <c r="B192" s="485"/>
      <c r="C192" s="34"/>
      <c r="D192" s="36"/>
      <c r="E192" s="36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</row>
    <row r="193" spans="1:23" ht="21.75" customHeight="1" x14ac:dyDescent="0.6">
      <c r="A193" s="34"/>
      <c r="B193" s="485"/>
      <c r="C193" s="34"/>
      <c r="D193" s="36"/>
      <c r="E193" s="36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</row>
    <row r="194" spans="1:23" ht="21.75" customHeight="1" x14ac:dyDescent="0.6">
      <c r="A194" s="34"/>
      <c r="B194" s="485"/>
      <c r="C194" s="34"/>
      <c r="D194" s="36"/>
      <c r="E194" s="36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</row>
    <row r="195" spans="1:23" ht="21.75" customHeight="1" x14ac:dyDescent="0.6">
      <c r="A195" s="34"/>
      <c r="B195" s="485"/>
      <c r="C195" s="34"/>
      <c r="D195" s="36"/>
      <c r="E195" s="36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</row>
    <row r="196" spans="1:23" ht="21.75" customHeight="1" x14ac:dyDescent="0.6">
      <c r="A196" s="34"/>
      <c r="B196" s="485"/>
      <c r="C196" s="34"/>
      <c r="D196" s="36"/>
      <c r="E196" s="36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</row>
    <row r="197" spans="1:23" ht="21.75" customHeight="1" x14ac:dyDescent="0.6">
      <c r="A197" s="34"/>
      <c r="B197" s="485"/>
      <c r="C197" s="34"/>
      <c r="D197" s="36"/>
      <c r="E197" s="36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</row>
    <row r="198" spans="1:23" ht="21.75" customHeight="1" x14ac:dyDescent="0.6">
      <c r="A198" s="34"/>
      <c r="B198" s="485"/>
      <c r="C198" s="34"/>
      <c r="D198" s="36"/>
      <c r="E198" s="36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</row>
    <row r="199" spans="1:23" ht="21.75" customHeight="1" x14ac:dyDescent="0.6">
      <c r="A199" s="34"/>
      <c r="B199" s="485"/>
      <c r="C199" s="34"/>
      <c r="D199" s="36"/>
      <c r="E199" s="36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</row>
    <row r="200" spans="1:23" ht="21.75" customHeight="1" x14ac:dyDescent="0.6">
      <c r="A200" s="34"/>
      <c r="B200" s="485"/>
      <c r="C200" s="34"/>
      <c r="D200" s="36"/>
      <c r="E200" s="36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</row>
    <row r="201" spans="1:23" ht="21.75" customHeight="1" x14ac:dyDescent="0.6">
      <c r="A201" s="34"/>
      <c r="B201" s="485"/>
      <c r="C201" s="34"/>
      <c r="D201" s="36"/>
      <c r="E201" s="36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</row>
    <row r="202" spans="1:23" ht="21.75" customHeight="1" x14ac:dyDescent="0.6">
      <c r="A202" s="34"/>
      <c r="B202" s="485"/>
      <c r="C202" s="34"/>
      <c r="D202" s="36"/>
      <c r="E202" s="36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</row>
    <row r="203" spans="1:23" ht="21.75" customHeight="1" x14ac:dyDescent="0.6">
      <c r="A203" s="34"/>
      <c r="B203" s="485"/>
      <c r="C203" s="34"/>
      <c r="D203" s="36"/>
      <c r="E203" s="36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</row>
    <row r="204" spans="1:23" ht="21.75" customHeight="1" x14ac:dyDescent="0.6">
      <c r="A204" s="34"/>
      <c r="B204" s="485"/>
      <c r="C204" s="34"/>
      <c r="D204" s="36"/>
      <c r="E204" s="36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</row>
    <row r="205" spans="1:23" ht="21.75" customHeight="1" x14ac:dyDescent="0.6">
      <c r="A205" s="34"/>
      <c r="B205" s="485"/>
      <c r="C205" s="34"/>
      <c r="D205" s="36"/>
      <c r="E205" s="36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</row>
    <row r="206" spans="1:23" ht="21.75" customHeight="1" x14ac:dyDescent="0.6">
      <c r="A206" s="34"/>
      <c r="B206" s="485"/>
      <c r="C206" s="34"/>
      <c r="D206" s="36"/>
      <c r="E206" s="36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</row>
    <row r="207" spans="1:23" ht="21.75" customHeight="1" x14ac:dyDescent="0.6">
      <c r="A207" s="34"/>
      <c r="B207" s="485"/>
      <c r="C207" s="34"/>
      <c r="D207" s="36"/>
      <c r="E207" s="36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</row>
    <row r="208" spans="1:23" ht="21.75" customHeight="1" x14ac:dyDescent="0.6">
      <c r="A208" s="34"/>
      <c r="B208" s="485"/>
      <c r="C208" s="34"/>
      <c r="D208" s="36"/>
      <c r="E208" s="36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</row>
    <row r="209" spans="1:23" ht="21.75" customHeight="1" x14ac:dyDescent="0.6">
      <c r="A209" s="34"/>
      <c r="B209" s="485"/>
      <c r="C209" s="34"/>
      <c r="D209" s="36"/>
      <c r="E209" s="36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</row>
    <row r="210" spans="1:23" ht="21.75" customHeight="1" x14ac:dyDescent="0.6">
      <c r="A210" s="34"/>
      <c r="B210" s="485"/>
      <c r="C210" s="34"/>
      <c r="D210" s="36"/>
      <c r="E210" s="36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</row>
    <row r="211" spans="1:23" ht="21.75" customHeight="1" x14ac:dyDescent="0.6">
      <c r="A211" s="34"/>
      <c r="B211" s="485"/>
      <c r="C211" s="34"/>
      <c r="D211" s="36"/>
      <c r="E211" s="36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</row>
    <row r="212" spans="1:23" ht="21.75" customHeight="1" x14ac:dyDescent="0.6">
      <c r="A212" s="34"/>
      <c r="B212" s="485"/>
      <c r="C212" s="34"/>
      <c r="D212" s="36"/>
      <c r="E212" s="36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</row>
    <row r="213" spans="1:23" ht="21.75" customHeight="1" x14ac:dyDescent="0.6">
      <c r="A213" s="34"/>
      <c r="B213" s="485"/>
      <c r="C213" s="34"/>
      <c r="D213" s="36"/>
      <c r="E213" s="36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</row>
    <row r="214" spans="1:23" ht="21.75" customHeight="1" x14ac:dyDescent="0.6">
      <c r="A214" s="34"/>
      <c r="B214" s="485"/>
      <c r="C214" s="34"/>
      <c r="D214" s="36"/>
      <c r="E214" s="36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</row>
    <row r="215" spans="1:23" ht="21.75" customHeight="1" x14ac:dyDescent="0.6">
      <c r="A215" s="34"/>
      <c r="B215" s="485"/>
      <c r="C215" s="34"/>
      <c r="D215" s="36"/>
      <c r="E215" s="36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</row>
    <row r="216" spans="1:23" ht="21.75" customHeight="1" x14ac:dyDescent="0.6">
      <c r="A216" s="34"/>
      <c r="B216" s="485"/>
      <c r="C216" s="34"/>
      <c r="D216" s="36"/>
      <c r="E216" s="36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</row>
    <row r="217" spans="1:23" ht="21.75" customHeight="1" x14ac:dyDescent="0.6">
      <c r="A217" s="34"/>
      <c r="B217" s="485"/>
      <c r="C217" s="34"/>
      <c r="D217" s="36"/>
      <c r="E217" s="36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</row>
    <row r="218" spans="1:23" ht="21.75" customHeight="1" x14ac:dyDescent="0.6">
      <c r="A218" s="34"/>
      <c r="B218" s="485"/>
      <c r="C218" s="34"/>
      <c r="D218" s="36"/>
      <c r="E218" s="36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</row>
    <row r="219" spans="1:23" ht="21.75" customHeight="1" x14ac:dyDescent="0.6">
      <c r="A219" s="34"/>
      <c r="B219" s="485"/>
      <c r="C219" s="34"/>
      <c r="D219" s="36"/>
      <c r="E219" s="36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</row>
    <row r="220" spans="1:23" ht="21.75" customHeight="1" x14ac:dyDescent="0.6">
      <c r="A220" s="34"/>
      <c r="B220" s="485"/>
      <c r="C220" s="34"/>
      <c r="D220" s="36"/>
      <c r="E220" s="36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</row>
    <row r="221" spans="1:23" ht="21.75" customHeight="1" x14ac:dyDescent="0.6">
      <c r="A221" s="34"/>
      <c r="B221" s="485"/>
      <c r="C221" s="34"/>
      <c r="D221" s="36"/>
      <c r="E221" s="36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</row>
    <row r="222" spans="1:23" ht="21.75" customHeight="1" x14ac:dyDescent="0.6">
      <c r="A222" s="34"/>
      <c r="B222" s="485"/>
      <c r="C222" s="34"/>
      <c r="D222" s="36"/>
      <c r="E222" s="36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</row>
    <row r="223" spans="1:23" ht="21.75" customHeight="1" x14ac:dyDescent="0.6">
      <c r="A223" s="34"/>
      <c r="B223" s="485"/>
      <c r="C223" s="34"/>
      <c r="D223" s="36"/>
      <c r="E223" s="36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</row>
    <row r="224" spans="1:23" ht="21.75" customHeight="1" x14ac:dyDescent="0.6">
      <c r="A224" s="34"/>
      <c r="B224" s="485"/>
      <c r="C224" s="34"/>
      <c r="D224" s="36"/>
      <c r="E224" s="36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</row>
    <row r="225" spans="1:23" ht="21.75" customHeight="1" x14ac:dyDescent="0.6">
      <c r="A225" s="34"/>
      <c r="B225" s="485"/>
      <c r="C225" s="34"/>
      <c r="D225" s="36"/>
      <c r="E225" s="36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</row>
    <row r="226" spans="1:23" ht="21.75" customHeight="1" x14ac:dyDescent="0.6">
      <c r="A226" s="34"/>
      <c r="B226" s="485"/>
      <c r="C226" s="34"/>
      <c r="D226" s="36"/>
      <c r="E226" s="36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</row>
    <row r="227" spans="1:23" ht="21.75" customHeight="1" x14ac:dyDescent="0.6">
      <c r="A227" s="34"/>
      <c r="B227" s="485"/>
      <c r="C227" s="34"/>
      <c r="D227" s="36"/>
      <c r="E227" s="36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</row>
    <row r="228" spans="1:23" ht="21.75" customHeight="1" x14ac:dyDescent="0.6">
      <c r="A228" s="34"/>
      <c r="B228" s="485"/>
      <c r="C228" s="34"/>
      <c r="D228" s="36"/>
      <c r="E228" s="36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</row>
    <row r="229" spans="1:23" ht="21.75" customHeight="1" x14ac:dyDescent="0.6">
      <c r="A229" s="34"/>
      <c r="B229" s="485"/>
      <c r="C229" s="34"/>
      <c r="D229" s="36"/>
      <c r="E229" s="36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</row>
    <row r="230" spans="1:23" ht="21.75" customHeight="1" x14ac:dyDescent="0.6">
      <c r="A230" s="34"/>
      <c r="B230" s="485"/>
      <c r="C230" s="34"/>
      <c r="D230" s="36"/>
      <c r="E230" s="36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</row>
    <row r="231" spans="1:23" ht="21.75" customHeight="1" x14ac:dyDescent="0.6">
      <c r="A231" s="34"/>
      <c r="B231" s="485"/>
      <c r="C231" s="34"/>
      <c r="D231" s="36"/>
      <c r="E231" s="36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</row>
    <row r="232" spans="1:23" ht="21.75" customHeight="1" x14ac:dyDescent="0.6">
      <c r="A232" s="34"/>
      <c r="B232" s="485"/>
      <c r="C232" s="34"/>
      <c r="D232" s="36"/>
      <c r="E232" s="36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</row>
    <row r="233" spans="1:23" ht="21.75" customHeight="1" x14ac:dyDescent="0.6">
      <c r="A233" s="34"/>
      <c r="B233" s="485"/>
      <c r="C233" s="34"/>
      <c r="D233" s="36"/>
      <c r="E233" s="36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</row>
    <row r="234" spans="1:23" ht="21.75" customHeight="1" x14ac:dyDescent="0.6">
      <c r="A234" s="34"/>
      <c r="B234" s="485"/>
      <c r="C234" s="34"/>
      <c r="D234" s="36"/>
      <c r="E234" s="36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</row>
    <row r="235" spans="1:23" ht="21.75" customHeight="1" x14ac:dyDescent="0.6">
      <c r="A235" s="34"/>
      <c r="B235" s="485"/>
      <c r="C235" s="34"/>
      <c r="D235" s="36"/>
      <c r="E235" s="36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</row>
    <row r="236" spans="1:23" ht="21.75" customHeight="1" x14ac:dyDescent="0.6">
      <c r="A236" s="34"/>
      <c r="B236" s="485"/>
      <c r="C236" s="34"/>
      <c r="D236" s="36"/>
      <c r="E236" s="36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</row>
    <row r="237" spans="1:23" ht="21.75" customHeight="1" x14ac:dyDescent="0.6">
      <c r="A237" s="34"/>
      <c r="B237" s="485"/>
      <c r="C237" s="34"/>
      <c r="D237" s="36"/>
      <c r="E237" s="36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</row>
    <row r="238" spans="1:23" ht="21.75" customHeight="1" x14ac:dyDescent="0.6">
      <c r="A238" s="34"/>
      <c r="B238" s="485"/>
      <c r="C238" s="34"/>
      <c r="D238" s="36"/>
      <c r="E238" s="36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</row>
    <row r="239" spans="1:23" ht="21.75" customHeight="1" x14ac:dyDescent="0.6">
      <c r="A239" s="34"/>
      <c r="B239" s="485"/>
      <c r="C239" s="34"/>
      <c r="D239" s="36"/>
      <c r="E239" s="36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</row>
    <row r="240" spans="1:23" ht="21.75" customHeight="1" x14ac:dyDescent="0.6">
      <c r="A240" s="34"/>
      <c r="B240" s="485"/>
      <c r="C240" s="34"/>
      <c r="D240" s="36"/>
      <c r="E240" s="36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</row>
    <row r="241" spans="1:23" ht="21.75" customHeight="1" x14ac:dyDescent="0.6">
      <c r="A241" s="34"/>
      <c r="B241" s="485"/>
      <c r="C241" s="34"/>
      <c r="D241" s="36"/>
      <c r="E241" s="36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</row>
    <row r="242" spans="1:23" ht="21.75" customHeight="1" x14ac:dyDescent="0.6">
      <c r="A242" s="34"/>
      <c r="B242" s="485"/>
      <c r="C242" s="34"/>
      <c r="D242" s="36"/>
      <c r="E242" s="36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</row>
    <row r="243" spans="1:23" ht="21.75" customHeight="1" x14ac:dyDescent="0.6">
      <c r="A243" s="34"/>
      <c r="B243" s="485"/>
      <c r="C243" s="34"/>
      <c r="D243" s="36"/>
      <c r="E243" s="36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</row>
    <row r="244" spans="1:23" ht="21.75" customHeight="1" x14ac:dyDescent="0.6">
      <c r="A244" s="34"/>
      <c r="B244" s="485"/>
      <c r="C244" s="34"/>
      <c r="D244" s="36"/>
      <c r="E244" s="36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</row>
    <row r="245" spans="1:23" ht="21.75" customHeight="1" x14ac:dyDescent="0.6">
      <c r="A245" s="34"/>
      <c r="B245" s="485"/>
      <c r="C245" s="34"/>
      <c r="D245" s="36"/>
      <c r="E245" s="36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</row>
    <row r="246" spans="1:23" ht="21.75" customHeight="1" x14ac:dyDescent="0.6">
      <c r="A246" s="34"/>
      <c r="B246" s="485"/>
      <c r="C246" s="34"/>
      <c r="D246" s="36"/>
      <c r="E246" s="36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</row>
    <row r="247" spans="1:23" ht="21.75" customHeight="1" x14ac:dyDescent="0.6">
      <c r="A247" s="34"/>
      <c r="B247" s="485"/>
      <c r="C247" s="34"/>
      <c r="D247" s="36"/>
      <c r="E247" s="36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</row>
    <row r="248" spans="1:23" ht="21.75" customHeight="1" x14ac:dyDescent="0.6">
      <c r="A248" s="34"/>
      <c r="B248" s="485"/>
      <c r="C248" s="34"/>
      <c r="D248" s="36"/>
      <c r="E248" s="36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</row>
    <row r="249" spans="1:23" ht="21.75" customHeight="1" x14ac:dyDescent="0.6">
      <c r="A249" s="34"/>
      <c r="B249" s="485"/>
      <c r="C249" s="34"/>
      <c r="D249" s="36"/>
      <c r="E249" s="36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</row>
    <row r="250" spans="1:23" ht="21.75" customHeight="1" x14ac:dyDescent="0.6">
      <c r="A250" s="34"/>
      <c r="B250" s="485"/>
      <c r="C250" s="34"/>
      <c r="D250" s="36"/>
      <c r="E250" s="36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</row>
    <row r="251" spans="1:23" ht="21.75" customHeight="1" x14ac:dyDescent="0.6">
      <c r="A251" s="34"/>
      <c r="B251" s="485"/>
      <c r="C251" s="34"/>
      <c r="D251" s="36"/>
      <c r="E251" s="36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</row>
    <row r="252" spans="1:23" ht="21.75" customHeight="1" x14ac:dyDescent="0.6">
      <c r="A252" s="34"/>
      <c r="B252" s="485"/>
      <c r="C252" s="34"/>
      <c r="D252" s="36"/>
      <c r="E252" s="36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</row>
    <row r="253" spans="1:23" ht="21.75" customHeight="1" x14ac:dyDescent="0.6">
      <c r="A253" s="34"/>
      <c r="B253" s="485"/>
      <c r="C253" s="34"/>
      <c r="D253" s="36"/>
      <c r="E253" s="36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</row>
    <row r="254" spans="1:23" ht="21.75" customHeight="1" x14ac:dyDescent="0.6">
      <c r="A254" s="34"/>
      <c r="B254" s="485"/>
      <c r="C254" s="34"/>
      <c r="D254" s="36"/>
      <c r="E254" s="36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</row>
    <row r="255" spans="1:23" ht="21.75" customHeight="1" x14ac:dyDescent="0.6">
      <c r="A255" s="34"/>
      <c r="B255" s="485"/>
      <c r="C255" s="34"/>
      <c r="D255" s="36"/>
      <c r="E255" s="36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</row>
    <row r="256" spans="1:23" ht="21.75" customHeight="1" x14ac:dyDescent="0.6">
      <c r="A256" s="34"/>
      <c r="B256" s="485"/>
      <c r="C256" s="34"/>
      <c r="D256" s="36"/>
      <c r="E256" s="36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</row>
    <row r="257" spans="1:23" ht="21.75" customHeight="1" x14ac:dyDescent="0.6">
      <c r="A257" s="34"/>
      <c r="B257" s="485"/>
      <c r="C257" s="34"/>
      <c r="D257" s="36"/>
      <c r="E257" s="36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</row>
    <row r="258" spans="1:23" ht="21.75" customHeight="1" x14ac:dyDescent="0.6">
      <c r="A258" s="34"/>
      <c r="B258" s="485"/>
      <c r="C258" s="34"/>
      <c r="D258" s="36"/>
      <c r="E258" s="36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</row>
    <row r="259" spans="1:23" ht="21.75" customHeight="1" x14ac:dyDescent="0.6">
      <c r="A259" s="34"/>
      <c r="B259" s="485"/>
      <c r="C259" s="34"/>
      <c r="D259" s="36"/>
      <c r="E259" s="36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</row>
    <row r="260" spans="1:23" ht="21.75" customHeight="1" x14ac:dyDescent="0.6">
      <c r="A260" s="34"/>
      <c r="B260" s="485"/>
      <c r="C260" s="34"/>
      <c r="D260" s="36"/>
      <c r="E260" s="36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</row>
    <row r="261" spans="1:23" ht="21.75" customHeight="1" x14ac:dyDescent="0.6">
      <c r="A261" s="34"/>
      <c r="B261" s="485"/>
      <c r="C261" s="34"/>
      <c r="D261" s="36"/>
      <c r="E261" s="36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</row>
    <row r="262" spans="1:23" ht="21.75" customHeight="1" x14ac:dyDescent="0.6">
      <c r="A262" s="34"/>
      <c r="B262" s="485"/>
      <c r="C262" s="34"/>
      <c r="D262" s="36"/>
      <c r="E262" s="36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</row>
    <row r="263" spans="1:23" ht="21.75" customHeight="1" x14ac:dyDescent="0.6">
      <c r="A263" s="34"/>
      <c r="B263" s="485"/>
      <c r="C263" s="34"/>
      <c r="D263" s="36"/>
      <c r="E263" s="36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</row>
    <row r="264" spans="1:23" ht="21.75" customHeight="1" x14ac:dyDescent="0.6">
      <c r="A264" s="34"/>
      <c r="B264" s="485"/>
      <c r="C264" s="34"/>
      <c r="D264" s="36"/>
      <c r="E264" s="36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</row>
    <row r="265" spans="1:23" ht="21.75" customHeight="1" x14ac:dyDescent="0.6">
      <c r="A265" s="34"/>
      <c r="B265" s="485"/>
      <c r="C265" s="34"/>
      <c r="D265" s="36"/>
      <c r="E265" s="36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</row>
    <row r="266" spans="1:23" ht="21.75" customHeight="1" x14ac:dyDescent="0.6">
      <c r="A266" s="34"/>
      <c r="B266" s="485"/>
      <c r="C266" s="34"/>
      <c r="D266" s="36"/>
      <c r="E266" s="36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</row>
    <row r="267" spans="1:23" ht="21.75" customHeight="1" x14ac:dyDescent="0.6">
      <c r="A267" s="34"/>
      <c r="B267" s="485"/>
      <c r="C267" s="34"/>
      <c r="D267" s="36"/>
      <c r="E267" s="36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</row>
    <row r="268" spans="1:23" ht="21.75" customHeight="1" x14ac:dyDescent="0.6">
      <c r="A268" s="34"/>
      <c r="B268" s="485"/>
      <c r="C268" s="34"/>
      <c r="D268" s="36"/>
      <c r="E268" s="36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</row>
    <row r="269" spans="1:23" ht="21.75" customHeight="1" x14ac:dyDescent="0.6">
      <c r="A269" s="34"/>
      <c r="B269" s="485"/>
      <c r="C269" s="34"/>
      <c r="D269" s="36"/>
      <c r="E269" s="36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</row>
    <row r="270" spans="1:23" ht="21.75" customHeight="1" x14ac:dyDescent="0.6">
      <c r="A270" s="34"/>
      <c r="B270" s="485"/>
      <c r="C270" s="34"/>
      <c r="D270" s="36"/>
      <c r="E270" s="36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</row>
    <row r="271" spans="1:23" ht="21.75" customHeight="1" x14ac:dyDescent="0.6">
      <c r="A271" s="34"/>
      <c r="B271" s="485"/>
      <c r="C271" s="34"/>
      <c r="D271" s="36"/>
      <c r="E271" s="36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</row>
    <row r="272" spans="1:23" ht="21.75" customHeight="1" x14ac:dyDescent="0.6">
      <c r="A272" s="34"/>
      <c r="B272" s="485"/>
      <c r="C272" s="34"/>
      <c r="D272" s="36"/>
      <c r="E272" s="36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</row>
    <row r="273" spans="1:23" ht="21.75" customHeight="1" x14ac:dyDescent="0.6">
      <c r="A273" s="34"/>
      <c r="B273" s="485"/>
      <c r="C273" s="34"/>
      <c r="D273" s="36"/>
      <c r="E273" s="36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</row>
    <row r="274" spans="1:23" ht="21.75" customHeight="1" x14ac:dyDescent="0.6">
      <c r="A274" s="34"/>
      <c r="B274" s="485"/>
      <c r="C274" s="34"/>
      <c r="D274" s="36"/>
      <c r="E274" s="36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</row>
    <row r="275" spans="1:23" ht="21.75" customHeight="1" x14ac:dyDescent="0.6">
      <c r="A275" s="34"/>
      <c r="B275" s="485"/>
      <c r="C275" s="34"/>
      <c r="D275" s="36"/>
      <c r="E275" s="36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</row>
    <row r="276" spans="1:23" ht="21.75" customHeight="1" x14ac:dyDescent="0.6">
      <c r="A276" s="34"/>
      <c r="B276" s="485"/>
      <c r="C276" s="34"/>
      <c r="D276" s="36"/>
      <c r="E276" s="36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</row>
    <row r="277" spans="1:23" ht="21.75" customHeight="1" x14ac:dyDescent="0.6">
      <c r="A277" s="34"/>
      <c r="B277" s="485"/>
      <c r="C277" s="34"/>
      <c r="D277" s="36"/>
      <c r="E277" s="36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</row>
    <row r="278" spans="1:23" ht="21.75" customHeight="1" x14ac:dyDescent="0.6">
      <c r="A278" s="34"/>
      <c r="B278" s="485"/>
      <c r="C278" s="34"/>
      <c r="D278" s="36"/>
      <c r="E278" s="36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</row>
    <row r="279" spans="1:23" ht="21.75" customHeight="1" x14ac:dyDescent="0.6">
      <c r="A279" s="34"/>
      <c r="B279" s="485"/>
      <c r="C279" s="34"/>
      <c r="D279" s="36"/>
      <c r="E279" s="36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</row>
    <row r="280" spans="1:23" ht="21.75" customHeight="1" x14ac:dyDescent="0.6">
      <c r="A280" s="34"/>
      <c r="B280" s="485"/>
      <c r="C280" s="34"/>
      <c r="D280" s="36"/>
      <c r="E280" s="36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</row>
    <row r="281" spans="1:23" ht="21.75" customHeight="1" x14ac:dyDescent="0.6">
      <c r="A281" s="34"/>
      <c r="B281" s="485"/>
      <c r="C281" s="34"/>
      <c r="D281" s="36"/>
      <c r="E281" s="36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</row>
    <row r="282" spans="1:23" ht="21.75" customHeight="1" x14ac:dyDescent="0.6">
      <c r="A282" s="34"/>
      <c r="B282" s="485"/>
      <c r="C282" s="34"/>
      <c r="D282" s="36"/>
      <c r="E282" s="36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</row>
    <row r="283" spans="1:23" ht="21.75" customHeight="1" x14ac:dyDescent="0.6">
      <c r="A283" s="34"/>
      <c r="B283" s="485"/>
      <c r="C283" s="34"/>
      <c r="D283" s="36"/>
      <c r="E283" s="36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</row>
    <row r="284" spans="1:23" ht="21.75" customHeight="1" x14ac:dyDescent="0.6">
      <c r="A284" s="34"/>
      <c r="B284" s="485"/>
      <c r="C284" s="34"/>
      <c r="D284" s="36"/>
      <c r="E284" s="36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</row>
    <row r="285" spans="1:23" ht="21.75" customHeight="1" x14ac:dyDescent="0.6">
      <c r="A285" s="34"/>
      <c r="B285" s="485"/>
      <c r="C285" s="34"/>
      <c r="D285" s="36"/>
      <c r="E285" s="36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</row>
    <row r="286" spans="1:23" ht="21.75" customHeight="1" x14ac:dyDescent="0.6">
      <c r="A286" s="34"/>
      <c r="B286" s="485"/>
      <c r="C286" s="34"/>
      <c r="D286" s="36"/>
      <c r="E286" s="36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</row>
    <row r="287" spans="1:23" ht="21.75" customHeight="1" x14ac:dyDescent="0.6">
      <c r="A287" s="34"/>
      <c r="B287" s="485"/>
      <c r="C287" s="34"/>
      <c r="D287" s="36"/>
      <c r="E287" s="36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</row>
    <row r="288" spans="1:23" ht="21.75" customHeight="1" x14ac:dyDescent="0.6">
      <c r="A288" s="34"/>
      <c r="B288" s="485"/>
      <c r="C288" s="34"/>
      <c r="D288" s="36"/>
      <c r="E288" s="36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</row>
    <row r="289" spans="1:23" ht="21.75" customHeight="1" x14ac:dyDescent="0.6">
      <c r="A289" s="34"/>
      <c r="B289" s="485"/>
      <c r="C289" s="34"/>
      <c r="D289" s="36"/>
      <c r="E289" s="36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</row>
    <row r="290" spans="1:23" ht="21.75" customHeight="1" x14ac:dyDescent="0.6">
      <c r="A290" s="34"/>
      <c r="B290" s="485"/>
      <c r="C290" s="34"/>
      <c r="D290" s="36"/>
      <c r="E290" s="36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</row>
    <row r="291" spans="1:23" ht="21.75" customHeight="1" x14ac:dyDescent="0.6">
      <c r="A291" s="34"/>
      <c r="B291" s="485"/>
      <c r="C291" s="34"/>
      <c r="D291" s="36"/>
      <c r="E291" s="36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</row>
    <row r="292" spans="1:23" ht="21.75" customHeight="1" x14ac:dyDescent="0.6">
      <c r="A292" s="34"/>
      <c r="B292" s="485"/>
      <c r="C292" s="34"/>
      <c r="D292" s="36"/>
      <c r="E292" s="36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</row>
    <row r="293" spans="1:23" ht="21.75" customHeight="1" x14ac:dyDescent="0.6">
      <c r="A293" s="34"/>
      <c r="B293" s="485"/>
      <c r="C293" s="34"/>
      <c r="D293" s="36"/>
      <c r="E293" s="36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</row>
    <row r="294" spans="1:23" ht="21.75" customHeight="1" x14ac:dyDescent="0.6">
      <c r="A294" s="34"/>
      <c r="B294" s="485"/>
      <c r="C294" s="34"/>
      <c r="D294" s="36"/>
      <c r="E294" s="36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</row>
    <row r="295" spans="1:23" ht="21.75" customHeight="1" x14ac:dyDescent="0.6">
      <c r="A295" s="34"/>
      <c r="B295" s="485"/>
      <c r="C295" s="34"/>
      <c r="D295" s="36"/>
      <c r="E295" s="36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</row>
    <row r="296" spans="1:23" ht="21.75" customHeight="1" x14ac:dyDescent="0.6">
      <c r="A296" s="34"/>
      <c r="B296" s="485"/>
      <c r="C296" s="34"/>
      <c r="D296" s="36"/>
      <c r="E296" s="36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</row>
    <row r="297" spans="1:23" ht="21.75" customHeight="1" x14ac:dyDescent="0.6">
      <c r="A297" s="34"/>
      <c r="B297" s="485"/>
      <c r="C297" s="34"/>
      <c r="D297" s="36"/>
      <c r="E297" s="36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</row>
    <row r="298" spans="1:23" ht="21.75" customHeight="1" x14ac:dyDescent="0.6">
      <c r="A298" s="34"/>
      <c r="B298" s="485"/>
      <c r="C298" s="34"/>
      <c r="D298" s="36"/>
      <c r="E298" s="36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</row>
    <row r="299" spans="1:23" ht="21.75" customHeight="1" x14ac:dyDescent="0.6">
      <c r="A299" s="34"/>
      <c r="B299" s="485"/>
      <c r="C299" s="34"/>
      <c r="D299" s="36"/>
      <c r="E299" s="36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</row>
    <row r="300" spans="1:23" ht="21.75" customHeight="1" x14ac:dyDescent="0.6">
      <c r="A300" s="34"/>
      <c r="B300" s="485"/>
      <c r="C300" s="34"/>
      <c r="D300" s="36"/>
      <c r="E300" s="36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</row>
    <row r="301" spans="1:23" ht="21.75" customHeight="1" x14ac:dyDescent="0.6">
      <c r="A301" s="34"/>
      <c r="B301" s="485"/>
      <c r="C301" s="34"/>
      <c r="D301" s="36"/>
      <c r="E301" s="36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</row>
    <row r="302" spans="1:23" ht="21.75" customHeight="1" x14ac:dyDescent="0.6">
      <c r="A302" s="34"/>
      <c r="B302" s="485"/>
      <c r="C302" s="34"/>
      <c r="D302" s="36"/>
      <c r="E302" s="36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</row>
    <row r="303" spans="1:23" ht="21.75" customHeight="1" x14ac:dyDescent="0.6">
      <c r="A303" s="34"/>
      <c r="B303" s="485"/>
      <c r="C303" s="34"/>
      <c r="D303" s="36"/>
      <c r="E303" s="36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</row>
    <row r="304" spans="1:23" ht="21.75" customHeight="1" x14ac:dyDescent="0.6">
      <c r="A304" s="34"/>
      <c r="B304" s="485"/>
      <c r="C304" s="34"/>
      <c r="D304" s="36"/>
      <c r="E304" s="36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</row>
    <row r="305" spans="1:23" ht="21.75" customHeight="1" x14ac:dyDescent="0.6">
      <c r="A305" s="34"/>
      <c r="B305" s="485"/>
      <c r="C305" s="34"/>
      <c r="D305" s="36"/>
      <c r="E305" s="36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</row>
    <row r="306" spans="1:23" ht="21.75" customHeight="1" x14ac:dyDescent="0.6">
      <c r="A306" s="34"/>
      <c r="B306" s="485"/>
      <c r="C306" s="34"/>
      <c r="D306" s="36"/>
      <c r="E306" s="36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</row>
    <row r="307" spans="1:23" ht="21.75" customHeight="1" x14ac:dyDescent="0.6">
      <c r="A307" s="34"/>
      <c r="B307" s="485"/>
      <c r="C307" s="34"/>
      <c r="D307" s="36"/>
      <c r="E307" s="36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</row>
    <row r="308" spans="1:23" ht="21.75" customHeight="1" x14ac:dyDescent="0.6">
      <c r="A308" s="34"/>
      <c r="B308" s="485"/>
      <c r="C308" s="34"/>
      <c r="D308" s="36"/>
      <c r="E308" s="36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</row>
    <row r="309" spans="1:23" ht="21.75" customHeight="1" x14ac:dyDescent="0.6">
      <c r="A309" s="34"/>
      <c r="B309" s="485"/>
      <c r="C309" s="34"/>
      <c r="D309" s="36"/>
      <c r="E309" s="36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</row>
    <row r="310" spans="1:23" ht="21.75" customHeight="1" x14ac:dyDescent="0.6">
      <c r="A310" s="34"/>
      <c r="B310" s="485"/>
      <c r="C310" s="34"/>
      <c r="D310" s="36"/>
      <c r="E310" s="36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</row>
    <row r="311" spans="1:23" ht="21.75" customHeight="1" x14ac:dyDescent="0.6">
      <c r="A311" s="34"/>
      <c r="B311" s="485"/>
      <c r="C311" s="34"/>
      <c r="D311" s="36"/>
      <c r="E311" s="36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</row>
    <row r="312" spans="1:23" ht="21.75" customHeight="1" x14ac:dyDescent="0.6">
      <c r="A312" s="34"/>
      <c r="B312" s="485"/>
      <c r="C312" s="34"/>
      <c r="D312" s="36"/>
      <c r="E312" s="36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</row>
    <row r="313" spans="1:23" ht="21.75" customHeight="1" x14ac:dyDescent="0.6">
      <c r="A313" s="34"/>
      <c r="B313" s="485"/>
      <c r="C313" s="34"/>
      <c r="D313" s="36"/>
      <c r="E313" s="36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</row>
    <row r="314" spans="1:23" ht="21.75" customHeight="1" x14ac:dyDescent="0.6">
      <c r="A314" s="34"/>
      <c r="B314" s="485"/>
      <c r="C314" s="34"/>
      <c r="D314" s="36"/>
      <c r="E314" s="36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</row>
    <row r="315" spans="1:23" ht="21.75" customHeight="1" x14ac:dyDescent="0.6">
      <c r="A315" s="34"/>
      <c r="B315" s="485"/>
      <c r="C315" s="34"/>
      <c r="D315" s="36"/>
      <c r="E315" s="36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</row>
    <row r="316" spans="1:23" ht="21.75" customHeight="1" x14ac:dyDescent="0.6">
      <c r="A316" s="34"/>
      <c r="B316" s="485"/>
      <c r="C316" s="34"/>
      <c r="D316" s="36"/>
      <c r="E316" s="36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</row>
    <row r="317" spans="1:23" ht="21.75" customHeight="1" x14ac:dyDescent="0.6">
      <c r="A317" s="34"/>
      <c r="B317" s="485"/>
      <c r="C317" s="34"/>
      <c r="D317" s="36"/>
      <c r="E317" s="36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</row>
    <row r="318" spans="1:23" ht="21.75" customHeight="1" x14ac:dyDescent="0.6">
      <c r="A318" s="34"/>
      <c r="B318" s="485"/>
      <c r="C318" s="34"/>
      <c r="D318" s="36"/>
      <c r="E318" s="36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</row>
    <row r="319" spans="1:23" ht="21.75" customHeight="1" x14ac:dyDescent="0.6">
      <c r="A319" s="34"/>
      <c r="B319" s="485"/>
      <c r="C319" s="34"/>
      <c r="D319" s="36"/>
      <c r="E319" s="36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</row>
    <row r="320" spans="1:23" ht="21.75" customHeight="1" x14ac:dyDescent="0.6">
      <c r="A320" s="34"/>
      <c r="B320" s="485"/>
      <c r="C320" s="34"/>
      <c r="D320" s="36"/>
      <c r="E320" s="36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</row>
    <row r="321" spans="1:23" ht="21.75" customHeight="1" x14ac:dyDescent="0.6">
      <c r="A321" s="34"/>
      <c r="B321" s="485"/>
      <c r="C321" s="34"/>
      <c r="D321" s="36"/>
      <c r="E321" s="36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</row>
    <row r="322" spans="1:23" ht="21.75" customHeight="1" x14ac:dyDescent="0.6">
      <c r="A322" s="34"/>
      <c r="B322" s="485"/>
      <c r="C322" s="34"/>
      <c r="D322" s="36"/>
      <c r="E322" s="36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</row>
    <row r="323" spans="1:23" ht="21.75" customHeight="1" x14ac:dyDescent="0.6">
      <c r="A323" s="34"/>
      <c r="B323" s="485"/>
      <c r="C323" s="34"/>
      <c r="D323" s="36"/>
      <c r="E323" s="36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</row>
    <row r="324" spans="1:23" ht="21.75" customHeight="1" x14ac:dyDescent="0.6">
      <c r="A324" s="34"/>
      <c r="B324" s="485"/>
      <c r="C324" s="34"/>
      <c r="D324" s="36"/>
      <c r="E324" s="36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</row>
    <row r="325" spans="1:23" ht="21.75" customHeight="1" x14ac:dyDescent="0.6">
      <c r="A325" s="34"/>
      <c r="B325" s="485"/>
      <c r="C325" s="34"/>
      <c r="D325" s="36"/>
      <c r="E325" s="36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</row>
    <row r="326" spans="1:23" ht="21.75" customHeight="1" x14ac:dyDescent="0.6">
      <c r="A326" s="34"/>
      <c r="B326" s="485"/>
      <c r="C326" s="34"/>
      <c r="D326" s="36"/>
      <c r="E326" s="36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</row>
    <row r="327" spans="1:23" ht="21.75" customHeight="1" x14ac:dyDescent="0.6">
      <c r="A327" s="34"/>
      <c r="B327" s="485"/>
      <c r="C327" s="34"/>
      <c r="D327" s="36"/>
      <c r="E327" s="36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</row>
    <row r="328" spans="1:23" ht="21.75" customHeight="1" x14ac:dyDescent="0.6">
      <c r="A328" s="34"/>
      <c r="B328" s="485"/>
      <c r="C328" s="34"/>
      <c r="D328" s="36"/>
      <c r="E328" s="36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</row>
    <row r="329" spans="1:23" ht="21.75" customHeight="1" x14ac:dyDescent="0.6">
      <c r="A329" s="34"/>
      <c r="B329" s="485"/>
      <c r="C329" s="34"/>
      <c r="D329" s="36"/>
      <c r="E329" s="36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</row>
    <row r="330" spans="1:23" ht="21.75" customHeight="1" x14ac:dyDescent="0.6">
      <c r="A330" s="34"/>
      <c r="B330" s="485"/>
      <c r="C330" s="34"/>
      <c r="D330" s="36"/>
      <c r="E330" s="36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</row>
    <row r="331" spans="1:23" ht="21.75" customHeight="1" x14ac:dyDescent="0.6">
      <c r="A331" s="34"/>
      <c r="B331" s="485"/>
      <c r="C331" s="34"/>
      <c r="D331" s="36"/>
      <c r="E331" s="36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</row>
    <row r="332" spans="1:23" ht="21.75" customHeight="1" x14ac:dyDescent="0.6">
      <c r="A332" s="34"/>
      <c r="B332" s="485"/>
      <c r="C332" s="34"/>
      <c r="D332" s="36"/>
      <c r="E332" s="36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</row>
    <row r="333" spans="1:23" ht="21.75" customHeight="1" x14ac:dyDescent="0.6">
      <c r="A333" s="34"/>
      <c r="B333" s="485"/>
      <c r="C333" s="34"/>
      <c r="D333" s="36"/>
      <c r="E333" s="36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</row>
    <row r="334" spans="1:23" ht="21.75" customHeight="1" x14ac:dyDescent="0.6">
      <c r="A334" s="34"/>
      <c r="B334" s="485"/>
      <c r="C334" s="34"/>
      <c r="D334" s="36"/>
      <c r="E334" s="36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</row>
    <row r="335" spans="1:23" ht="21.75" customHeight="1" x14ac:dyDescent="0.6">
      <c r="A335" s="34"/>
      <c r="B335" s="485"/>
      <c r="C335" s="34"/>
      <c r="D335" s="36"/>
      <c r="E335" s="36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</row>
    <row r="336" spans="1:23" ht="21.75" customHeight="1" x14ac:dyDescent="0.6">
      <c r="A336" s="34"/>
      <c r="B336" s="485"/>
      <c r="C336" s="34"/>
      <c r="D336" s="36"/>
      <c r="E336" s="36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</row>
    <row r="337" spans="1:23" ht="21.75" customHeight="1" x14ac:dyDescent="0.6">
      <c r="A337" s="34"/>
      <c r="B337" s="485"/>
      <c r="C337" s="34"/>
      <c r="D337" s="36"/>
      <c r="E337" s="36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</row>
    <row r="338" spans="1:23" ht="21.75" customHeight="1" x14ac:dyDescent="0.6">
      <c r="A338" s="34"/>
      <c r="B338" s="485"/>
      <c r="C338" s="34"/>
      <c r="D338" s="36"/>
      <c r="E338" s="36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</row>
    <row r="339" spans="1:23" ht="21.75" customHeight="1" x14ac:dyDescent="0.6">
      <c r="A339" s="34"/>
      <c r="B339" s="485"/>
      <c r="C339" s="34"/>
      <c r="D339" s="36"/>
      <c r="E339" s="36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</row>
    <row r="340" spans="1:23" ht="21.75" customHeight="1" x14ac:dyDescent="0.6">
      <c r="A340" s="34"/>
      <c r="B340" s="485"/>
      <c r="C340" s="34"/>
      <c r="D340" s="36"/>
      <c r="E340" s="36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</row>
    <row r="341" spans="1:23" ht="21.75" customHeight="1" x14ac:dyDescent="0.6">
      <c r="A341" s="34"/>
      <c r="B341" s="485"/>
      <c r="C341" s="34"/>
      <c r="D341" s="36"/>
      <c r="E341" s="36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</row>
    <row r="342" spans="1:23" ht="21.75" customHeight="1" x14ac:dyDescent="0.6">
      <c r="A342" s="34"/>
      <c r="B342" s="485"/>
      <c r="C342" s="34"/>
      <c r="D342" s="36"/>
      <c r="E342" s="36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</row>
    <row r="343" spans="1:23" ht="21.75" customHeight="1" x14ac:dyDescent="0.6">
      <c r="A343" s="34"/>
      <c r="B343" s="485"/>
      <c r="C343" s="34"/>
      <c r="D343" s="36"/>
      <c r="E343" s="36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</row>
    <row r="344" spans="1:23" ht="21.75" customHeight="1" x14ac:dyDescent="0.6">
      <c r="A344" s="34"/>
      <c r="B344" s="485"/>
      <c r="C344" s="34"/>
      <c r="D344" s="36"/>
      <c r="E344" s="36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</row>
    <row r="345" spans="1:23" ht="21.75" customHeight="1" x14ac:dyDescent="0.6">
      <c r="A345" s="34"/>
      <c r="B345" s="485"/>
      <c r="C345" s="34"/>
      <c r="D345" s="36"/>
      <c r="E345" s="36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</row>
    <row r="346" spans="1:23" ht="21.75" customHeight="1" x14ac:dyDescent="0.6">
      <c r="A346" s="34"/>
      <c r="B346" s="485"/>
      <c r="C346" s="34"/>
      <c r="D346" s="36"/>
      <c r="E346" s="36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</row>
    <row r="347" spans="1:23" ht="21.75" customHeight="1" x14ac:dyDescent="0.6">
      <c r="A347" s="34"/>
      <c r="B347" s="485"/>
      <c r="C347" s="34"/>
      <c r="D347" s="36"/>
      <c r="E347" s="36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</row>
    <row r="348" spans="1:23" ht="21.75" customHeight="1" x14ac:dyDescent="0.6">
      <c r="A348" s="34"/>
      <c r="B348" s="485"/>
      <c r="C348" s="34"/>
      <c r="D348" s="36"/>
      <c r="E348" s="36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</row>
    <row r="349" spans="1:23" ht="21.75" customHeight="1" x14ac:dyDescent="0.6">
      <c r="A349" s="34"/>
      <c r="B349" s="485"/>
      <c r="C349" s="34"/>
      <c r="D349" s="36"/>
      <c r="E349" s="36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</row>
    <row r="350" spans="1:23" ht="21.75" customHeight="1" x14ac:dyDescent="0.6">
      <c r="A350" s="34"/>
      <c r="B350" s="485"/>
      <c r="C350" s="34"/>
      <c r="D350" s="36"/>
      <c r="E350" s="36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</row>
    <row r="351" spans="1:23" ht="21.75" customHeight="1" x14ac:dyDescent="0.6">
      <c r="A351" s="34"/>
      <c r="B351" s="485"/>
      <c r="C351" s="34"/>
      <c r="D351" s="36"/>
      <c r="E351" s="36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</row>
    <row r="352" spans="1:23" ht="21.75" customHeight="1" x14ac:dyDescent="0.6">
      <c r="A352" s="34"/>
      <c r="B352" s="485"/>
      <c r="C352" s="34"/>
      <c r="D352" s="36"/>
      <c r="E352" s="36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</row>
    <row r="353" spans="1:23" ht="21.75" customHeight="1" x14ac:dyDescent="0.6">
      <c r="A353" s="34"/>
      <c r="B353" s="485"/>
      <c r="C353" s="34"/>
      <c r="D353" s="36"/>
      <c r="E353" s="36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</row>
    <row r="354" spans="1:23" ht="21.75" customHeight="1" x14ac:dyDescent="0.6">
      <c r="A354" s="34"/>
      <c r="B354" s="485"/>
      <c r="C354" s="34"/>
      <c r="D354" s="36"/>
      <c r="E354" s="36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</row>
    <row r="355" spans="1:23" ht="21.75" customHeight="1" x14ac:dyDescent="0.6">
      <c r="A355" s="34"/>
      <c r="B355" s="485"/>
      <c r="C355" s="34"/>
      <c r="D355" s="36"/>
      <c r="E355" s="36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</row>
    <row r="356" spans="1:23" ht="21.75" customHeight="1" x14ac:dyDescent="0.6">
      <c r="A356" s="34"/>
      <c r="B356" s="485"/>
      <c r="C356" s="34"/>
      <c r="D356" s="36"/>
      <c r="E356" s="36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</row>
    <row r="357" spans="1:23" ht="21.75" customHeight="1" x14ac:dyDescent="0.6">
      <c r="A357" s="34"/>
      <c r="B357" s="485"/>
      <c r="C357" s="34"/>
      <c r="D357" s="36"/>
      <c r="E357" s="36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</row>
    <row r="358" spans="1:23" ht="21.75" customHeight="1" x14ac:dyDescent="0.6">
      <c r="A358" s="34"/>
      <c r="B358" s="485"/>
      <c r="C358" s="34"/>
      <c r="D358" s="36"/>
      <c r="E358" s="36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</row>
    <row r="359" spans="1:23" ht="21.75" customHeight="1" x14ac:dyDescent="0.6">
      <c r="A359" s="34"/>
      <c r="B359" s="485"/>
      <c r="C359" s="34"/>
      <c r="D359" s="36"/>
      <c r="E359" s="36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</row>
    <row r="360" spans="1:23" ht="21.75" customHeight="1" x14ac:dyDescent="0.6">
      <c r="A360" s="34"/>
      <c r="B360" s="485"/>
      <c r="C360" s="34"/>
      <c r="D360" s="36"/>
      <c r="E360" s="36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</row>
    <row r="361" spans="1:23" ht="21.75" customHeight="1" x14ac:dyDescent="0.6">
      <c r="A361" s="34"/>
      <c r="B361" s="485"/>
      <c r="C361" s="34"/>
      <c r="D361" s="36"/>
      <c r="E361" s="36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</row>
    <row r="362" spans="1:23" ht="21.75" customHeight="1" x14ac:dyDescent="0.6">
      <c r="A362" s="34"/>
      <c r="B362" s="485"/>
      <c r="C362" s="34"/>
      <c r="D362" s="36"/>
      <c r="E362" s="36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</row>
    <row r="363" spans="1:23" ht="21.75" customHeight="1" x14ac:dyDescent="0.6">
      <c r="A363" s="34"/>
      <c r="B363" s="485"/>
      <c r="C363" s="34"/>
      <c r="D363" s="36"/>
      <c r="E363" s="36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</row>
    <row r="364" spans="1:23" ht="21.75" customHeight="1" x14ac:dyDescent="0.6">
      <c r="A364" s="34"/>
      <c r="B364" s="485"/>
      <c r="C364" s="34"/>
      <c r="D364" s="36"/>
      <c r="E364" s="36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</row>
    <row r="365" spans="1:23" ht="21.75" customHeight="1" x14ac:dyDescent="0.6">
      <c r="A365" s="34"/>
      <c r="B365" s="485"/>
      <c r="C365" s="34"/>
      <c r="D365" s="36"/>
      <c r="E365" s="36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</row>
    <row r="366" spans="1:23" ht="21.75" customHeight="1" x14ac:dyDescent="0.6">
      <c r="A366" s="34"/>
      <c r="B366" s="485"/>
      <c r="C366" s="34"/>
      <c r="D366" s="36"/>
      <c r="E366" s="36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</row>
    <row r="367" spans="1:23" ht="21.75" customHeight="1" x14ac:dyDescent="0.6">
      <c r="A367" s="34"/>
      <c r="B367" s="485"/>
      <c r="C367" s="34"/>
      <c r="D367" s="36"/>
      <c r="E367" s="36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</row>
    <row r="368" spans="1:23" ht="21.75" customHeight="1" x14ac:dyDescent="0.6">
      <c r="A368" s="34"/>
      <c r="B368" s="485"/>
      <c r="C368" s="34"/>
      <c r="D368" s="36"/>
      <c r="E368" s="36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</row>
    <row r="369" spans="1:23" ht="21.75" customHeight="1" x14ac:dyDescent="0.6">
      <c r="A369" s="34"/>
      <c r="B369" s="485"/>
      <c r="C369" s="34"/>
      <c r="D369" s="36"/>
      <c r="E369" s="36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</row>
    <row r="370" spans="1:23" ht="21.75" customHeight="1" x14ac:dyDescent="0.6">
      <c r="A370" s="34"/>
      <c r="B370" s="485"/>
      <c r="C370" s="34"/>
      <c r="D370" s="36"/>
      <c r="E370" s="36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</row>
    <row r="371" spans="1:23" ht="21.75" customHeight="1" x14ac:dyDescent="0.6">
      <c r="A371" s="34"/>
      <c r="B371" s="485"/>
      <c r="C371" s="34"/>
      <c r="D371" s="36"/>
      <c r="E371" s="36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</row>
    <row r="372" spans="1:23" ht="21.75" customHeight="1" x14ac:dyDescent="0.6">
      <c r="A372" s="34"/>
      <c r="B372" s="485"/>
      <c r="C372" s="34"/>
      <c r="D372" s="36"/>
      <c r="E372" s="36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</row>
    <row r="373" spans="1:23" ht="21.75" customHeight="1" x14ac:dyDescent="0.6">
      <c r="A373" s="34"/>
      <c r="B373" s="485"/>
      <c r="C373" s="34"/>
      <c r="D373" s="36"/>
      <c r="E373" s="36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</row>
    <row r="374" spans="1:23" ht="21.75" customHeight="1" x14ac:dyDescent="0.6">
      <c r="A374" s="34"/>
      <c r="B374" s="485"/>
      <c r="C374" s="34"/>
      <c r="D374" s="36"/>
      <c r="E374" s="36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</row>
    <row r="375" spans="1:23" ht="21.75" customHeight="1" x14ac:dyDescent="0.6">
      <c r="A375" s="34"/>
      <c r="B375" s="485"/>
      <c r="C375" s="34"/>
      <c r="D375" s="36"/>
      <c r="E375" s="36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</row>
    <row r="376" spans="1:23" ht="21.75" customHeight="1" x14ac:dyDescent="0.6">
      <c r="A376" s="34"/>
      <c r="B376" s="485"/>
      <c r="C376" s="34"/>
      <c r="D376" s="36"/>
      <c r="E376" s="36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</row>
    <row r="377" spans="1:23" ht="21.75" customHeight="1" x14ac:dyDescent="0.6">
      <c r="A377" s="34"/>
      <c r="B377" s="485"/>
      <c r="C377" s="34"/>
      <c r="D377" s="36"/>
      <c r="E377" s="36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</row>
    <row r="378" spans="1:23" ht="21.75" customHeight="1" x14ac:dyDescent="0.6">
      <c r="A378" s="34"/>
      <c r="B378" s="485"/>
      <c r="C378" s="34"/>
      <c r="D378" s="36"/>
      <c r="E378" s="36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</row>
    <row r="379" spans="1:23" ht="21.75" customHeight="1" x14ac:dyDescent="0.6">
      <c r="A379" s="34"/>
      <c r="B379" s="485"/>
      <c r="C379" s="34"/>
      <c r="D379" s="36"/>
      <c r="E379" s="36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</row>
    <row r="380" spans="1:23" ht="21.75" customHeight="1" x14ac:dyDescent="0.6">
      <c r="A380" s="34"/>
      <c r="B380" s="485"/>
      <c r="C380" s="34"/>
      <c r="D380" s="36"/>
      <c r="E380" s="36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</row>
    <row r="381" spans="1:23" ht="21.75" customHeight="1" x14ac:dyDescent="0.6">
      <c r="A381" s="34"/>
      <c r="B381" s="485"/>
      <c r="C381" s="34"/>
      <c r="D381" s="36"/>
      <c r="E381" s="36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</row>
    <row r="382" spans="1:23" ht="21.75" customHeight="1" x14ac:dyDescent="0.6">
      <c r="A382" s="34"/>
      <c r="B382" s="485"/>
      <c r="C382" s="34"/>
      <c r="D382" s="36"/>
      <c r="E382" s="36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</row>
    <row r="383" spans="1:23" ht="21.75" customHeight="1" x14ac:dyDescent="0.6">
      <c r="A383" s="34"/>
      <c r="B383" s="485"/>
      <c r="C383" s="34"/>
      <c r="D383" s="36"/>
      <c r="E383" s="36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</row>
    <row r="384" spans="1:23" ht="21.75" customHeight="1" x14ac:dyDescent="0.6">
      <c r="A384" s="34"/>
      <c r="B384" s="485"/>
      <c r="C384" s="34"/>
      <c r="D384" s="36"/>
      <c r="E384" s="36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</row>
    <row r="385" spans="1:23" ht="21.75" customHeight="1" x14ac:dyDescent="0.6">
      <c r="A385" s="34"/>
      <c r="B385" s="485"/>
      <c r="C385" s="34"/>
      <c r="D385" s="36"/>
      <c r="E385" s="36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</row>
    <row r="386" spans="1:23" ht="21.75" customHeight="1" x14ac:dyDescent="0.6">
      <c r="A386" s="34"/>
      <c r="B386" s="485"/>
      <c r="C386" s="34"/>
      <c r="D386" s="36"/>
      <c r="E386" s="36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</row>
    <row r="387" spans="1:23" ht="21.75" customHeight="1" x14ac:dyDescent="0.6">
      <c r="A387" s="34"/>
      <c r="B387" s="485"/>
      <c r="C387" s="34"/>
      <c r="D387" s="36"/>
      <c r="E387" s="36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</row>
    <row r="388" spans="1:23" ht="21.75" customHeight="1" x14ac:dyDescent="0.6">
      <c r="A388" s="34"/>
      <c r="B388" s="485"/>
      <c r="C388" s="34"/>
      <c r="D388" s="36"/>
      <c r="E388" s="36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</row>
    <row r="389" spans="1:23" ht="21.75" customHeight="1" x14ac:dyDescent="0.6">
      <c r="A389" s="34"/>
      <c r="B389" s="485"/>
      <c r="C389" s="34"/>
      <c r="D389" s="36"/>
      <c r="E389" s="36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</row>
    <row r="390" spans="1:23" ht="21.75" customHeight="1" x14ac:dyDescent="0.6">
      <c r="A390" s="34"/>
      <c r="B390" s="485"/>
      <c r="C390" s="34"/>
      <c r="D390" s="36"/>
      <c r="E390" s="36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</row>
    <row r="391" spans="1:23" ht="21.75" customHeight="1" x14ac:dyDescent="0.6">
      <c r="A391" s="34"/>
      <c r="B391" s="485"/>
      <c r="C391" s="34"/>
      <c r="D391" s="36"/>
      <c r="E391" s="36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</row>
    <row r="392" spans="1:23" ht="21.75" customHeight="1" x14ac:dyDescent="0.6">
      <c r="A392" s="34"/>
      <c r="B392" s="485"/>
      <c r="C392" s="34"/>
      <c r="D392" s="36"/>
      <c r="E392" s="36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</row>
    <row r="393" spans="1:23" ht="21.75" customHeight="1" x14ac:dyDescent="0.6">
      <c r="A393" s="34"/>
      <c r="B393" s="485"/>
      <c r="C393" s="34"/>
      <c r="D393" s="36"/>
      <c r="E393" s="36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</row>
    <row r="394" spans="1:23" ht="21.75" customHeight="1" x14ac:dyDescent="0.6">
      <c r="A394" s="34"/>
      <c r="B394" s="485"/>
      <c r="C394" s="34"/>
      <c r="D394" s="36"/>
      <c r="E394" s="36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</row>
    <row r="395" spans="1:23" ht="21.75" customHeight="1" x14ac:dyDescent="0.6">
      <c r="A395" s="34"/>
      <c r="B395" s="485"/>
      <c r="C395" s="34"/>
      <c r="D395" s="36"/>
      <c r="E395" s="36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</row>
    <row r="396" spans="1:23" ht="21.75" customHeight="1" x14ac:dyDescent="0.6">
      <c r="A396" s="34"/>
      <c r="B396" s="485"/>
      <c r="C396" s="34"/>
      <c r="D396" s="36"/>
      <c r="E396" s="36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</row>
    <row r="397" spans="1:23" ht="21.75" customHeight="1" x14ac:dyDescent="0.6">
      <c r="A397" s="34"/>
      <c r="B397" s="485"/>
      <c r="C397" s="34"/>
      <c r="D397" s="36"/>
      <c r="E397" s="36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</row>
    <row r="398" spans="1:23" ht="21.75" customHeight="1" x14ac:dyDescent="0.6">
      <c r="A398" s="34"/>
      <c r="B398" s="485"/>
      <c r="C398" s="34"/>
      <c r="D398" s="36"/>
      <c r="E398" s="36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</row>
    <row r="399" spans="1:23" ht="21.75" customHeight="1" x14ac:dyDescent="0.6">
      <c r="A399" s="34"/>
      <c r="B399" s="485"/>
      <c r="C399" s="34"/>
      <c r="D399" s="36"/>
      <c r="E399" s="36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</row>
    <row r="400" spans="1:23" ht="21.75" customHeight="1" x14ac:dyDescent="0.6">
      <c r="A400" s="34"/>
      <c r="B400" s="485"/>
      <c r="C400" s="34"/>
      <c r="D400" s="36"/>
      <c r="E400" s="36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</row>
    <row r="401" spans="1:23" ht="21.75" customHeight="1" x14ac:dyDescent="0.6">
      <c r="A401" s="34"/>
      <c r="B401" s="485"/>
      <c r="C401" s="34"/>
      <c r="D401" s="36"/>
      <c r="E401" s="36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</row>
    <row r="402" spans="1:23" ht="21.75" customHeight="1" x14ac:dyDescent="0.6">
      <c r="A402" s="34"/>
      <c r="B402" s="485"/>
      <c r="C402" s="34"/>
      <c r="D402" s="36"/>
      <c r="E402" s="36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</row>
    <row r="403" spans="1:23" ht="21.75" customHeight="1" x14ac:dyDescent="0.6">
      <c r="A403" s="34"/>
      <c r="B403" s="485"/>
      <c r="C403" s="34"/>
      <c r="D403" s="36"/>
      <c r="E403" s="36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</row>
    <row r="404" spans="1:23" ht="21.75" customHeight="1" x14ac:dyDescent="0.6">
      <c r="A404" s="34"/>
      <c r="B404" s="485"/>
      <c r="C404" s="34"/>
      <c r="D404" s="36"/>
      <c r="E404" s="36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</row>
    <row r="405" spans="1:23" ht="21.75" customHeight="1" x14ac:dyDescent="0.6">
      <c r="A405" s="34"/>
      <c r="B405" s="485"/>
      <c r="C405" s="34"/>
      <c r="D405" s="36"/>
      <c r="E405" s="36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</row>
    <row r="406" spans="1:23" ht="21.75" customHeight="1" x14ac:dyDescent="0.6">
      <c r="A406" s="34"/>
      <c r="B406" s="485"/>
      <c r="C406" s="34"/>
      <c r="D406" s="36"/>
      <c r="E406" s="36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</row>
    <row r="407" spans="1:23" ht="21.75" customHeight="1" x14ac:dyDescent="0.6">
      <c r="A407" s="34"/>
      <c r="B407" s="485"/>
      <c r="C407" s="34"/>
      <c r="D407" s="36"/>
      <c r="E407" s="36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</row>
    <row r="408" spans="1:23" ht="21.75" customHeight="1" x14ac:dyDescent="0.6">
      <c r="A408" s="34"/>
      <c r="B408" s="485"/>
      <c r="C408" s="34"/>
      <c r="D408" s="36"/>
      <c r="E408" s="36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</row>
    <row r="409" spans="1:23" ht="21.75" customHeight="1" x14ac:dyDescent="0.6">
      <c r="A409" s="34"/>
      <c r="B409" s="485"/>
      <c r="C409" s="34"/>
      <c r="D409" s="36"/>
      <c r="E409" s="36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</row>
    <row r="410" spans="1:23" ht="21.75" customHeight="1" x14ac:dyDescent="0.6">
      <c r="A410" s="34"/>
      <c r="B410" s="485"/>
      <c r="C410" s="34"/>
      <c r="D410" s="36"/>
      <c r="E410" s="36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</row>
    <row r="411" spans="1:23" ht="21.75" customHeight="1" x14ac:dyDescent="0.6">
      <c r="A411" s="34"/>
      <c r="B411" s="485"/>
      <c r="C411" s="34"/>
      <c r="D411" s="36"/>
      <c r="E411" s="36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</row>
    <row r="412" spans="1:23" ht="21.75" customHeight="1" x14ac:dyDescent="0.6">
      <c r="A412" s="34"/>
      <c r="B412" s="485"/>
      <c r="C412" s="34"/>
      <c r="D412" s="36"/>
      <c r="E412" s="36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</row>
    <row r="413" spans="1:23" ht="21.75" customHeight="1" x14ac:dyDescent="0.6">
      <c r="A413" s="34"/>
      <c r="B413" s="485"/>
      <c r="C413" s="34"/>
      <c r="D413" s="36"/>
      <c r="E413" s="36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</row>
    <row r="414" spans="1:23" ht="21.75" customHeight="1" x14ac:dyDescent="0.6">
      <c r="A414" s="34"/>
      <c r="B414" s="485"/>
      <c r="C414" s="34"/>
      <c r="D414" s="36"/>
      <c r="E414" s="36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</row>
    <row r="415" spans="1:23" ht="21.75" customHeight="1" x14ac:dyDescent="0.6">
      <c r="A415" s="34"/>
      <c r="B415" s="485"/>
      <c r="C415" s="34"/>
      <c r="D415" s="36"/>
      <c r="E415" s="36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</row>
    <row r="416" spans="1:23" ht="21.75" customHeight="1" x14ac:dyDescent="0.6">
      <c r="A416" s="34"/>
      <c r="B416" s="485"/>
      <c r="C416" s="34"/>
      <c r="D416" s="36"/>
      <c r="E416" s="36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</row>
    <row r="417" spans="1:23" ht="21.75" customHeight="1" x14ac:dyDescent="0.6">
      <c r="A417" s="34"/>
      <c r="B417" s="485"/>
      <c r="C417" s="34"/>
      <c r="D417" s="36"/>
      <c r="E417" s="36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</row>
    <row r="418" spans="1:23" ht="21.75" customHeight="1" x14ac:dyDescent="0.6">
      <c r="A418" s="34"/>
      <c r="B418" s="485"/>
      <c r="C418" s="34"/>
      <c r="D418" s="36"/>
      <c r="E418" s="36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</row>
    <row r="419" spans="1:23" ht="21.75" customHeight="1" x14ac:dyDescent="0.6">
      <c r="A419" s="34"/>
      <c r="B419" s="485"/>
      <c r="C419" s="34"/>
      <c r="D419" s="36"/>
      <c r="E419" s="36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</row>
    <row r="420" spans="1:23" ht="21.75" customHeight="1" x14ac:dyDescent="0.6">
      <c r="A420" s="34"/>
      <c r="B420" s="485"/>
      <c r="C420" s="34"/>
      <c r="D420" s="36"/>
      <c r="E420" s="36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</row>
    <row r="421" spans="1:23" ht="21.75" customHeight="1" x14ac:dyDescent="0.6">
      <c r="A421" s="34"/>
      <c r="B421" s="485"/>
      <c r="C421" s="34"/>
      <c r="D421" s="36"/>
      <c r="E421" s="36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</row>
    <row r="422" spans="1:23" ht="21.75" customHeight="1" x14ac:dyDescent="0.6">
      <c r="A422" s="34"/>
      <c r="B422" s="485"/>
      <c r="C422" s="34"/>
      <c r="D422" s="36"/>
      <c r="E422" s="36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</row>
    <row r="423" spans="1:23" ht="21.75" customHeight="1" x14ac:dyDescent="0.6">
      <c r="A423" s="34"/>
      <c r="B423" s="485"/>
      <c r="C423" s="34"/>
      <c r="D423" s="36"/>
      <c r="E423" s="36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</row>
    <row r="424" spans="1:23" ht="21.75" customHeight="1" x14ac:dyDescent="0.6">
      <c r="A424" s="34"/>
      <c r="B424" s="485"/>
      <c r="C424" s="34"/>
      <c r="D424" s="36"/>
      <c r="E424" s="36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</row>
    <row r="425" spans="1:23" ht="21.75" customHeight="1" x14ac:dyDescent="0.6">
      <c r="A425" s="34"/>
      <c r="B425" s="485"/>
      <c r="C425" s="34"/>
      <c r="D425" s="36"/>
      <c r="E425" s="36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</row>
    <row r="426" spans="1:23" ht="21.75" customHeight="1" x14ac:dyDescent="0.6">
      <c r="A426" s="34"/>
      <c r="B426" s="485"/>
      <c r="C426" s="34"/>
      <c r="D426" s="36"/>
      <c r="E426" s="36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</row>
    <row r="427" spans="1:23" ht="21.75" customHeight="1" x14ac:dyDescent="0.6">
      <c r="A427" s="34"/>
      <c r="B427" s="485"/>
      <c r="C427" s="34"/>
      <c r="D427" s="36"/>
      <c r="E427" s="36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</row>
    <row r="428" spans="1:23" ht="21.75" customHeight="1" x14ac:dyDescent="0.6">
      <c r="A428" s="34"/>
      <c r="B428" s="485"/>
      <c r="C428" s="34"/>
      <c r="D428" s="36"/>
      <c r="E428" s="36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</row>
    <row r="429" spans="1:23" ht="21.75" customHeight="1" x14ac:dyDescent="0.6">
      <c r="A429" s="34"/>
      <c r="B429" s="485"/>
      <c r="C429" s="34"/>
      <c r="D429" s="36"/>
      <c r="E429" s="36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</row>
    <row r="430" spans="1:23" ht="21.75" customHeight="1" x14ac:dyDescent="0.6">
      <c r="A430" s="34"/>
      <c r="B430" s="485"/>
      <c r="C430" s="34"/>
      <c r="D430" s="36"/>
      <c r="E430" s="36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</row>
    <row r="431" spans="1:23" ht="21.75" customHeight="1" x14ac:dyDescent="0.6">
      <c r="A431" s="34"/>
      <c r="B431" s="485"/>
      <c r="C431" s="34"/>
      <c r="D431" s="36"/>
      <c r="E431" s="36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</row>
    <row r="432" spans="1:23" ht="21.75" customHeight="1" x14ac:dyDescent="0.6">
      <c r="A432" s="34"/>
      <c r="B432" s="485"/>
      <c r="C432" s="34"/>
      <c r="D432" s="36"/>
      <c r="E432" s="36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</row>
    <row r="433" spans="1:23" ht="21.75" customHeight="1" x14ac:dyDescent="0.6">
      <c r="A433" s="34"/>
      <c r="B433" s="485"/>
      <c r="C433" s="34"/>
      <c r="D433" s="36"/>
      <c r="E433" s="36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</row>
    <row r="434" spans="1:23" ht="21.75" customHeight="1" x14ac:dyDescent="0.6">
      <c r="A434" s="34"/>
      <c r="B434" s="485"/>
      <c r="C434" s="34"/>
      <c r="D434" s="36"/>
      <c r="E434" s="36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</row>
    <row r="435" spans="1:23" ht="21.75" customHeight="1" x14ac:dyDescent="0.6">
      <c r="A435" s="34"/>
      <c r="B435" s="485"/>
      <c r="C435" s="34"/>
      <c r="D435" s="36"/>
      <c r="E435" s="36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</row>
    <row r="436" spans="1:23" ht="21.75" customHeight="1" x14ac:dyDescent="0.6">
      <c r="A436" s="34"/>
      <c r="B436" s="485"/>
      <c r="C436" s="34"/>
      <c r="D436" s="36"/>
      <c r="E436" s="36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</row>
    <row r="437" spans="1:23" ht="21.75" customHeight="1" x14ac:dyDescent="0.6">
      <c r="A437" s="34"/>
      <c r="B437" s="485"/>
      <c r="C437" s="34"/>
      <c r="D437" s="36"/>
      <c r="E437" s="36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</row>
    <row r="438" spans="1:23" ht="21.75" customHeight="1" x14ac:dyDescent="0.6">
      <c r="A438" s="34"/>
      <c r="B438" s="485"/>
      <c r="C438" s="34"/>
      <c r="D438" s="36"/>
      <c r="E438" s="36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</row>
    <row r="439" spans="1:23" ht="21.75" customHeight="1" x14ac:dyDescent="0.6">
      <c r="A439" s="34"/>
      <c r="B439" s="485"/>
      <c r="C439" s="34"/>
      <c r="D439" s="36"/>
      <c r="E439" s="36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</row>
    <row r="440" spans="1:23" ht="21.75" customHeight="1" x14ac:dyDescent="0.6">
      <c r="A440" s="34"/>
      <c r="B440" s="485"/>
      <c r="C440" s="34"/>
      <c r="D440" s="36"/>
      <c r="E440" s="36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</row>
    <row r="441" spans="1:23" ht="21.75" customHeight="1" x14ac:dyDescent="0.6">
      <c r="A441" s="34"/>
      <c r="B441" s="485"/>
      <c r="C441" s="34"/>
      <c r="D441" s="36"/>
      <c r="E441" s="36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</row>
    <row r="442" spans="1:23" ht="21.75" customHeight="1" x14ac:dyDescent="0.6">
      <c r="A442" s="34"/>
      <c r="B442" s="485"/>
      <c r="C442" s="34"/>
      <c r="D442" s="36"/>
      <c r="E442" s="36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</row>
    <row r="443" spans="1:23" ht="21.75" customHeight="1" x14ac:dyDescent="0.6">
      <c r="A443" s="34"/>
      <c r="B443" s="485"/>
      <c r="C443" s="34"/>
      <c r="D443" s="36"/>
      <c r="E443" s="36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</row>
    <row r="444" spans="1:23" ht="21.75" customHeight="1" x14ac:dyDescent="0.6">
      <c r="A444" s="34"/>
      <c r="B444" s="485"/>
      <c r="C444" s="34"/>
      <c r="D444" s="36"/>
      <c r="E444" s="36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</row>
    <row r="445" spans="1:23" ht="21.75" customHeight="1" x14ac:dyDescent="0.6">
      <c r="A445" s="34"/>
      <c r="B445" s="485"/>
      <c r="C445" s="34"/>
      <c r="D445" s="36"/>
      <c r="E445" s="36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</row>
    <row r="446" spans="1:23" ht="21.75" customHeight="1" x14ac:dyDescent="0.6">
      <c r="A446" s="34"/>
      <c r="B446" s="485"/>
      <c r="C446" s="34"/>
      <c r="D446" s="36"/>
      <c r="E446" s="36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</row>
    <row r="447" spans="1:23" ht="21.75" customHeight="1" x14ac:dyDescent="0.6">
      <c r="A447" s="34"/>
      <c r="B447" s="485"/>
      <c r="C447" s="34"/>
      <c r="D447" s="36"/>
      <c r="E447" s="36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</row>
    <row r="448" spans="1:23" ht="21.75" customHeight="1" x14ac:dyDescent="0.6">
      <c r="A448" s="34"/>
      <c r="B448" s="485"/>
      <c r="C448" s="34"/>
      <c r="D448" s="36"/>
      <c r="E448" s="36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</row>
    <row r="449" spans="1:23" ht="21.75" customHeight="1" x14ac:dyDescent="0.6">
      <c r="A449" s="34"/>
      <c r="B449" s="485"/>
      <c r="C449" s="34"/>
      <c r="D449" s="36"/>
      <c r="E449" s="36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</row>
    <row r="450" spans="1:23" ht="21.75" customHeight="1" x14ac:dyDescent="0.6">
      <c r="A450" s="34"/>
      <c r="B450" s="485"/>
      <c r="C450" s="34"/>
      <c r="D450" s="36"/>
      <c r="E450" s="36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</row>
    <row r="451" spans="1:23" ht="21.75" customHeight="1" x14ac:dyDescent="0.6">
      <c r="A451" s="34"/>
      <c r="B451" s="485"/>
      <c r="C451" s="34"/>
      <c r="D451" s="36"/>
      <c r="E451" s="36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</row>
    <row r="452" spans="1:23" ht="21.75" customHeight="1" x14ac:dyDescent="0.6">
      <c r="A452" s="34"/>
      <c r="B452" s="485"/>
      <c r="C452" s="34"/>
      <c r="D452" s="36"/>
      <c r="E452" s="36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</row>
    <row r="453" spans="1:23" ht="21.75" customHeight="1" x14ac:dyDescent="0.6">
      <c r="A453" s="34"/>
      <c r="B453" s="485"/>
      <c r="C453" s="34"/>
      <c r="D453" s="36"/>
      <c r="E453" s="36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</row>
    <row r="454" spans="1:23" ht="21.75" customHeight="1" x14ac:dyDescent="0.6">
      <c r="A454" s="34"/>
      <c r="B454" s="485"/>
      <c r="C454" s="34"/>
      <c r="D454" s="36"/>
      <c r="E454" s="36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</row>
    <row r="455" spans="1:23" ht="21.75" customHeight="1" x14ac:dyDescent="0.6">
      <c r="A455" s="34"/>
      <c r="B455" s="485"/>
      <c r="C455" s="34"/>
      <c r="D455" s="36"/>
      <c r="E455" s="36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</row>
    <row r="456" spans="1:23" ht="21.75" customHeight="1" x14ac:dyDescent="0.6">
      <c r="A456" s="34"/>
      <c r="B456" s="485"/>
      <c r="C456" s="34"/>
      <c r="D456" s="36"/>
      <c r="E456" s="36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</row>
    <row r="457" spans="1:23" ht="21.75" customHeight="1" x14ac:dyDescent="0.6">
      <c r="A457" s="34"/>
      <c r="B457" s="485"/>
      <c r="C457" s="34"/>
      <c r="D457" s="36"/>
      <c r="E457" s="36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</row>
    <row r="458" spans="1:23" ht="21.75" customHeight="1" x14ac:dyDescent="0.6">
      <c r="A458" s="34"/>
      <c r="B458" s="485"/>
      <c r="C458" s="34"/>
      <c r="D458" s="36"/>
      <c r="E458" s="36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</row>
    <row r="459" spans="1:23" ht="21.75" customHeight="1" x14ac:dyDescent="0.6">
      <c r="A459" s="34"/>
      <c r="B459" s="485"/>
      <c r="C459" s="34"/>
      <c r="D459" s="36"/>
      <c r="E459" s="36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</row>
    <row r="460" spans="1:23" ht="21.75" customHeight="1" x14ac:dyDescent="0.6">
      <c r="A460" s="34"/>
      <c r="B460" s="485"/>
      <c r="C460" s="34"/>
      <c r="D460" s="36"/>
      <c r="E460" s="36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</row>
    <row r="461" spans="1:23" ht="21.75" customHeight="1" x14ac:dyDescent="0.6">
      <c r="A461" s="34"/>
      <c r="B461" s="485"/>
      <c r="C461" s="34"/>
      <c r="D461" s="36"/>
      <c r="E461" s="36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</row>
    <row r="462" spans="1:23" ht="21.75" customHeight="1" x14ac:dyDescent="0.6">
      <c r="A462" s="34"/>
      <c r="B462" s="485"/>
      <c r="C462" s="34"/>
      <c r="D462" s="36"/>
      <c r="E462" s="36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</row>
    <row r="463" spans="1:23" ht="21.75" customHeight="1" x14ac:dyDescent="0.6">
      <c r="A463" s="34"/>
      <c r="B463" s="485"/>
      <c r="C463" s="34"/>
      <c r="D463" s="36"/>
      <c r="E463" s="36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</row>
    <row r="464" spans="1:23" ht="21.75" customHeight="1" x14ac:dyDescent="0.6">
      <c r="A464" s="34"/>
      <c r="B464" s="485"/>
      <c r="C464" s="34"/>
      <c r="D464" s="36"/>
      <c r="E464" s="36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</row>
    <row r="465" spans="1:23" ht="21.75" customHeight="1" x14ac:dyDescent="0.6">
      <c r="A465" s="34"/>
      <c r="B465" s="485"/>
      <c r="C465" s="34"/>
      <c r="D465" s="36"/>
      <c r="E465" s="36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</row>
    <row r="466" spans="1:23" ht="21.75" customHeight="1" x14ac:dyDescent="0.6">
      <c r="A466" s="34"/>
      <c r="B466" s="485"/>
      <c r="C466" s="34"/>
      <c r="D466" s="36"/>
      <c r="E466" s="36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</row>
    <row r="467" spans="1:23" ht="21.75" customHeight="1" x14ac:dyDescent="0.6">
      <c r="A467" s="34"/>
      <c r="B467" s="485"/>
      <c r="C467" s="34"/>
      <c r="D467" s="36"/>
      <c r="E467" s="36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</row>
    <row r="468" spans="1:23" ht="21.75" customHeight="1" x14ac:dyDescent="0.6">
      <c r="A468" s="34"/>
      <c r="B468" s="485"/>
      <c r="C468" s="34"/>
      <c r="D468" s="36"/>
      <c r="E468" s="36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</row>
    <row r="469" spans="1:23" ht="21.75" customHeight="1" x14ac:dyDescent="0.6">
      <c r="A469" s="34"/>
      <c r="B469" s="485"/>
      <c r="C469" s="34"/>
      <c r="D469" s="36"/>
      <c r="E469" s="36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</row>
    <row r="470" spans="1:23" ht="21.75" customHeight="1" x14ac:dyDescent="0.6">
      <c r="A470" s="34"/>
      <c r="B470" s="485"/>
      <c r="C470" s="34"/>
      <c r="D470" s="36"/>
      <c r="E470" s="36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</row>
    <row r="471" spans="1:23" ht="21.75" customHeight="1" x14ac:dyDescent="0.6">
      <c r="A471" s="34"/>
      <c r="B471" s="485"/>
      <c r="C471" s="34"/>
      <c r="D471" s="36"/>
      <c r="E471" s="36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</row>
    <row r="472" spans="1:23" ht="21.75" customHeight="1" x14ac:dyDescent="0.6">
      <c r="A472" s="34"/>
      <c r="B472" s="485"/>
      <c r="C472" s="34"/>
      <c r="D472" s="36"/>
      <c r="E472" s="36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</row>
    <row r="473" spans="1:23" ht="21.75" customHeight="1" x14ac:dyDescent="0.6">
      <c r="A473" s="34"/>
      <c r="B473" s="485"/>
      <c r="C473" s="34"/>
      <c r="D473" s="36"/>
      <c r="E473" s="36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</row>
    <row r="474" spans="1:23" ht="21.75" customHeight="1" x14ac:dyDescent="0.6">
      <c r="A474" s="34"/>
      <c r="B474" s="485"/>
      <c r="C474" s="34"/>
      <c r="D474" s="36"/>
      <c r="E474" s="36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</row>
    <row r="475" spans="1:23" ht="21.75" customHeight="1" x14ac:dyDescent="0.6">
      <c r="A475" s="34"/>
      <c r="B475" s="485"/>
      <c r="C475" s="34"/>
      <c r="D475" s="36"/>
      <c r="E475" s="36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</row>
    <row r="476" spans="1:23" ht="21.75" customHeight="1" x14ac:dyDescent="0.6">
      <c r="A476" s="34"/>
      <c r="B476" s="485"/>
      <c r="C476" s="34"/>
      <c r="D476" s="36"/>
      <c r="E476" s="36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</row>
    <row r="477" spans="1:23" ht="21.75" customHeight="1" x14ac:dyDescent="0.6">
      <c r="A477" s="34"/>
      <c r="B477" s="485"/>
      <c r="C477" s="34"/>
      <c r="D477" s="36"/>
      <c r="E477" s="36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</row>
    <row r="478" spans="1:23" ht="21.75" customHeight="1" x14ac:dyDescent="0.6">
      <c r="A478" s="34"/>
      <c r="B478" s="485"/>
      <c r="C478" s="34"/>
      <c r="D478" s="36"/>
      <c r="E478" s="36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</row>
    <row r="479" spans="1:23" ht="21.75" customHeight="1" x14ac:dyDescent="0.6">
      <c r="A479" s="34"/>
      <c r="B479" s="485"/>
      <c r="C479" s="34"/>
      <c r="D479" s="36"/>
      <c r="E479" s="36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</row>
    <row r="480" spans="1:23" ht="21.75" customHeight="1" x14ac:dyDescent="0.6">
      <c r="A480" s="34"/>
      <c r="B480" s="485"/>
      <c r="C480" s="34"/>
      <c r="D480" s="36"/>
      <c r="E480" s="36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</row>
    <row r="481" spans="1:23" ht="21.75" customHeight="1" x14ac:dyDescent="0.6">
      <c r="A481" s="34"/>
      <c r="B481" s="485"/>
      <c r="C481" s="34"/>
      <c r="D481" s="36"/>
      <c r="E481" s="36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</row>
    <row r="482" spans="1:23" ht="21.75" customHeight="1" x14ac:dyDescent="0.6">
      <c r="A482" s="34"/>
      <c r="B482" s="485"/>
      <c r="C482" s="34"/>
      <c r="D482" s="36"/>
      <c r="E482" s="36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</row>
    <row r="483" spans="1:23" ht="21.75" customHeight="1" x14ac:dyDescent="0.6">
      <c r="A483" s="34"/>
      <c r="B483" s="485"/>
      <c r="C483" s="34"/>
      <c r="D483" s="36"/>
      <c r="E483" s="36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</row>
    <row r="484" spans="1:23" ht="21.75" customHeight="1" x14ac:dyDescent="0.6">
      <c r="A484" s="34"/>
      <c r="B484" s="485"/>
      <c r="C484" s="34"/>
      <c r="D484" s="36"/>
      <c r="E484" s="36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</row>
    <row r="485" spans="1:23" ht="21.75" customHeight="1" x14ac:dyDescent="0.6">
      <c r="A485" s="34"/>
      <c r="B485" s="485"/>
      <c r="C485" s="34"/>
      <c r="D485" s="36"/>
      <c r="E485" s="36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</row>
    <row r="486" spans="1:23" ht="21.75" customHeight="1" x14ac:dyDescent="0.6">
      <c r="A486" s="34"/>
      <c r="B486" s="485"/>
      <c r="C486" s="34"/>
      <c r="D486" s="36"/>
      <c r="E486" s="36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</row>
    <row r="487" spans="1:23" ht="21.75" customHeight="1" x14ac:dyDescent="0.6">
      <c r="A487" s="34"/>
      <c r="B487" s="485"/>
      <c r="C487" s="34"/>
      <c r="D487" s="36"/>
      <c r="E487" s="36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</row>
    <row r="488" spans="1:23" ht="21.75" customHeight="1" x14ac:dyDescent="0.6">
      <c r="A488" s="34"/>
      <c r="B488" s="485"/>
      <c r="C488" s="34"/>
      <c r="D488" s="36"/>
      <c r="E488" s="36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</row>
    <row r="489" spans="1:23" ht="21.75" customHeight="1" x14ac:dyDescent="0.6">
      <c r="A489" s="34"/>
      <c r="B489" s="485"/>
      <c r="C489" s="34"/>
      <c r="D489" s="36"/>
      <c r="E489" s="36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</row>
    <row r="490" spans="1:23" ht="21.75" customHeight="1" x14ac:dyDescent="0.6">
      <c r="A490" s="34"/>
      <c r="B490" s="485"/>
      <c r="C490" s="34"/>
      <c r="D490" s="36"/>
      <c r="E490" s="36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</row>
    <row r="491" spans="1:23" ht="21.75" customHeight="1" x14ac:dyDescent="0.6">
      <c r="A491" s="34"/>
      <c r="B491" s="485"/>
      <c r="C491" s="34"/>
      <c r="D491" s="36"/>
      <c r="E491" s="36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</row>
    <row r="492" spans="1:23" ht="21.75" customHeight="1" x14ac:dyDescent="0.6">
      <c r="A492" s="34"/>
      <c r="B492" s="485"/>
      <c r="C492" s="34"/>
      <c r="D492" s="36"/>
      <c r="E492" s="36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</row>
    <row r="493" spans="1:23" ht="21.75" customHeight="1" x14ac:dyDescent="0.6">
      <c r="A493" s="34"/>
      <c r="B493" s="485"/>
      <c r="C493" s="34"/>
      <c r="D493" s="36"/>
      <c r="E493" s="36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</row>
    <row r="494" spans="1:23" ht="21.75" customHeight="1" x14ac:dyDescent="0.6">
      <c r="A494" s="34"/>
      <c r="B494" s="485"/>
      <c r="C494" s="34"/>
      <c r="D494" s="36"/>
      <c r="E494" s="36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</row>
    <row r="495" spans="1:23" ht="21.75" customHeight="1" x14ac:dyDescent="0.6">
      <c r="A495" s="34"/>
      <c r="B495" s="485"/>
      <c r="C495" s="34"/>
      <c r="D495" s="36"/>
      <c r="E495" s="36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</row>
    <row r="496" spans="1:23" ht="21.75" customHeight="1" x14ac:dyDescent="0.6">
      <c r="A496" s="34"/>
      <c r="B496" s="485"/>
      <c r="C496" s="34"/>
      <c r="D496" s="36"/>
      <c r="E496" s="36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</row>
    <row r="497" spans="1:23" ht="21.75" customHeight="1" x14ac:dyDescent="0.6">
      <c r="A497" s="34"/>
      <c r="B497" s="485"/>
      <c r="C497" s="34"/>
      <c r="D497" s="36"/>
      <c r="E497" s="36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</row>
    <row r="498" spans="1:23" ht="21.75" customHeight="1" x14ac:dyDescent="0.6">
      <c r="A498" s="34"/>
      <c r="B498" s="485"/>
      <c r="C498" s="34"/>
      <c r="D498" s="36"/>
      <c r="E498" s="36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</row>
    <row r="499" spans="1:23" ht="21.75" customHeight="1" x14ac:dyDescent="0.6">
      <c r="A499" s="34"/>
      <c r="B499" s="485"/>
      <c r="C499" s="34"/>
      <c r="D499" s="36"/>
      <c r="E499" s="36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</row>
    <row r="500" spans="1:23" ht="21.75" customHeight="1" x14ac:dyDescent="0.6">
      <c r="A500" s="34"/>
      <c r="B500" s="485"/>
      <c r="C500" s="34"/>
      <c r="D500" s="36"/>
      <c r="E500" s="36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</row>
    <row r="501" spans="1:23" ht="21.75" customHeight="1" x14ac:dyDescent="0.6">
      <c r="A501" s="34"/>
      <c r="B501" s="485"/>
      <c r="C501" s="34"/>
      <c r="D501" s="36"/>
      <c r="E501" s="36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</row>
    <row r="502" spans="1:23" ht="21.75" customHeight="1" x14ac:dyDescent="0.6">
      <c r="A502" s="34"/>
      <c r="B502" s="485"/>
      <c r="C502" s="34"/>
      <c r="D502" s="36"/>
      <c r="E502" s="36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</row>
    <row r="503" spans="1:23" ht="21.75" customHeight="1" x14ac:dyDescent="0.6">
      <c r="A503" s="34"/>
      <c r="B503" s="485"/>
      <c r="C503" s="34"/>
      <c r="D503" s="36"/>
      <c r="E503" s="36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</row>
    <row r="504" spans="1:23" ht="21.75" customHeight="1" x14ac:dyDescent="0.6">
      <c r="A504" s="34"/>
      <c r="B504" s="485"/>
      <c r="C504" s="34"/>
      <c r="D504" s="36"/>
      <c r="E504" s="36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</row>
    <row r="505" spans="1:23" ht="21.75" customHeight="1" x14ac:dyDescent="0.6">
      <c r="A505" s="34"/>
      <c r="B505" s="485"/>
      <c r="C505" s="34"/>
      <c r="D505" s="36"/>
      <c r="E505" s="36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</row>
    <row r="506" spans="1:23" ht="21.75" customHeight="1" x14ac:dyDescent="0.6">
      <c r="A506" s="34"/>
      <c r="B506" s="485"/>
      <c r="C506" s="34"/>
      <c r="D506" s="36"/>
      <c r="E506" s="36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</row>
    <row r="507" spans="1:23" ht="21.75" customHeight="1" x14ac:dyDescent="0.6">
      <c r="A507" s="34"/>
      <c r="B507" s="485"/>
      <c r="C507" s="34"/>
      <c r="D507" s="36"/>
      <c r="E507" s="36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</row>
    <row r="508" spans="1:23" ht="21.75" customHeight="1" x14ac:dyDescent="0.6">
      <c r="A508" s="34"/>
      <c r="B508" s="485"/>
      <c r="C508" s="34"/>
      <c r="D508" s="36"/>
      <c r="E508" s="36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</row>
    <row r="509" spans="1:23" ht="21.75" customHeight="1" x14ac:dyDescent="0.6">
      <c r="A509" s="34"/>
      <c r="B509" s="485"/>
      <c r="C509" s="34"/>
      <c r="D509" s="36"/>
      <c r="E509" s="36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</row>
    <row r="510" spans="1:23" ht="21.75" customHeight="1" x14ac:dyDescent="0.6">
      <c r="A510" s="34"/>
      <c r="B510" s="485"/>
      <c r="C510" s="34"/>
      <c r="D510" s="36"/>
      <c r="E510" s="36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</row>
    <row r="511" spans="1:23" ht="21.75" customHeight="1" x14ac:dyDescent="0.6">
      <c r="A511" s="34"/>
      <c r="B511" s="485"/>
      <c r="C511" s="34"/>
      <c r="D511" s="36"/>
      <c r="E511" s="36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</row>
    <row r="512" spans="1:23" ht="21.75" customHeight="1" x14ac:dyDescent="0.6">
      <c r="A512" s="34"/>
      <c r="B512" s="485"/>
      <c r="C512" s="34"/>
      <c r="D512" s="36"/>
      <c r="E512" s="36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</row>
    <row r="513" spans="1:23" ht="21.75" customHeight="1" x14ac:dyDescent="0.6">
      <c r="A513" s="34"/>
      <c r="B513" s="485"/>
      <c r="C513" s="34"/>
      <c r="D513" s="36"/>
      <c r="E513" s="36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</row>
    <row r="514" spans="1:23" ht="21.75" customHeight="1" x14ac:dyDescent="0.6">
      <c r="A514" s="34"/>
      <c r="B514" s="485"/>
      <c r="C514" s="34"/>
      <c r="D514" s="36"/>
      <c r="E514" s="36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</row>
    <row r="515" spans="1:23" ht="21.75" customHeight="1" x14ac:dyDescent="0.6">
      <c r="A515" s="34"/>
      <c r="B515" s="485"/>
      <c r="C515" s="34"/>
      <c r="D515" s="36"/>
      <c r="E515" s="36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</row>
    <row r="516" spans="1:23" ht="21.75" customHeight="1" x14ac:dyDescent="0.6">
      <c r="A516" s="34"/>
      <c r="B516" s="485"/>
      <c r="C516" s="34"/>
      <c r="D516" s="36"/>
      <c r="E516" s="36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</row>
    <row r="517" spans="1:23" ht="21.75" customHeight="1" x14ac:dyDescent="0.6">
      <c r="A517" s="34"/>
      <c r="B517" s="485"/>
      <c r="C517" s="34"/>
      <c r="D517" s="36"/>
      <c r="E517" s="36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</row>
    <row r="518" spans="1:23" ht="21.75" customHeight="1" x14ac:dyDescent="0.6">
      <c r="A518" s="34"/>
      <c r="B518" s="485"/>
      <c r="C518" s="34"/>
      <c r="D518" s="36"/>
      <c r="E518" s="36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</row>
    <row r="519" spans="1:23" ht="21.75" customHeight="1" x14ac:dyDescent="0.6">
      <c r="A519" s="34"/>
      <c r="B519" s="485"/>
      <c r="C519" s="34"/>
      <c r="D519" s="36"/>
      <c r="E519" s="36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</row>
    <row r="520" spans="1:23" ht="21.75" customHeight="1" x14ac:dyDescent="0.6">
      <c r="A520" s="34"/>
      <c r="B520" s="485"/>
      <c r="C520" s="34"/>
      <c r="D520" s="36"/>
      <c r="E520" s="36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</row>
    <row r="521" spans="1:23" ht="21.75" customHeight="1" x14ac:dyDescent="0.6">
      <c r="A521" s="34"/>
      <c r="B521" s="485"/>
      <c r="C521" s="34"/>
      <c r="D521" s="36"/>
      <c r="E521" s="36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</row>
    <row r="522" spans="1:23" ht="21.75" customHeight="1" x14ac:dyDescent="0.6">
      <c r="A522" s="34"/>
      <c r="B522" s="485"/>
      <c r="C522" s="34"/>
      <c r="D522" s="36"/>
      <c r="E522" s="36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</row>
    <row r="523" spans="1:23" ht="21.75" customHeight="1" x14ac:dyDescent="0.6">
      <c r="A523" s="34"/>
      <c r="B523" s="485"/>
      <c r="C523" s="34"/>
      <c r="D523" s="36"/>
      <c r="E523" s="36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</row>
    <row r="524" spans="1:23" ht="21.75" customHeight="1" x14ac:dyDescent="0.6">
      <c r="A524" s="34"/>
      <c r="B524" s="485"/>
      <c r="C524" s="34"/>
      <c r="D524" s="36"/>
      <c r="E524" s="36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</row>
    <row r="525" spans="1:23" ht="21.75" customHeight="1" x14ac:dyDescent="0.6">
      <c r="A525" s="34"/>
      <c r="B525" s="485"/>
      <c r="C525" s="34"/>
      <c r="D525" s="36"/>
      <c r="E525" s="36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</row>
    <row r="526" spans="1:23" ht="21.75" customHeight="1" x14ac:dyDescent="0.6">
      <c r="A526" s="34"/>
      <c r="B526" s="485"/>
      <c r="C526" s="34"/>
      <c r="D526" s="36"/>
      <c r="E526" s="36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</row>
    <row r="527" spans="1:23" ht="21.75" customHeight="1" x14ac:dyDescent="0.6">
      <c r="A527" s="34"/>
      <c r="B527" s="485"/>
      <c r="C527" s="34"/>
      <c r="D527" s="36"/>
      <c r="E527" s="36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</row>
    <row r="528" spans="1:23" ht="21.75" customHeight="1" x14ac:dyDescent="0.6">
      <c r="A528" s="34"/>
      <c r="B528" s="485"/>
      <c r="C528" s="34"/>
      <c r="D528" s="36"/>
      <c r="E528" s="36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</row>
    <row r="529" spans="1:23" ht="21.75" customHeight="1" x14ac:dyDescent="0.6">
      <c r="A529" s="34"/>
      <c r="B529" s="485"/>
      <c r="C529" s="34"/>
      <c r="D529" s="36"/>
      <c r="E529" s="36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</row>
    <row r="530" spans="1:23" ht="21.75" customHeight="1" x14ac:dyDescent="0.6">
      <c r="A530" s="34"/>
      <c r="B530" s="485"/>
      <c r="C530" s="34"/>
      <c r="D530" s="36"/>
      <c r="E530" s="36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</row>
    <row r="531" spans="1:23" ht="21.75" customHeight="1" x14ac:dyDescent="0.6">
      <c r="A531" s="34"/>
      <c r="B531" s="485"/>
      <c r="C531" s="34"/>
      <c r="D531" s="36"/>
      <c r="E531" s="36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</row>
    <row r="532" spans="1:23" ht="21.75" customHeight="1" x14ac:dyDescent="0.6">
      <c r="A532" s="34"/>
      <c r="B532" s="485"/>
      <c r="C532" s="34"/>
      <c r="D532" s="36"/>
      <c r="E532" s="36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</row>
    <row r="533" spans="1:23" ht="21.75" customHeight="1" x14ac:dyDescent="0.6">
      <c r="A533" s="34"/>
      <c r="B533" s="485"/>
      <c r="C533" s="34"/>
      <c r="D533" s="36"/>
      <c r="E533" s="36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</row>
    <row r="534" spans="1:23" ht="21.75" customHeight="1" x14ac:dyDescent="0.6">
      <c r="A534" s="34"/>
      <c r="B534" s="485"/>
      <c r="C534" s="34"/>
      <c r="D534" s="36"/>
      <c r="E534" s="36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</row>
    <row r="535" spans="1:23" ht="21.75" customHeight="1" x14ac:dyDescent="0.6">
      <c r="A535" s="34"/>
      <c r="B535" s="485"/>
      <c r="C535" s="34"/>
      <c r="D535" s="36"/>
      <c r="E535" s="36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</row>
    <row r="536" spans="1:23" ht="21.75" customHeight="1" x14ac:dyDescent="0.6">
      <c r="A536" s="34"/>
      <c r="B536" s="485"/>
      <c r="C536" s="34"/>
      <c r="D536" s="36"/>
      <c r="E536" s="36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</row>
    <row r="537" spans="1:23" ht="21.75" customHeight="1" x14ac:dyDescent="0.6">
      <c r="A537" s="34"/>
      <c r="B537" s="485"/>
      <c r="C537" s="34"/>
      <c r="D537" s="36"/>
      <c r="E537" s="36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</row>
    <row r="538" spans="1:23" ht="21.75" customHeight="1" x14ac:dyDescent="0.6">
      <c r="A538" s="34"/>
      <c r="B538" s="485"/>
      <c r="C538" s="34"/>
      <c r="D538" s="36"/>
      <c r="E538" s="36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</row>
    <row r="539" spans="1:23" ht="21.75" customHeight="1" x14ac:dyDescent="0.6">
      <c r="A539" s="34"/>
      <c r="B539" s="485"/>
      <c r="C539" s="34"/>
      <c r="D539" s="36"/>
      <c r="E539" s="36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</row>
    <row r="540" spans="1:23" ht="21.75" customHeight="1" x14ac:dyDescent="0.6">
      <c r="A540" s="34"/>
      <c r="B540" s="485"/>
      <c r="C540" s="34"/>
      <c r="D540" s="36"/>
      <c r="E540" s="36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</row>
    <row r="541" spans="1:23" ht="21.75" customHeight="1" x14ac:dyDescent="0.6">
      <c r="A541" s="34"/>
      <c r="B541" s="485"/>
      <c r="C541" s="34"/>
      <c r="D541" s="36"/>
      <c r="E541" s="36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</row>
    <row r="542" spans="1:23" ht="21.75" customHeight="1" x14ac:dyDescent="0.6">
      <c r="A542" s="34"/>
      <c r="B542" s="485"/>
      <c r="C542" s="34"/>
      <c r="D542" s="36"/>
      <c r="E542" s="36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</row>
    <row r="543" spans="1:23" ht="21.75" customHeight="1" x14ac:dyDescent="0.6">
      <c r="A543" s="34"/>
      <c r="B543" s="485"/>
      <c r="C543" s="34"/>
      <c r="D543" s="36"/>
      <c r="E543" s="36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</row>
    <row r="544" spans="1:23" ht="21.75" customHeight="1" x14ac:dyDescent="0.6">
      <c r="A544" s="34"/>
      <c r="B544" s="485"/>
      <c r="C544" s="34"/>
      <c r="D544" s="36"/>
      <c r="E544" s="36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</row>
    <row r="545" spans="1:23" ht="21.75" customHeight="1" x14ac:dyDescent="0.6">
      <c r="A545" s="34"/>
      <c r="B545" s="485"/>
      <c r="C545" s="34"/>
      <c r="D545" s="36"/>
      <c r="E545" s="36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</row>
    <row r="546" spans="1:23" ht="21.75" customHeight="1" x14ac:dyDescent="0.6">
      <c r="A546" s="34"/>
      <c r="B546" s="485"/>
      <c r="C546" s="34"/>
      <c r="D546" s="36"/>
      <c r="E546" s="36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</row>
    <row r="547" spans="1:23" ht="21.75" customHeight="1" x14ac:dyDescent="0.6">
      <c r="A547" s="34"/>
      <c r="B547" s="485"/>
      <c r="C547" s="34"/>
      <c r="D547" s="36"/>
      <c r="E547" s="36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</row>
    <row r="548" spans="1:23" ht="21.75" customHeight="1" x14ac:dyDescent="0.6">
      <c r="A548" s="34"/>
      <c r="B548" s="485"/>
      <c r="C548" s="34"/>
      <c r="D548" s="36"/>
      <c r="E548" s="36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</row>
    <row r="549" spans="1:23" ht="21.75" customHeight="1" x14ac:dyDescent="0.6">
      <c r="A549" s="34"/>
      <c r="B549" s="485"/>
      <c r="C549" s="34"/>
      <c r="D549" s="36"/>
      <c r="E549" s="36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</row>
    <row r="550" spans="1:23" ht="21.75" customHeight="1" x14ac:dyDescent="0.6">
      <c r="A550" s="34"/>
      <c r="B550" s="485"/>
      <c r="C550" s="34"/>
      <c r="D550" s="36"/>
      <c r="E550" s="36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</row>
    <row r="551" spans="1:23" ht="21.75" customHeight="1" x14ac:dyDescent="0.6">
      <c r="A551" s="34"/>
      <c r="B551" s="485"/>
      <c r="C551" s="34"/>
      <c r="D551" s="36"/>
      <c r="E551" s="36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</row>
    <row r="552" spans="1:23" ht="21.75" customHeight="1" x14ac:dyDescent="0.6">
      <c r="A552" s="34"/>
      <c r="B552" s="485"/>
      <c r="C552" s="34"/>
      <c r="D552" s="36"/>
      <c r="E552" s="36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</row>
    <row r="553" spans="1:23" ht="21.75" customHeight="1" x14ac:dyDescent="0.6">
      <c r="A553" s="34"/>
      <c r="B553" s="485"/>
      <c r="C553" s="34"/>
      <c r="D553" s="36"/>
      <c r="E553" s="36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</row>
    <row r="554" spans="1:23" ht="21.75" customHeight="1" x14ac:dyDescent="0.6">
      <c r="A554" s="34"/>
      <c r="B554" s="485"/>
      <c r="C554" s="34"/>
      <c r="D554" s="36"/>
      <c r="E554" s="36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</row>
    <row r="555" spans="1:23" ht="21.75" customHeight="1" x14ac:dyDescent="0.6">
      <c r="A555" s="34"/>
      <c r="B555" s="485"/>
      <c r="C555" s="34"/>
      <c r="D555" s="36"/>
      <c r="E555" s="36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</row>
    <row r="556" spans="1:23" ht="21.75" customHeight="1" x14ac:dyDescent="0.6">
      <c r="A556" s="34"/>
      <c r="B556" s="485"/>
      <c r="C556" s="34"/>
      <c r="D556" s="36"/>
      <c r="E556" s="36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</row>
    <row r="557" spans="1:23" ht="21.75" customHeight="1" x14ac:dyDescent="0.6">
      <c r="A557" s="34"/>
      <c r="B557" s="485"/>
      <c r="C557" s="34"/>
      <c r="D557" s="36"/>
      <c r="E557" s="36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</row>
    <row r="558" spans="1:23" ht="21.75" customHeight="1" x14ac:dyDescent="0.6">
      <c r="A558" s="34"/>
      <c r="B558" s="485"/>
      <c r="C558" s="34"/>
      <c r="D558" s="36"/>
      <c r="E558" s="36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</row>
    <row r="559" spans="1:23" ht="21.75" customHeight="1" x14ac:dyDescent="0.6">
      <c r="A559" s="34"/>
      <c r="B559" s="485"/>
      <c r="C559" s="34"/>
      <c r="D559" s="36"/>
      <c r="E559" s="36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</row>
    <row r="560" spans="1:23" ht="21.75" customHeight="1" x14ac:dyDescent="0.6">
      <c r="A560" s="34"/>
      <c r="B560" s="485"/>
      <c r="C560" s="34"/>
      <c r="D560" s="36"/>
      <c r="E560" s="36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</row>
    <row r="561" spans="1:23" ht="21.75" customHeight="1" x14ac:dyDescent="0.6">
      <c r="A561" s="34"/>
      <c r="B561" s="485"/>
      <c r="C561" s="34"/>
      <c r="D561" s="36"/>
      <c r="E561" s="36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</row>
    <row r="562" spans="1:23" ht="21.75" customHeight="1" x14ac:dyDescent="0.6">
      <c r="A562" s="34"/>
      <c r="B562" s="485"/>
      <c r="C562" s="34"/>
      <c r="D562" s="36"/>
      <c r="E562" s="36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</row>
    <row r="563" spans="1:23" ht="21.75" customHeight="1" x14ac:dyDescent="0.6">
      <c r="A563" s="34"/>
      <c r="B563" s="485"/>
      <c r="C563" s="34"/>
      <c r="D563" s="36"/>
      <c r="E563" s="36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</row>
    <row r="564" spans="1:23" ht="21.75" customHeight="1" x14ac:dyDescent="0.6">
      <c r="A564" s="34"/>
      <c r="B564" s="485"/>
      <c r="C564" s="34"/>
      <c r="D564" s="36"/>
      <c r="E564" s="36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</row>
    <row r="565" spans="1:23" ht="21.75" customHeight="1" x14ac:dyDescent="0.6">
      <c r="A565" s="34"/>
      <c r="B565" s="485"/>
      <c r="C565" s="34"/>
      <c r="D565" s="36"/>
      <c r="E565" s="36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</row>
    <row r="566" spans="1:23" ht="21.75" customHeight="1" x14ac:dyDescent="0.6">
      <c r="A566" s="34"/>
      <c r="B566" s="485"/>
      <c r="C566" s="34"/>
      <c r="D566" s="36"/>
      <c r="E566" s="36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</row>
    <row r="567" spans="1:23" ht="21.75" customHeight="1" x14ac:dyDescent="0.6">
      <c r="A567" s="34"/>
      <c r="B567" s="485"/>
      <c r="C567" s="34"/>
      <c r="D567" s="36"/>
      <c r="E567" s="36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</row>
    <row r="568" spans="1:23" ht="21.75" customHeight="1" x14ac:dyDescent="0.6">
      <c r="A568" s="34"/>
      <c r="B568" s="485"/>
      <c r="C568" s="34"/>
      <c r="D568" s="36"/>
      <c r="E568" s="36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</row>
    <row r="569" spans="1:23" ht="21.75" customHeight="1" x14ac:dyDescent="0.6">
      <c r="A569" s="34"/>
      <c r="B569" s="485"/>
      <c r="C569" s="34"/>
      <c r="D569" s="36"/>
      <c r="E569" s="36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</row>
    <row r="570" spans="1:23" ht="21.75" customHeight="1" x14ac:dyDescent="0.6">
      <c r="A570" s="34"/>
      <c r="B570" s="485"/>
      <c r="C570" s="34"/>
      <c r="D570" s="36"/>
      <c r="E570" s="36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</row>
    <row r="571" spans="1:23" ht="21.75" customHeight="1" x14ac:dyDescent="0.6">
      <c r="A571" s="34"/>
      <c r="B571" s="485"/>
      <c r="C571" s="34"/>
      <c r="D571" s="36"/>
      <c r="E571" s="36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</row>
    <row r="572" spans="1:23" ht="21.75" customHeight="1" x14ac:dyDescent="0.6">
      <c r="A572" s="34"/>
      <c r="B572" s="485"/>
      <c r="C572" s="34"/>
      <c r="D572" s="36"/>
      <c r="E572" s="36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</row>
    <row r="573" spans="1:23" ht="21.75" customHeight="1" x14ac:dyDescent="0.6">
      <c r="A573" s="34"/>
      <c r="B573" s="485"/>
      <c r="C573" s="34"/>
      <c r="D573" s="36"/>
      <c r="E573" s="36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</row>
    <row r="574" spans="1:23" ht="21.75" customHeight="1" x14ac:dyDescent="0.6">
      <c r="A574" s="34"/>
      <c r="B574" s="485"/>
      <c r="C574" s="34"/>
      <c r="D574" s="36"/>
      <c r="E574" s="36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</row>
    <row r="575" spans="1:23" ht="21.75" customHeight="1" x14ac:dyDescent="0.6">
      <c r="A575" s="34"/>
      <c r="B575" s="485"/>
      <c r="C575" s="34"/>
      <c r="D575" s="36"/>
      <c r="E575" s="36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</row>
    <row r="576" spans="1:23" ht="21.75" customHeight="1" x14ac:dyDescent="0.6">
      <c r="A576" s="34"/>
      <c r="B576" s="485"/>
      <c r="C576" s="34"/>
      <c r="D576" s="36"/>
      <c r="E576" s="36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</row>
    <row r="577" spans="1:23" ht="21.75" customHeight="1" x14ac:dyDescent="0.6">
      <c r="A577" s="34"/>
      <c r="B577" s="485"/>
      <c r="C577" s="34"/>
      <c r="D577" s="36"/>
      <c r="E577" s="36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</row>
    <row r="578" spans="1:23" ht="21.75" customHeight="1" x14ac:dyDescent="0.6">
      <c r="A578" s="34"/>
      <c r="B578" s="485"/>
      <c r="C578" s="34"/>
      <c r="D578" s="36"/>
      <c r="E578" s="36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</row>
    <row r="579" spans="1:23" ht="21.75" customHeight="1" x14ac:dyDescent="0.6">
      <c r="A579" s="34"/>
      <c r="B579" s="485"/>
      <c r="C579" s="34"/>
      <c r="D579" s="36"/>
      <c r="E579" s="36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</row>
    <row r="580" spans="1:23" ht="21.75" customHeight="1" x14ac:dyDescent="0.6">
      <c r="A580" s="34"/>
      <c r="B580" s="485"/>
      <c r="C580" s="34"/>
      <c r="D580" s="36"/>
      <c r="E580" s="36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</row>
    <row r="581" spans="1:23" ht="21.75" customHeight="1" x14ac:dyDescent="0.6">
      <c r="A581" s="34"/>
      <c r="B581" s="485"/>
      <c r="C581" s="34"/>
      <c r="D581" s="36"/>
      <c r="E581" s="36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</row>
    <row r="582" spans="1:23" ht="21.75" customHeight="1" x14ac:dyDescent="0.6">
      <c r="A582" s="34"/>
      <c r="B582" s="485"/>
      <c r="C582" s="34"/>
      <c r="D582" s="36"/>
      <c r="E582" s="36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</row>
    <row r="583" spans="1:23" ht="21.75" customHeight="1" x14ac:dyDescent="0.6">
      <c r="A583" s="34"/>
      <c r="B583" s="485"/>
      <c r="C583" s="34"/>
      <c r="D583" s="36"/>
      <c r="E583" s="36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</row>
    <row r="584" spans="1:23" ht="21.75" customHeight="1" x14ac:dyDescent="0.6">
      <c r="A584" s="34"/>
      <c r="B584" s="485"/>
      <c r="C584" s="34"/>
      <c r="D584" s="36"/>
      <c r="E584" s="36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</row>
    <row r="585" spans="1:23" ht="21.75" customHeight="1" x14ac:dyDescent="0.6">
      <c r="A585" s="34"/>
      <c r="B585" s="485"/>
      <c r="C585" s="34"/>
      <c r="D585" s="36"/>
      <c r="E585" s="36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</row>
    <row r="586" spans="1:23" ht="21.75" customHeight="1" x14ac:dyDescent="0.6">
      <c r="A586" s="34"/>
      <c r="B586" s="485"/>
      <c r="C586" s="34"/>
      <c r="D586" s="36"/>
      <c r="E586" s="36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</row>
    <row r="587" spans="1:23" ht="21.75" customHeight="1" x14ac:dyDescent="0.6">
      <c r="A587" s="34"/>
      <c r="B587" s="485"/>
      <c r="C587" s="34"/>
      <c r="D587" s="36"/>
      <c r="E587" s="36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</row>
    <row r="588" spans="1:23" ht="21.75" customHeight="1" x14ac:dyDescent="0.6">
      <c r="A588" s="34"/>
      <c r="B588" s="485"/>
      <c r="C588" s="34"/>
      <c r="D588" s="36"/>
      <c r="E588" s="36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</row>
    <row r="589" spans="1:23" ht="21.75" customHeight="1" x14ac:dyDescent="0.6">
      <c r="A589" s="34"/>
      <c r="B589" s="485"/>
      <c r="C589" s="34"/>
      <c r="D589" s="36"/>
      <c r="E589" s="36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</row>
    <row r="590" spans="1:23" ht="21.75" customHeight="1" x14ac:dyDescent="0.6">
      <c r="A590" s="34"/>
      <c r="B590" s="485"/>
      <c r="C590" s="34"/>
      <c r="D590" s="36"/>
      <c r="E590" s="36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</row>
    <row r="591" spans="1:23" ht="21.75" customHeight="1" x14ac:dyDescent="0.6">
      <c r="A591" s="34"/>
      <c r="B591" s="485"/>
      <c r="C591" s="34"/>
      <c r="D591" s="36"/>
      <c r="E591" s="36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</row>
    <row r="592" spans="1:23" ht="21.75" customHeight="1" x14ac:dyDescent="0.6">
      <c r="A592" s="34"/>
      <c r="B592" s="485"/>
      <c r="C592" s="34"/>
      <c r="D592" s="36"/>
      <c r="E592" s="36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</row>
    <row r="593" spans="1:23" ht="21.75" customHeight="1" x14ac:dyDescent="0.6">
      <c r="A593" s="34"/>
      <c r="B593" s="485"/>
      <c r="C593" s="34"/>
      <c r="D593" s="36"/>
      <c r="E593" s="36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</row>
    <row r="594" spans="1:23" ht="21.75" customHeight="1" x14ac:dyDescent="0.6">
      <c r="A594" s="34"/>
      <c r="B594" s="485"/>
      <c r="C594" s="34"/>
      <c r="D594" s="36"/>
      <c r="E594" s="36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</row>
    <row r="595" spans="1:23" ht="21.75" customHeight="1" x14ac:dyDescent="0.6">
      <c r="A595" s="34"/>
      <c r="B595" s="485"/>
      <c r="C595" s="34"/>
      <c r="D595" s="36"/>
      <c r="E595" s="36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</row>
    <row r="596" spans="1:23" ht="21.75" customHeight="1" x14ac:dyDescent="0.6">
      <c r="A596" s="34"/>
      <c r="B596" s="485"/>
      <c r="C596" s="34"/>
      <c r="D596" s="36"/>
      <c r="E596" s="36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</row>
    <row r="597" spans="1:23" ht="21.75" customHeight="1" x14ac:dyDescent="0.6">
      <c r="A597" s="34"/>
      <c r="B597" s="485"/>
      <c r="C597" s="34"/>
      <c r="D597" s="36"/>
      <c r="E597" s="36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</row>
    <row r="598" spans="1:23" ht="21.75" customHeight="1" x14ac:dyDescent="0.6">
      <c r="A598" s="34"/>
      <c r="B598" s="485"/>
      <c r="C598" s="34"/>
      <c r="D598" s="36"/>
      <c r="E598" s="36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</row>
    <row r="599" spans="1:23" ht="21.75" customHeight="1" x14ac:dyDescent="0.6">
      <c r="A599" s="34"/>
      <c r="B599" s="485"/>
      <c r="C599" s="34"/>
      <c r="D599" s="36"/>
      <c r="E599" s="36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</row>
    <row r="600" spans="1:23" ht="21.75" customHeight="1" x14ac:dyDescent="0.6">
      <c r="A600" s="34"/>
      <c r="B600" s="485"/>
      <c r="C600" s="34"/>
      <c r="D600" s="36"/>
      <c r="E600" s="36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</row>
    <row r="601" spans="1:23" ht="21.75" customHeight="1" x14ac:dyDescent="0.6">
      <c r="A601" s="34"/>
      <c r="B601" s="485"/>
      <c r="C601" s="34"/>
      <c r="D601" s="36"/>
      <c r="E601" s="36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</row>
    <row r="602" spans="1:23" ht="21.75" customHeight="1" x14ac:dyDescent="0.6">
      <c r="A602" s="34"/>
      <c r="B602" s="485"/>
      <c r="C602" s="34"/>
      <c r="D602" s="36"/>
      <c r="E602" s="36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</row>
    <row r="603" spans="1:23" ht="21.75" customHeight="1" x14ac:dyDescent="0.6">
      <c r="A603" s="34"/>
      <c r="B603" s="485"/>
      <c r="C603" s="34"/>
      <c r="D603" s="36"/>
      <c r="E603" s="36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</row>
    <row r="604" spans="1:23" ht="21.75" customHeight="1" x14ac:dyDescent="0.6">
      <c r="A604" s="34"/>
      <c r="B604" s="485"/>
      <c r="C604" s="34"/>
      <c r="D604" s="36"/>
      <c r="E604" s="36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</row>
    <row r="605" spans="1:23" ht="21.75" customHeight="1" x14ac:dyDescent="0.6">
      <c r="A605" s="34"/>
      <c r="B605" s="485"/>
      <c r="C605" s="34"/>
      <c r="D605" s="36"/>
      <c r="E605" s="36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</row>
    <row r="606" spans="1:23" ht="21.75" customHeight="1" x14ac:dyDescent="0.6">
      <c r="A606" s="34"/>
      <c r="B606" s="485"/>
      <c r="C606" s="34"/>
      <c r="D606" s="36"/>
      <c r="E606" s="36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</row>
    <row r="607" spans="1:23" ht="21.75" customHeight="1" x14ac:dyDescent="0.6">
      <c r="A607" s="34"/>
      <c r="B607" s="485"/>
      <c r="C607" s="34"/>
      <c r="D607" s="36"/>
      <c r="E607" s="36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</row>
    <row r="608" spans="1:23" ht="21.75" customHeight="1" x14ac:dyDescent="0.6">
      <c r="A608" s="34"/>
      <c r="B608" s="485"/>
      <c r="C608" s="34"/>
      <c r="D608" s="36"/>
      <c r="E608" s="36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</row>
    <row r="609" spans="1:23" ht="21.75" customHeight="1" x14ac:dyDescent="0.6">
      <c r="A609" s="34"/>
      <c r="B609" s="485"/>
      <c r="C609" s="34"/>
      <c r="D609" s="36"/>
      <c r="E609" s="36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</row>
    <row r="610" spans="1:23" ht="21.75" customHeight="1" x14ac:dyDescent="0.6">
      <c r="A610" s="34"/>
      <c r="B610" s="485"/>
      <c r="C610" s="34"/>
      <c r="D610" s="36"/>
      <c r="E610" s="36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</row>
    <row r="611" spans="1:23" ht="21.75" customHeight="1" x14ac:dyDescent="0.6">
      <c r="A611" s="34"/>
      <c r="B611" s="485"/>
      <c r="C611" s="34"/>
      <c r="D611" s="36"/>
      <c r="E611" s="36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</row>
    <row r="612" spans="1:23" ht="21.75" customHeight="1" x14ac:dyDescent="0.6">
      <c r="A612" s="34"/>
      <c r="B612" s="485"/>
      <c r="C612" s="34"/>
      <c r="D612" s="36"/>
      <c r="E612" s="36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</row>
    <row r="613" spans="1:23" ht="21.75" customHeight="1" x14ac:dyDescent="0.6">
      <c r="A613" s="34"/>
      <c r="B613" s="485"/>
      <c r="C613" s="34"/>
      <c r="D613" s="36"/>
      <c r="E613" s="36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</row>
    <row r="614" spans="1:23" ht="21.75" customHeight="1" x14ac:dyDescent="0.6">
      <c r="A614" s="34"/>
      <c r="B614" s="485"/>
      <c r="C614" s="34"/>
      <c r="D614" s="36"/>
      <c r="E614" s="36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</row>
    <row r="615" spans="1:23" ht="21.75" customHeight="1" x14ac:dyDescent="0.6">
      <c r="A615" s="34"/>
      <c r="B615" s="485"/>
      <c r="C615" s="34"/>
      <c r="D615" s="36"/>
      <c r="E615" s="36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</row>
    <row r="616" spans="1:23" ht="21.75" customHeight="1" x14ac:dyDescent="0.6">
      <c r="A616" s="34"/>
      <c r="B616" s="485"/>
      <c r="C616" s="34"/>
      <c r="D616" s="36"/>
      <c r="E616" s="36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</row>
    <row r="617" spans="1:23" ht="21.75" customHeight="1" x14ac:dyDescent="0.6">
      <c r="A617" s="34"/>
      <c r="B617" s="485"/>
      <c r="C617" s="34"/>
      <c r="D617" s="36"/>
      <c r="E617" s="36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</row>
    <row r="618" spans="1:23" ht="21.75" customHeight="1" x14ac:dyDescent="0.6">
      <c r="A618" s="34"/>
      <c r="B618" s="485"/>
      <c r="C618" s="34"/>
      <c r="D618" s="36"/>
      <c r="E618" s="36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</row>
    <row r="619" spans="1:23" ht="21.75" customHeight="1" x14ac:dyDescent="0.6">
      <c r="A619" s="34"/>
      <c r="B619" s="485"/>
      <c r="C619" s="34"/>
      <c r="D619" s="36"/>
      <c r="E619" s="36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</row>
    <row r="620" spans="1:23" ht="21.75" customHeight="1" x14ac:dyDescent="0.6">
      <c r="A620" s="34"/>
      <c r="B620" s="485"/>
      <c r="C620" s="34"/>
      <c r="D620" s="36"/>
      <c r="E620" s="36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</row>
    <row r="621" spans="1:23" ht="21.75" customHeight="1" x14ac:dyDescent="0.6">
      <c r="A621" s="34"/>
      <c r="B621" s="485"/>
      <c r="C621" s="34"/>
      <c r="D621" s="36"/>
      <c r="E621" s="36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</row>
    <row r="622" spans="1:23" ht="21.75" customHeight="1" x14ac:dyDescent="0.6">
      <c r="A622" s="34"/>
      <c r="B622" s="485"/>
      <c r="C622" s="34"/>
      <c r="D622" s="36"/>
      <c r="E622" s="36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</row>
    <row r="623" spans="1:23" ht="21.75" customHeight="1" x14ac:dyDescent="0.6">
      <c r="A623" s="34"/>
      <c r="B623" s="485"/>
      <c r="C623" s="34"/>
      <c r="D623" s="36"/>
      <c r="E623" s="36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</row>
    <row r="624" spans="1:23" ht="21.75" customHeight="1" x14ac:dyDescent="0.6">
      <c r="A624" s="34"/>
      <c r="B624" s="485"/>
      <c r="C624" s="34"/>
      <c r="D624" s="36"/>
      <c r="E624" s="36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</row>
    <row r="625" spans="1:23" ht="21.75" customHeight="1" x14ac:dyDescent="0.6">
      <c r="A625" s="34"/>
      <c r="B625" s="485"/>
      <c r="C625" s="34"/>
      <c r="D625" s="36"/>
      <c r="E625" s="36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</row>
    <row r="626" spans="1:23" ht="21.75" customHeight="1" x14ac:dyDescent="0.6">
      <c r="A626" s="34"/>
      <c r="B626" s="485"/>
      <c r="C626" s="34"/>
      <c r="D626" s="36"/>
      <c r="E626" s="36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</row>
    <row r="627" spans="1:23" ht="21.75" customHeight="1" x14ac:dyDescent="0.6">
      <c r="A627" s="34"/>
      <c r="B627" s="485"/>
      <c r="C627" s="34"/>
      <c r="D627" s="36"/>
      <c r="E627" s="36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</row>
    <row r="628" spans="1:23" ht="21.75" customHeight="1" x14ac:dyDescent="0.6">
      <c r="A628" s="34"/>
      <c r="B628" s="485"/>
      <c r="C628" s="34"/>
      <c r="D628" s="36"/>
      <c r="E628" s="36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</row>
    <row r="629" spans="1:23" ht="21.75" customHeight="1" x14ac:dyDescent="0.6">
      <c r="A629" s="34"/>
      <c r="B629" s="485"/>
      <c r="C629" s="34"/>
      <c r="D629" s="36"/>
      <c r="E629" s="36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</row>
    <row r="630" spans="1:23" ht="21.75" customHeight="1" x14ac:dyDescent="0.6">
      <c r="A630" s="34"/>
      <c r="B630" s="485"/>
      <c r="C630" s="34"/>
      <c r="D630" s="36"/>
      <c r="E630" s="36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</row>
    <row r="631" spans="1:23" ht="21.75" customHeight="1" x14ac:dyDescent="0.6">
      <c r="A631" s="34"/>
      <c r="B631" s="485"/>
      <c r="C631" s="34"/>
      <c r="D631" s="36"/>
      <c r="E631" s="36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</row>
    <row r="632" spans="1:23" ht="21.75" customHeight="1" x14ac:dyDescent="0.6">
      <c r="A632" s="34"/>
      <c r="B632" s="485"/>
      <c r="C632" s="34"/>
      <c r="D632" s="36"/>
      <c r="E632" s="36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</row>
    <row r="633" spans="1:23" ht="21.75" customHeight="1" x14ac:dyDescent="0.6">
      <c r="A633" s="34"/>
      <c r="B633" s="485"/>
      <c r="C633" s="34"/>
      <c r="D633" s="36"/>
      <c r="E633" s="36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</row>
    <row r="634" spans="1:23" ht="21.75" customHeight="1" x14ac:dyDescent="0.6">
      <c r="A634" s="34"/>
      <c r="B634" s="485"/>
      <c r="C634" s="34"/>
      <c r="D634" s="36"/>
      <c r="E634" s="36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</row>
    <row r="635" spans="1:23" ht="21.75" customHeight="1" x14ac:dyDescent="0.6">
      <c r="A635" s="34"/>
      <c r="B635" s="485"/>
      <c r="C635" s="34"/>
      <c r="D635" s="36"/>
      <c r="E635" s="36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</row>
    <row r="636" spans="1:23" ht="21.75" customHeight="1" x14ac:dyDescent="0.6">
      <c r="A636" s="34"/>
      <c r="B636" s="485"/>
      <c r="C636" s="34"/>
      <c r="D636" s="36"/>
      <c r="E636" s="36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</row>
    <row r="637" spans="1:23" ht="21.75" customHeight="1" x14ac:dyDescent="0.6">
      <c r="A637" s="34"/>
      <c r="B637" s="485"/>
      <c r="C637" s="34"/>
      <c r="D637" s="36"/>
      <c r="E637" s="36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</row>
    <row r="638" spans="1:23" ht="21.75" customHeight="1" x14ac:dyDescent="0.6">
      <c r="A638" s="34"/>
      <c r="B638" s="485"/>
      <c r="C638" s="34"/>
      <c r="D638" s="36"/>
      <c r="E638" s="36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</row>
    <row r="639" spans="1:23" ht="21.75" customHeight="1" x14ac:dyDescent="0.6">
      <c r="A639" s="34"/>
      <c r="B639" s="485"/>
      <c r="C639" s="34"/>
      <c r="D639" s="36"/>
      <c r="E639" s="36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</row>
    <row r="640" spans="1:23" ht="21.75" customHeight="1" x14ac:dyDescent="0.6">
      <c r="A640" s="34"/>
      <c r="B640" s="485"/>
      <c r="C640" s="34"/>
      <c r="D640" s="36"/>
      <c r="E640" s="36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</row>
    <row r="641" spans="1:23" ht="21.75" customHeight="1" x14ac:dyDescent="0.6">
      <c r="A641" s="34"/>
      <c r="B641" s="485"/>
      <c r="C641" s="34"/>
      <c r="D641" s="36"/>
      <c r="E641" s="36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</row>
    <row r="642" spans="1:23" ht="21.75" customHeight="1" x14ac:dyDescent="0.6">
      <c r="A642" s="34"/>
      <c r="B642" s="485"/>
      <c r="C642" s="34"/>
      <c r="D642" s="36"/>
      <c r="E642" s="36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</row>
    <row r="643" spans="1:23" ht="21.75" customHeight="1" x14ac:dyDescent="0.6">
      <c r="A643" s="34"/>
      <c r="B643" s="485"/>
      <c r="C643" s="34"/>
      <c r="D643" s="36"/>
      <c r="E643" s="36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</row>
    <row r="644" spans="1:23" ht="21.75" customHeight="1" x14ac:dyDescent="0.6">
      <c r="A644" s="34"/>
      <c r="B644" s="485"/>
      <c r="C644" s="34"/>
      <c r="D644" s="36"/>
      <c r="E644" s="36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</row>
    <row r="645" spans="1:23" ht="21.75" customHeight="1" x14ac:dyDescent="0.6">
      <c r="A645" s="34"/>
      <c r="B645" s="485"/>
      <c r="C645" s="34"/>
      <c r="D645" s="36"/>
      <c r="E645" s="36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</row>
    <row r="646" spans="1:23" ht="21.75" customHeight="1" x14ac:dyDescent="0.6">
      <c r="A646" s="34"/>
      <c r="B646" s="485"/>
      <c r="C646" s="34"/>
      <c r="D646" s="36"/>
      <c r="E646" s="36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</row>
    <row r="647" spans="1:23" ht="21.75" customHeight="1" x14ac:dyDescent="0.6">
      <c r="A647" s="34"/>
      <c r="B647" s="485"/>
      <c r="C647" s="34"/>
      <c r="D647" s="36"/>
      <c r="E647" s="36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</row>
    <row r="648" spans="1:23" ht="21.75" customHeight="1" x14ac:dyDescent="0.6">
      <c r="A648" s="34"/>
      <c r="B648" s="485"/>
      <c r="C648" s="34"/>
      <c r="D648" s="36"/>
      <c r="E648" s="36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</row>
    <row r="649" spans="1:23" ht="21.75" customHeight="1" x14ac:dyDescent="0.6">
      <c r="A649" s="34"/>
      <c r="B649" s="485"/>
      <c r="C649" s="34"/>
      <c r="D649" s="36"/>
      <c r="E649" s="36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</row>
    <row r="650" spans="1:23" ht="21.75" customHeight="1" x14ac:dyDescent="0.6">
      <c r="A650" s="34"/>
      <c r="B650" s="485"/>
      <c r="C650" s="34"/>
      <c r="D650" s="36"/>
      <c r="E650" s="36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</row>
    <row r="651" spans="1:23" ht="21.75" customHeight="1" x14ac:dyDescent="0.6">
      <c r="A651" s="34"/>
      <c r="B651" s="485"/>
      <c r="C651" s="34"/>
      <c r="D651" s="36"/>
      <c r="E651" s="36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</row>
    <row r="652" spans="1:23" ht="21.75" customHeight="1" x14ac:dyDescent="0.6">
      <c r="A652" s="34"/>
      <c r="B652" s="485"/>
      <c r="C652" s="34"/>
      <c r="D652" s="36"/>
      <c r="E652" s="36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</row>
    <row r="653" spans="1:23" ht="21.75" customHeight="1" x14ac:dyDescent="0.6">
      <c r="A653" s="34"/>
      <c r="B653" s="485"/>
      <c r="C653" s="34"/>
      <c r="D653" s="36"/>
      <c r="E653" s="36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</row>
    <row r="654" spans="1:23" ht="21.75" customHeight="1" x14ac:dyDescent="0.6">
      <c r="A654" s="34"/>
      <c r="B654" s="485"/>
      <c r="C654" s="34"/>
      <c r="D654" s="36"/>
      <c r="E654" s="36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</row>
    <row r="655" spans="1:23" ht="21.75" customHeight="1" x14ac:dyDescent="0.6">
      <c r="A655" s="34"/>
      <c r="B655" s="485"/>
      <c r="C655" s="34"/>
      <c r="D655" s="36"/>
      <c r="E655" s="36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</row>
    <row r="656" spans="1:23" ht="21.75" customHeight="1" x14ac:dyDescent="0.6">
      <c r="A656" s="34"/>
      <c r="B656" s="485"/>
      <c r="C656" s="34"/>
      <c r="D656" s="36"/>
      <c r="E656" s="36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</row>
    <row r="657" spans="1:23" ht="21.75" customHeight="1" x14ac:dyDescent="0.6">
      <c r="A657" s="34"/>
      <c r="B657" s="485"/>
      <c r="C657" s="34"/>
      <c r="D657" s="36"/>
      <c r="E657" s="36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</row>
    <row r="658" spans="1:23" ht="21.75" customHeight="1" x14ac:dyDescent="0.6">
      <c r="A658" s="34"/>
      <c r="B658" s="485"/>
      <c r="C658" s="34"/>
      <c r="D658" s="36"/>
      <c r="E658" s="36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</row>
    <row r="659" spans="1:23" ht="21.75" customHeight="1" x14ac:dyDescent="0.6">
      <c r="A659" s="34"/>
      <c r="B659" s="485"/>
      <c r="C659" s="34"/>
      <c r="D659" s="36"/>
      <c r="E659" s="36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</row>
    <row r="660" spans="1:23" ht="21.75" customHeight="1" x14ac:dyDescent="0.6">
      <c r="A660" s="34"/>
      <c r="B660" s="485"/>
      <c r="C660" s="34"/>
      <c r="D660" s="36"/>
      <c r="E660" s="36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</row>
    <row r="661" spans="1:23" ht="21.75" customHeight="1" x14ac:dyDescent="0.6">
      <c r="A661" s="34"/>
      <c r="B661" s="485"/>
      <c r="C661" s="34"/>
      <c r="D661" s="36"/>
      <c r="E661" s="36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</row>
    <row r="662" spans="1:23" ht="21.75" customHeight="1" x14ac:dyDescent="0.6">
      <c r="A662" s="34"/>
      <c r="B662" s="485"/>
      <c r="C662" s="34"/>
      <c r="D662" s="36"/>
      <c r="E662" s="36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</row>
    <row r="663" spans="1:23" ht="21.75" customHeight="1" x14ac:dyDescent="0.6">
      <c r="A663" s="34"/>
      <c r="B663" s="485"/>
      <c r="C663" s="34"/>
      <c r="D663" s="36"/>
      <c r="E663" s="36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</row>
    <row r="664" spans="1:23" ht="21.75" customHeight="1" x14ac:dyDescent="0.6">
      <c r="A664" s="34"/>
      <c r="B664" s="485"/>
      <c r="C664" s="34"/>
      <c r="D664" s="36"/>
      <c r="E664" s="36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</row>
    <row r="665" spans="1:23" ht="21.75" customHeight="1" x14ac:dyDescent="0.6">
      <c r="A665" s="34"/>
      <c r="B665" s="485"/>
      <c r="C665" s="34"/>
      <c r="D665" s="36"/>
      <c r="E665" s="36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</row>
    <row r="666" spans="1:23" ht="21.75" customHeight="1" x14ac:dyDescent="0.6">
      <c r="A666" s="34"/>
      <c r="B666" s="485"/>
      <c r="C666" s="34"/>
      <c r="D666" s="36"/>
      <c r="E666" s="36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</row>
    <row r="667" spans="1:23" ht="21.75" customHeight="1" x14ac:dyDescent="0.6">
      <c r="A667" s="34"/>
      <c r="B667" s="485"/>
      <c r="C667" s="34"/>
      <c r="D667" s="36"/>
      <c r="E667" s="36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</row>
    <row r="668" spans="1:23" ht="21.75" customHeight="1" x14ac:dyDescent="0.6">
      <c r="A668" s="34"/>
      <c r="B668" s="485"/>
      <c r="C668" s="34"/>
      <c r="D668" s="36"/>
      <c r="E668" s="36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</row>
    <row r="669" spans="1:23" ht="21.75" customHeight="1" x14ac:dyDescent="0.6">
      <c r="A669" s="34"/>
      <c r="B669" s="485"/>
      <c r="C669" s="34"/>
      <c r="D669" s="36"/>
      <c r="E669" s="36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</row>
    <row r="670" spans="1:23" ht="21.75" customHeight="1" x14ac:dyDescent="0.6">
      <c r="A670" s="34"/>
      <c r="B670" s="485"/>
      <c r="C670" s="34"/>
      <c r="D670" s="36"/>
      <c r="E670" s="36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</row>
    <row r="671" spans="1:23" ht="21.75" customHeight="1" x14ac:dyDescent="0.6">
      <c r="A671" s="34"/>
      <c r="B671" s="485"/>
      <c r="C671" s="34"/>
      <c r="D671" s="36"/>
      <c r="E671" s="36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</row>
    <row r="672" spans="1:23" ht="21.75" customHeight="1" x14ac:dyDescent="0.6">
      <c r="A672" s="34"/>
      <c r="B672" s="485"/>
      <c r="C672" s="34"/>
      <c r="D672" s="36"/>
      <c r="E672" s="36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</row>
    <row r="673" spans="1:23" ht="21.75" customHeight="1" x14ac:dyDescent="0.6">
      <c r="A673" s="34"/>
      <c r="B673" s="485"/>
      <c r="C673" s="34"/>
      <c r="D673" s="36"/>
      <c r="E673" s="36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</row>
    <row r="674" spans="1:23" ht="21.75" customHeight="1" x14ac:dyDescent="0.6">
      <c r="A674" s="34"/>
      <c r="B674" s="485"/>
      <c r="C674" s="34"/>
      <c r="D674" s="36"/>
      <c r="E674" s="36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</row>
    <row r="675" spans="1:23" ht="21.75" customHeight="1" x14ac:dyDescent="0.6">
      <c r="A675" s="34"/>
      <c r="B675" s="485"/>
      <c r="C675" s="34"/>
      <c r="D675" s="36"/>
      <c r="E675" s="36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</row>
    <row r="676" spans="1:23" ht="21.75" customHeight="1" x14ac:dyDescent="0.6">
      <c r="A676" s="34"/>
      <c r="B676" s="485"/>
      <c r="C676" s="34"/>
      <c r="D676" s="36"/>
      <c r="E676" s="36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</row>
    <row r="677" spans="1:23" ht="21.75" customHeight="1" x14ac:dyDescent="0.6">
      <c r="A677" s="34"/>
      <c r="B677" s="485"/>
      <c r="C677" s="34"/>
      <c r="D677" s="36"/>
      <c r="E677" s="36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</row>
    <row r="678" spans="1:23" ht="21.75" customHeight="1" x14ac:dyDescent="0.6">
      <c r="A678" s="34"/>
      <c r="B678" s="485"/>
      <c r="C678" s="34"/>
      <c r="D678" s="36"/>
      <c r="E678" s="36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</row>
    <row r="679" spans="1:23" ht="21.75" customHeight="1" x14ac:dyDescent="0.6">
      <c r="A679" s="34"/>
      <c r="B679" s="485"/>
      <c r="C679" s="34"/>
      <c r="D679" s="36"/>
      <c r="E679" s="36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</row>
    <row r="680" spans="1:23" ht="21.75" customHeight="1" x14ac:dyDescent="0.6">
      <c r="A680" s="34"/>
      <c r="B680" s="485"/>
      <c r="C680" s="34"/>
      <c r="D680" s="36"/>
      <c r="E680" s="36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</row>
    <row r="681" spans="1:23" ht="21.75" customHeight="1" x14ac:dyDescent="0.6">
      <c r="A681" s="34"/>
      <c r="B681" s="485"/>
      <c r="C681" s="34"/>
      <c r="D681" s="36"/>
      <c r="E681" s="36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</row>
    <row r="682" spans="1:23" ht="21.75" customHeight="1" x14ac:dyDescent="0.6">
      <c r="A682" s="34"/>
      <c r="B682" s="485"/>
      <c r="C682" s="34"/>
      <c r="D682" s="36"/>
      <c r="E682" s="36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</row>
    <row r="683" spans="1:23" ht="21.75" customHeight="1" x14ac:dyDescent="0.6">
      <c r="A683" s="34"/>
      <c r="B683" s="485"/>
      <c r="C683" s="34"/>
      <c r="D683" s="36"/>
      <c r="E683" s="36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</row>
    <row r="684" spans="1:23" ht="21.75" customHeight="1" x14ac:dyDescent="0.6">
      <c r="A684" s="34"/>
      <c r="B684" s="485"/>
      <c r="C684" s="34"/>
      <c r="D684" s="36"/>
      <c r="E684" s="36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</row>
    <row r="685" spans="1:23" ht="21.75" customHeight="1" x14ac:dyDescent="0.6">
      <c r="A685" s="34"/>
      <c r="B685" s="485"/>
      <c r="C685" s="34"/>
      <c r="D685" s="36"/>
      <c r="E685" s="36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</row>
    <row r="686" spans="1:23" ht="21.75" customHeight="1" x14ac:dyDescent="0.6">
      <c r="A686" s="34"/>
      <c r="B686" s="485"/>
      <c r="C686" s="34"/>
      <c r="D686" s="36"/>
      <c r="E686" s="36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</row>
    <row r="687" spans="1:23" ht="21.75" customHeight="1" x14ac:dyDescent="0.6">
      <c r="A687" s="34"/>
      <c r="B687" s="485"/>
      <c r="C687" s="34"/>
      <c r="D687" s="36"/>
      <c r="E687" s="36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</row>
    <row r="688" spans="1:23" ht="21.75" customHeight="1" x14ac:dyDescent="0.6">
      <c r="A688" s="34"/>
      <c r="B688" s="485"/>
      <c r="C688" s="34"/>
      <c r="D688" s="36"/>
      <c r="E688" s="36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</row>
    <row r="689" spans="1:23" ht="21.75" customHeight="1" x14ac:dyDescent="0.6">
      <c r="A689" s="34"/>
      <c r="B689" s="485"/>
      <c r="C689" s="34"/>
      <c r="D689" s="36"/>
      <c r="E689" s="36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</row>
    <row r="690" spans="1:23" ht="21.75" customHeight="1" x14ac:dyDescent="0.6">
      <c r="A690" s="34"/>
      <c r="B690" s="485"/>
      <c r="C690" s="34"/>
      <c r="D690" s="36"/>
      <c r="E690" s="36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</row>
    <row r="691" spans="1:23" ht="21.75" customHeight="1" x14ac:dyDescent="0.6">
      <c r="A691" s="34"/>
      <c r="B691" s="485"/>
      <c r="C691" s="34"/>
      <c r="D691" s="36"/>
      <c r="E691" s="36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</row>
    <row r="692" spans="1:23" ht="21.75" customHeight="1" x14ac:dyDescent="0.6">
      <c r="A692" s="34"/>
      <c r="B692" s="485"/>
      <c r="C692" s="34"/>
      <c r="D692" s="36"/>
      <c r="E692" s="36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</row>
    <row r="693" spans="1:23" ht="21.75" customHeight="1" x14ac:dyDescent="0.6">
      <c r="A693" s="34"/>
      <c r="B693" s="485"/>
      <c r="C693" s="34"/>
      <c r="D693" s="36"/>
      <c r="E693" s="36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</row>
    <row r="694" spans="1:23" ht="21.75" customHeight="1" x14ac:dyDescent="0.6">
      <c r="A694" s="34"/>
      <c r="B694" s="485"/>
      <c r="C694" s="34"/>
      <c r="D694" s="36"/>
      <c r="E694" s="36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</row>
    <row r="695" spans="1:23" ht="21.75" customHeight="1" x14ac:dyDescent="0.6">
      <c r="A695" s="34"/>
      <c r="B695" s="485"/>
      <c r="C695" s="34"/>
      <c r="D695" s="36"/>
      <c r="E695" s="36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</row>
    <row r="696" spans="1:23" ht="21.75" customHeight="1" x14ac:dyDescent="0.6">
      <c r="A696" s="34"/>
      <c r="B696" s="485"/>
      <c r="C696" s="34"/>
      <c r="D696" s="36"/>
      <c r="E696" s="36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</row>
    <row r="697" spans="1:23" ht="21.75" customHeight="1" x14ac:dyDescent="0.6">
      <c r="A697" s="34"/>
      <c r="B697" s="485"/>
      <c r="C697" s="34"/>
      <c r="D697" s="36"/>
      <c r="E697" s="36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</row>
    <row r="698" spans="1:23" ht="21.75" customHeight="1" x14ac:dyDescent="0.6">
      <c r="A698" s="34"/>
      <c r="B698" s="485"/>
      <c r="C698" s="34"/>
      <c r="D698" s="36"/>
      <c r="E698" s="36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</row>
    <row r="699" spans="1:23" ht="21.75" customHeight="1" x14ac:dyDescent="0.6">
      <c r="A699" s="34"/>
      <c r="B699" s="485"/>
      <c r="C699" s="34"/>
      <c r="D699" s="36"/>
      <c r="E699" s="36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</row>
    <row r="700" spans="1:23" ht="21.75" customHeight="1" x14ac:dyDescent="0.6">
      <c r="A700" s="34"/>
      <c r="B700" s="485"/>
      <c r="C700" s="34"/>
      <c r="D700" s="36"/>
      <c r="E700" s="36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</row>
    <row r="701" spans="1:23" ht="21.75" customHeight="1" x14ac:dyDescent="0.6">
      <c r="A701" s="34"/>
      <c r="B701" s="485"/>
      <c r="C701" s="34"/>
      <c r="D701" s="36"/>
      <c r="E701" s="36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</row>
    <row r="702" spans="1:23" ht="21.75" customHeight="1" x14ac:dyDescent="0.6">
      <c r="A702" s="34"/>
      <c r="B702" s="485"/>
      <c r="C702" s="34"/>
      <c r="D702" s="36"/>
      <c r="E702" s="36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</row>
    <row r="703" spans="1:23" ht="21.75" customHeight="1" x14ac:dyDescent="0.6">
      <c r="A703" s="34"/>
      <c r="B703" s="485"/>
      <c r="C703" s="34"/>
      <c r="D703" s="36"/>
      <c r="E703" s="36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</row>
    <row r="704" spans="1:23" ht="21.75" customHeight="1" x14ac:dyDescent="0.6">
      <c r="A704" s="34"/>
      <c r="B704" s="485"/>
      <c r="C704" s="34"/>
      <c r="D704" s="36"/>
      <c r="E704" s="36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</row>
    <row r="705" spans="1:23" ht="21.75" customHeight="1" x14ac:dyDescent="0.6">
      <c r="A705" s="34"/>
      <c r="B705" s="485"/>
      <c r="C705" s="34"/>
      <c r="D705" s="36"/>
      <c r="E705" s="36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</row>
    <row r="706" spans="1:23" ht="21.75" customHeight="1" x14ac:dyDescent="0.6">
      <c r="A706" s="34"/>
      <c r="B706" s="485"/>
      <c r="C706" s="34"/>
      <c r="D706" s="36"/>
      <c r="E706" s="36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</row>
    <row r="707" spans="1:23" ht="21.75" customHeight="1" x14ac:dyDescent="0.6">
      <c r="A707" s="34"/>
      <c r="B707" s="485"/>
      <c r="C707" s="34"/>
      <c r="D707" s="36"/>
      <c r="E707" s="36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</row>
    <row r="708" spans="1:23" ht="21.75" customHeight="1" x14ac:dyDescent="0.6">
      <c r="A708" s="34"/>
      <c r="B708" s="485"/>
      <c r="C708" s="34"/>
      <c r="D708" s="36"/>
      <c r="E708" s="36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</row>
    <row r="709" spans="1:23" ht="21.75" customHeight="1" x14ac:dyDescent="0.6">
      <c r="A709" s="34"/>
      <c r="B709" s="485"/>
      <c r="C709" s="34"/>
      <c r="D709" s="36"/>
      <c r="E709" s="36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</row>
    <row r="710" spans="1:23" ht="21.75" customHeight="1" x14ac:dyDescent="0.6">
      <c r="A710" s="34"/>
      <c r="B710" s="485"/>
      <c r="C710" s="34"/>
      <c r="D710" s="36"/>
      <c r="E710" s="36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</row>
    <row r="711" spans="1:23" ht="21.75" customHeight="1" x14ac:dyDescent="0.6">
      <c r="A711" s="34"/>
      <c r="B711" s="485"/>
      <c r="C711" s="34"/>
      <c r="D711" s="36"/>
      <c r="E711" s="36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</row>
    <row r="712" spans="1:23" ht="21.75" customHeight="1" x14ac:dyDescent="0.6">
      <c r="A712" s="34"/>
      <c r="B712" s="485"/>
      <c r="C712" s="34"/>
      <c r="D712" s="36"/>
      <c r="E712" s="36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</row>
    <row r="713" spans="1:23" ht="21.75" customHeight="1" x14ac:dyDescent="0.6">
      <c r="A713" s="34"/>
      <c r="B713" s="485"/>
      <c r="C713" s="34"/>
      <c r="D713" s="36"/>
      <c r="E713" s="36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</row>
    <row r="714" spans="1:23" ht="21.75" customHeight="1" x14ac:dyDescent="0.6">
      <c r="A714" s="34"/>
      <c r="B714" s="485"/>
      <c r="C714" s="34"/>
      <c r="D714" s="36"/>
      <c r="E714" s="36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</row>
    <row r="715" spans="1:23" ht="21.75" customHeight="1" x14ac:dyDescent="0.6">
      <c r="A715" s="34"/>
      <c r="B715" s="485"/>
      <c r="C715" s="34"/>
      <c r="D715" s="36"/>
      <c r="E715" s="36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</row>
    <row r="716" spans="1:23" ht="21.75" customHeight="1" x14ac:dyDescent="0.6">
      <c r="A716" s="34"/>
      <c r="B716" s="485"/>
      <c r="C716" s="34"/>
      <c r="D716" s="36"/>
      <c r="E716" s="36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</row>
    <row r="717" spans="1:23" ht="21.75" customHeight="1" x14ac:dyDescent="0.6">
      <c r="A717" s="34"/>
      <c r="B717" s="485"/>
      <c r="C717" s="34"/>
      <c r="D717" s="36"/>
      <c r="E717" s="36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</row>
    <row r="718" spans="1:23" ht="21.75" customHeight="1" x14ac:dyDescent="0.6">
      <c r="A718" s="34"/>
      <c r="B718" s="485"/>
      <c r="C718" s="34"/>
      <c r="D718" s="36"/>
      <c r="E718" s="36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</row>
    <row r="719" spans="1:23" ht="21.75" customHeight="1" x14ac:dyDescent="0.6">
      <c r="A719" s="34"/>
      <c r="B719" s="485"/>
      <c r="C719" s="34"/>
      <c r="D719" s="36"/>
      <c r="E719" s="36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</row>
    <row r="720" spans="1:23" ht="21.75" customHeight="1" x14ac:dyDescent="0.6">
      <c r="A720" s="34"/>
      <c r="B720" s="485"/>
      <c r="C720" s="34"/>
      <c r="D720" s="36"/>
      <c r="E720" s="36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</row>
    <row r="721" spans="1:23" ht="21.75" customHeight="1" x14ac:dyDescent="0.6">
      <c r="A721" s="34"/>
      <c r="B721" s="485"/>
      <c r="C721" s="34"/>
      <c r="D721" s="36"/>
      <c r="E721" s="36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</row>
    <row r="722" spans="1:23" ht="21.75" customHeight="1" x14ac:dyDescent="0.6">
      <c r="A722" s="34"/>
      <c r="B722" s="485"/>
      <c r="C722" s="34"/>
      <c r="D722" s="36"/>
      <c r="E722" s="36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</row>
    <row r="723" spans="1:23" ht="21.75" customHeight="1" x14ac:dyDescent="0.6">
      <c r="A723" s="34"/>
      <c r="B723" s="485"/>
      <c r="C723" s="34"/>
      <c r="D723" s="36"/>
      <c r="E723" s="36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</row>
    <row r="724" spans="1:23" ht="21.75" customHeight="1" x14ac:dyDescent="0.6">
      <c r="A724" s="34"/>
      <c r="B724" s="485"/>
      <c r="C724" s="34"/>
      <c r="D724" s="36"/>
      <c r="E724" s="36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</row>
    <row r="725" spans="1:23" ht="21.75" customHeight="1" x14ac:dyDescent="0.6">
      <c r="A725" s="34"/>
      <c r="B725" s="485"/>
      <c r="C725" s="34"/>
      <c r="D725" s="36"/>
      <c r="E725" s="36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</row>
    <row r="726" spans="1:23" ht="21.75" customHeight="1" x14ac:dyDescent="0.6">
      <c r="A726" s="34"/>
      <c r="B726" s="485"/>
      <c r="C726" s="34"/>
      <c r="D726" s="36"/>
      <c r="E726" s="36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</row>
    <row r="727" spans="1:23" ht="21.75" customHeight="1" x14ac:dyDescent="0.6">
      <c r="A727" s="34"/>
      <c r="B727" s="485"/>
      <c r="C727" s="34"/>
      <c r="D727" s="36"/>
      <c r="E727" s="36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</row>
    <row r="728" spans="1:23" ht="21.75" customHeight="1" x14ac:dyDescent="0.6">
      <c r="A728" s="34"/>
      <c r="B728" s="485"/>
      <c r="C728" s="34"/>
      <c r="D728" s="36"/>
      <c r="E728" s="36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</row>
    <row r="729" spans="1:23" ht="21.75" customHeight="1" x14ac:dyDescent="0.6">
      <c r="A729" s="34"/>
      <c r="B729" s="485"/>
      <c r="C729" s="34"/>
      <c r="D729" s="36"/>
      <c r="E729" s="36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</row>
    <row r="730" spans="1:23" ht="21.75" customHeight="1" x14ac:dyDescent="0.6">
      <c r="A730" s="34"/>
      <c r="B730" s="485"/>
      <c r="C730" s="34"/>
      <c r="D730" s="36"/>
      <c r="E730" s="36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</row>
    <row r="731" spans="1:23" ht="21.75" customHeight="1" x14ac:dyDescent="0.6">
      <c r="A731" s="34"/>
      <c r="B731" s="485"/>
      <c r="C731" s="34"/>
      <c r="D731" s="36"/>
      <c r="E731" s="36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</row>
    <row r="732" spans="1:23" ht="21.75" customHeight="1" x14ac:dyDescent="0.6">
      <c r="A732" s="34"/>
      <c r="B732" s="485"/>
      <c r="C732" s="34"/>
      <c r="D732" s="36"/>
      <c r="E732" s="36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</row>
    <row r="733" spans="1:23" ht="21.75" customHeight="1" x14ac:dyDescent="0.6">
      <c r="A733" s="34"/>
      <c r="B733" s="485"/>
      <c r="C733" s="34"/>
      <c r="D733" s="36"/>
      <c r="E733" s="36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</row>
    <row r="734" spans="1:23" ht="21.75" customHeight="1" x14ac:dyDescent="0.6">
      <c r="A734" s="34"/>
      <c r="B734" s="485"/>
      <c r="C734" s="34"/>
      <c r="D734" s="36"/>
      <c r="E734" s="36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</row>
    <row r="735" spans="1:23" ht="21.75" customHeight="1" x14ac:dyDescent="0.6">
      <c r="A735" s="34"/>
      <c r="B735" s="485"/>
      <c r="C735" s="34"/>
      <c r="D735" s="36"/>
      <c r="E735" s="36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</row>
    <row r="736" spans="1:23" ht="21.75" customHeight="1" x14ac:dyDescent="0.6">
      <c r="A736" s="34"/>
      <c r="B736" s="485"/>
      <c r="C736" s="34"/>
      <c r="D736" s="36"/>
      <c r="E736" s="36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</row>
    <row r="737" spans="1:23" ht="21.75" customHeight="1" x14ac:dyDescent="0.6">
      <c r="A737" s="34"/>
      <c r="B737" s="485"/>
      <c r="C737" s="34"/>
      <c r="D737" s="36"/>
      <c r="E737" s="36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</row>
    <row r="738" spans="1:23" ht="21.75" customHeight="1" x14ac:dyDescent="0.6">
      <c r="A738" s="34"/>
      <c r="B738" s="485"/>
      <c r="C738" s="34"/>
      <c r="D738" s="36"/>
      <c r="E738" s="36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</row>
    <row r="739" spans="1:23" ht="21.75" customHeight="1" x14ac:dyDescent="0.6">
      <c r="A739" s="34"/>
      <c r="B739" s="485"/>
      <c r="C739" s="34"/>
      <c r="D739" s="36"/>
      <c r="E739" s="36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</row>
    <row r="740" spans="1:23" ht="21.75" customHeight="1" x14ac:dyDescent="0.6">
      <c r="A740" s="34"/>
      <c r="B740" s="485"/>
      <c r="C740" s="34"/>
      <c r="D740" s="36"/>
      <c r="E740" s="36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</row>
    <row r="741" spans="1:23" ht="21.75" customHeight="1" x14ac:dyDescent="0.6">
      <c r="A741" s="34"/>
      <c r="B741" s="485"/>
      <c r="C741" s="34"/>
      <c r="D741" s="36"/>
      <c r="E741" s="36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</row>
    <row r="742" spans="1:23" ht="21.75" customHeight="1" x14ac:dyDescent="0.6">
      <c r="A742" s="34"/>
      <c r="B742" s="485"/>
      <c r="C742" s="34"/>
      <c r="D742" s="36"/>
      <c r="E742" s="36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</row>
    <row r="743" spans="1:23" ht="21.75" customHeight="1" x14ac:dyDescent="0.6">
      <c r="A743" s="34"/>
      <c r="B743" s="485"/>
      <c r="C743" s="34"/>
      <c r="D743" s="36"/>
      <c r="E743" s="36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</row>
    <row r="744" spans="1:23" ht="21.75" customHeight="1" x14ac:dyDescent="0.6">
      <c r="A744" s="34"/>
      <c r="B744" s="485"/>
      <c r="C744" s="34"/>
      <c r="D744" s="36"/>
      <c r="E744" s="36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</row>
    <row r="745" spans="1:23" ht="21.75" customHeight="1" x14ac:dyDescent="0.6">
      <c r="A745" s="34"/>
      <c r="B745" s="485"/>
      <c r="C745" s="34"/>
      <c r="D745" s="36"/>
      <c r="E745" s="36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</row>
    <row r="746" spans="1:23" ht="21.75" customHeight="1" x14ac:dyDescent="0.6">
      <c r="A746" s="34"/>
      <c r="B746" s="485"/>
      <c r="C746" s="34"/>
      <c r="D746" s="36"/>
      <c r="E746" s="36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</row>
    <row r="747" spans="1:23" ht="21.75" customHeight="1" x14ac:dyDescent="0.6">
      <c r="A747" s="34"/>
      <c r="B747" s="485"/>
      <c r="C747" s="34"/>
      <c r="D747" s="36"/>
      <c r="E747" s="36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</row>
    <row r="748" spans="1:23" ht="21.75" customHeight="1" x14ac:dyDescent="0.6">
      <c r="A748" s="34"/>
      <c r="B748" s="485"/>
      <c r="C748" s="34"/>
      <c r="D748" s="36"/>
      <c r="E748" s="36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</row>
    <row r="749" spans="1:23" ht="21.75" customHeight="1" x14ac:dyDescent="0.6">
      <c r="A749" s="34"/>
      <c r="B749" s="485"/>
      <c r="C749" s="34"/>
      <c r="D749" s="36"/>
      <c r="E749" s="36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</row>
    <row r="750" spans="1:23" ht="21.75" customHeight="1" x14ac:dyDescent="0.6">
      <c r="A750" s="34"/>
      <c r="B750" s="485"/>
      <c r="C750" s="34"/>
      <c r="D750" s="36"/>
      <c r="E750" s="36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</row>
    <row r="751" spans="1:23" ht="21.75" customHeight="1" x14ac:dyDescent="0.6">
      <c r="A751" s="34"/>
      <c r="B751" s="485"/>
      <c r="C751" s="34"/>
      <c r="D751" s="36"/>
      <c r="E751" s="36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</row>
    <row r="752" spans="1:23" ht="21.75" customHeight="1" x14ac:dyDescent="0.6">
      <c r="A752" s="34"/>
      <c r="B752" s="485"/>
      <c r="C752" s="34"/>
      <c r="D752" s="36"/>
      <c r="E752" s="36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</row>
    <row r="753" spans="1:23" ht="21.75" customHeight="1" x14ac:dyDescent="0.6">
      <c r="A753" s="34"/>
      <c r="B753" s="485"/>
      <c r="C753" s="34"/>
      <c r="D753" s="36"/>
      <c r="E753" s="36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</row>
    <row r="754" spans="1:23" ht="21.75" customHeight="1" x14ac:dyDescent="0.6">
      <c r="A754" s="34"/>
      <c r="B754" s="485"/>
      <c r="C754" s="34"/>
      <c r="D754" s="36"/>
      <c r="E754" s="36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</row>
    <row r="755" spans="1:23" ht="21.75" customHeight="1" x14ac:dyDescent="0.6">
      <c r="A755" s="34"/>
      <c r="B755" s="485"/>
      <c r="C755" s="34"/>
      <c r="D755" s="36"/>
      <c r="E755" s="36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</row>
    <row r="756" spans="1:23" ht="21.75" customHeight="1" x14ac:dyDescent="0.6">
      <c r="A756" s="34"/>
      <c r="B756" s="485"/>
      <c r="C756" s="34"/>
      <c r="D756" s="36"/>
      <c r="E756" s="36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</row>
    <row r="757" spans="1:23" ht="21.75" customHeight="1" x14ac:dyDescent="0.6">
      <c r="A757" s="34"/>
      <c r="B757" s="485"/>
      <c r="C757" s="34"/>
      <c r="D757" s="36"/>
      <c r="E757" s="36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</row>
    <row r="758" spans="1:23" ht="21.75" customHeight="1" x14ac:dyDescent="0.6">
      <c r="A758" s="34"/>
      <c r="B758" s="485"/>
      <c r="C758" s="34"/>
      <c r="D758" s="36"/>
      <c r="E758" s="36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</row>
    <row r="759" spans="1:23" ht="21.75" customHeight="1" x14ac:dyDescent="0.6">
      <c r="A759" s="34"/>
      <c r="B759" s="485"/>
      <c r="C759" s="34"/>
      <c r="D759" s="36"/>
      <c r="E759" s="36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</row>
    <row r="760" spans="1:23" ht="21.75" customHeight="1" x14ac:dyDescent="0.6">
      <c r="A760" s="34"/>
      <c r="B760" s="485"/>
      <c r="C760" s="34"/>
      <c r="D760" s="36"/>
      <c r="E760" s="36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</row>
    <row r="761" spans="1:23" ht="21.75" customHeight="1" x14ac:dyDescent="0.6">
      <c r="A761" s="34"/>
      <c r="B761" s="485"/>
      <c r="C761" s="34"/>
      <c r="D761" s="36"/>
      <c r="E761" s="36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</row>
    <row r="762" spans="1:23" ht="21.75" customHeight="1" x14ac:dyDescent="0.6">
      <c r="A762" s="34"/>
      <c r="B762" s="485"/>
      <c r="C762" s="34"/>
      <c r="D762" s="36"/>
      <c r="E762" s="36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</row>
    <row r="763" spans="1:23" ht="21.75" customHeight="1" x14ac:dyDescent="0.6">
      <c r="A763" s="34"/>
      <c r="B763" s="485"/>
      <c r="C763" s="34"/>
      <c r="D763" s="36"/>
      <c r="E763" s="36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</row>
    <row r="764" spans="1:23" ht="21.75" customHeight="1" x14ac:dyDescent="0.6">
      <c r="A764" s="34"/>
      <c r="B764" s="485"/>
      <c r="C764" s="34"/>
      <c r="D764" s="36"/>
      <c r="E764" s="36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</row>
    <row r="765" spans="1:23" ht="21.75" customHeight="1" x14ac:dyDescent="0.6">
      <c r="A765" s="34"/>
      <c r="B765" s="485"/>
      <c r="C765" s="34"/>
      <c r="D765" s="36"/>
      <c r="E765" s="36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</row>
    <row r="766" spans="1:23" ht="21.75" customHeight="1" x14ac:dyDescent="0.6">
      <c r="A766" s="34"/>
      <c r="B766" s="485"/>
      <c r="C766" s="34"/>
      <c r="D766" s="36"/>
      <c r="E766" s="36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</row>
    <row r="767" spans="1:23" ht="21.75" customHeight="1" x14ac:dyDescent="0.6">
      <c r="A767" s="34"/>
      <c r="B767" s="485"/>
      <c r="C767" s="34"/>
      <c r="D767" s="36"/>
      <c r="E767" s="36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</row>
    <row r="768" spans="1:23" ht="21.75" customHeight="1" x14ac:dyDescent="0.6">
      <c r="A768" s="34"/>
      <c r="B768" s="485"/>
      <c r="C768" s="34"/>
      <c r="D768" s="36"/>
      <c r="E768" s="36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</row>
    <row r="769" spans="1:23" ht="21.75" customHeight="1" x14ac:dyDescent="0.6">
      <c r="A769" s="34"/>
      <c r="B769" s="485"/>
      <c r="C769" s="34"/>
      <c r="D769" s="36"/>
      <c r="E769" s="36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</row>
    <row r="770" spans="1:23" ht="21.75" customHeight="1" x14ac:dyDescent="0.6">
      <c r="A770" s="34"/>
      <c r="B770" s="485"/>
      <c r="C770" s="34"/>
      <c r="D770" s="36"/>
      <c r="E770" s="36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</row>
    <row r="771" spans="1:23" ht="21.75" customHeight="1" x14ac:dyDescent="0.6">
      <c r="A771" s="34"/>
      <c r="B771" s="485"/>
      <c r="C771" s="34"/>
      <c r="D771" s="36"/>
      <c r="E771" s="36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</row>
    <row r="772" spans="1:23" ht="21.75" customHeight="1" x14ac:dyDescent="0.6">
      <c r="A772" s="34"/>
      <c r="B772" s="485"/>
      <c r="C772" s="34"/>
      <c r="D772" s="36"/>
      <c r="E772" s="36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</row>
    <row r="773" spans="1:23" ht="21.75" customHeight="1" x14ac:dyDescent="0.6">
      <c r="A773" s="34"/>
      <c r="B773" s="485"/>
      <c r="C773" s="34"/>
      <c r="D773" s="36"/>
      <c r="E773" s="36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</row>
    <row r="774" spans="1:23" ht="21.75" customHeight="1" x14ac:dyDescent="0.6">
      <c r="A774" s="34"/>
      <c r="B774" s="485"/>
      <c r="C774" s="34"/>
      <c r="D774" s="36"/>
      <c r="E774" s="36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</row>
    <row r="775" spans="1:23" ht="21.75" customHeight="1" x14ac:dyDescent="0.6">
      <c r="A775" s="34"/>
      <c r="B775" s="485"/>
      <c r="C775" s="34"/>
      <c r="D775" s="36"/>
      <c r="E775" s="36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</row>
    <row r="776" spans="1:23" ht="21.75" customHeight="1" x14ac:dyDescent="0.6">
      <c r="A776" s="34"/>
      <c r="B776" s="485"/>
      <c r="C776" s="34"/>
      <c r="D776" s="36"/>
      <c r="E776" s="36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</row>
    <row r="777" spans="1:23" ht="21.75" customHeight="1" x14ac:dyDescent="0.6">
      <c r="A777" s="34"/>
      <c r="B777" s="485"/>
      <c r="C777" s="34"/>
      <c r="D777" s="36"/>
      <c r="E777" s="36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</row>
    <row r="778" spans="1:23" ht="21.75" customHeight="1" x14ac:dyDescent="0.6">
      <c r="A778" s="34"/>
      <c r="B778" s="485"/>
      <c r="C778" s="34"/>
      <c r="D778" s="36"/>
      <c r="E778" s="36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</row>
    <row r="779" spans="1:23" ht="21.75" customHeight="1" x14ac:dyDescent="0.6">
      <c r="A779" s="34"/>
      <c r="B779" s="485"/>
      <c r="C779" s="34"/>
      <c r="D779" s="36"/>
      <c r="E779" s="36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</row>
    <row r="780" spans="1:23" ht="21.75" customHeight="1" x14ac:dyDescent="0.6">
      <c r="A780" s="34"/>
      <c r="B780" s="485"/>
      <c r="C780" s="34"/>
      <c r="D780" s="36"/>
      <c r="E780" s="36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</row>
    <row r="781" spans="1:23" ht="21.75" customHeight="1" x14ac:dyDescent="0.6">
      <c r="A781" s="34"/>
      <c r="B781" s="485"/>
      <c r="C781" s="34"/>
      <c r="D781" s="36"/>
      <c r="E781" s="36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</row>
    <row r="782" spans="1:23" ht="21.75" customHeight="1" x14ac:dyDescent="0.6">
      <c r="A782" s="34"/>
      <c r="B782" s="485"/>
      <c r="C782" s="34"/>
      <c r="D782" s="36"/>
      <c r="E782" s="36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</row>
    <row r="783" spans="1:23" ht="21.75" customHeight="1" x14ac:dyDescent="0.6">
      <c r="A783" s="34"/>
      <c r="B783" s="485"/>
      <c r="C783" s="34"/>
      <c r="D783" s="36"/>
      <c r="E783" s="36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</row>
    <row r="784" spans="1:23" ht="21.75" customHeight="1" x14ac:dyDescent="0.6">
      <c r="A784" s="34"/>
      <c r="B784" s="485"/>
      <c r="C784" s="34"/>
      <c r="D784" s="36"/>
      <c r="E784" s="36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</row>
    <row r="785" spans="1:23" ht="21.75" customHeight="1" x14ac:dyDescent="0.6">
      <c r="A785" s="34"/>
      <c r="B785" s="485"/>
      <c r="C785" s="34"/>
      <c r="D785" s="36"/>
      <c r="E785" s="36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</row>
    <row r="786" spans="1:23" ht="21.75" customHeight="1" x14ac:dyDescent="0.6">
      <c r="A786" s="34"/>
      <c r="B786" s="485"/>
      <c r="C786" s="34"/>
      <c r="D786" s="36"/>
      <c r="E786" s="36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</row>
    <row r="787" spans="1:23" ht="21.75" customHeight="1" x14ac:dyDescent="0.6">
      <c r="A787" s="34"/>
      <c r="B787" s="485"/>
      <c r="C787" s="34"/>
      <c r="D787" s="36"/>
      <c r="E787" s="36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</row>
    <row r="788" spans="1:23" ht="21.75" customHeight="1" x14ac:dyDescent="0.6">
      <c r="A788" s="34"/>
      <c r="B788" s="485"/>
      <c r="C788" s="34"/>
      <c r="D788" s="36"/>
      <c r="E788" s="36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</row>
    <row r="789" spans="1:23" ht="21.75" customHeight="1" x14ac:dyDescent="0.6">
      <c r="A789" s="34"/>
      <c r="B789" s="485"/>
      <c r="C789" s="34"/>
      <c r="D789" s="36"/>
      <c r="E789" s="36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</row>
    <row r="790" spans="1:23" ht="21.75" customHeight="1" x14ac:dyDescent="0.6">
      <c r="A790" s="34"/>
      <c r="B790" s="485"/>
      <c r="C790" s="34"/>
      <c r="D790" s="36"/>
      <c r="E790" s="36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</row>
    <row r="791" spans="1:23" ht="21.75" customHeight="1" x14ac:dyDescent="0.6">
      <c r="A791" s="34"/>
      <c r="B791" s="485"/>
      <c r="C791" s="34"/>
      <c r="D791" s="36"/>
      <c r="E791" s="36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</row>
    <row r="792" spans="1:23" ht="21.75" customHeight="1" x14ac:dyDescent="0.6">
      <c r="A792" s="34"/>
      <c r="B792" s="485"/>
      <c r="C792" s="34"/>
      <c r="D792" s="36"/>
      <c r="E792" s="36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</row>
    <row r="793" spans="1:23" ht="21.75" customHeight="1" x14ac:dyDescent="0.6">
      <c r="A793" s="34"/>
      <c r="B793" s="485"/>
      <c r="C793" s="34"/>
      <c r="D793" s="36"/>
      <c r="E793" s="36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</row>
    <row r="794" spans="1:23" ht="21.75" customHeight="1" x14ac:dyDescent="0.6">
      <c r="A794" s="34"/>
      <c r="B794" s="485"/>
      <c r="C794" s="34"/>
      <c r="D794" s="36"/>
      <c r="E794" s="36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</row>
    <row r="795" spans="1:23" ht="21.75" customHeight="1" x14ac:dyDescent="0.6">
      <c r="A795" s="34"/>
      <c r="B795" s="485"/>
      <c r="C795" s="34"/>
      <c r="D795" s="36"/>
      <c r="E795" s="36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</row>
    <row r="796" spans="1:23" ht="21.75" customHeight="1" x14ac:dyDescent="0.6">
      <c r="A796" s="34"/>
      <c r="B796" s="485"/>
      <c r="C796" s="34"/>
      <c r="D796" s="36"/>
      <c r="E796" s="36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</row>
    <row r="797" spans="1:23" ht="21.75" customHeight="1" x14ac:dyDescent="0.6">
      <c r="A797" s="34"/>
      <c r="B797" s="485"/>
      <c r="C797" s="34"/>
      <c r="D797" s="36"/>
      <c r="E797" s="36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</row>
    <row r="798" spans="1:23" ht="21.75" customHeight="1" x14ac:dyDescent="0.6">
      <c r="A798" s="34"/>
      <c r="B798" s="485"/>
      <c r="C798" s="34"/>
      <c r="D798" s="36"/>
      <c r="E798" s="36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</row>
    <row r="799" spans="1:23" ht="21.75" customHeight="1" x14ac:dyDescent="0.6">
      <c r="A799" s="34"/>
      <c r="B799" s="485"/>
      <c r="C799" s="34"/>
      <c r="D799" s="36"/>
      <c r="E799" s="36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</row>
    <row r="800" spans="1:23" ht="21.75" customHeight="1" x14ac:dyDescent="0.6">
      <c r="A800" s="34"/>
      <c r="B800" s="485"/>
      <c r="C800" s="34"/>
      <c r="D800" s="36"/>
      <c r="E800" s="36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</row>
    <row r="801" spans="1:23" ht="21.75" customHeight="1" x14ac:dyDescent="0.6">
      <c r="A801" s="34"/>
      <c r="B801" s="485"/>
      <c r="C801" s="34"/>
      <c r="D801" s="36"/>
      <c r="E801" s="36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</row>
    <row r="802" spans="1:23" ht="21.75" customHeight="1" x14ac:dyDescent="0.6">
      <c r="A802" s="34"/>
      <c r="B802" s="485"/>
      <c r="C802" s="34"/>
      <c r="D802" s="36"/>
      <c r="E802" s="36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</row>
    <row r="803" spans="1:23" ht="21.75" customHeight="1" x14ac:dyDescent="0.6">
      <c r="A803" s="34"/>
      <c r="B803" s="485"/>
      <c r="C803" s="34"/>
      <c r="D803" s="36"/>
      <c r="E803" s="36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</row>
    <row r="804" spans="1:23" ht="21.75" customHeight="1" x14ac:dyDescent="0.6">
      <c r="A804" s="34"/>
      <c r="B804" s="485"/>
      <c r="C804" s="34"/>
      <c r="D804" s="36"/>
      <c r="E804" s="36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</row>
    <row r="805" spans="1:23" ht="21.75" customHeight="1" x14ac:dyDescent="0.6">
      <c r="A805" s="34"/>
      <c r="B805" s="485"/>
      <c r="C805" s="34"/>
      <c r="D805" s="36"/>
      <c r="E805" s="36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</row>
    <row r="806" spans="1:23" ht="21.75" customHeight="1" x14ac:dyDescent="0.6">
      <c r="A806" s="34"/>
      <c r="B806" s="485"/>
      <c r="C806" s="34"/>
      <c r="D806" s="36"/>
      <c r="E806" s="36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</row>
    <row r="807" spans="1:23" ht="21.75" customHeight="1" x14ac:dyDescent="0.6">
      <c r="A807" s="34"/>
      <c r="B807" s="485"/>
      <c r="C807" s="34"/>
      <c r="D807" s="36"/>
      <c r="E807" s="36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</row>
    <row r="808" spans="1:23" ht="21.75" customHeight="1" x14ac:dyDescent="0.6">
      <c r="A808" s="34"/>
      <c r="B808" s="485"/>
      <c r="C808" s="34"/>
      <c r="D808" s="36"/>
      <c r="E808" s="36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</row>
    <row r="809" spans="1:23" ht="21.75" customHeight="1" x14ac:dyDescent="0.6">
      <c r="A809" s="34"/>
      <c r="B809" s="485"/>
      <c r="C809" s="34"/>
      <c r="D809" s="36"/>
      <c r="E809" s="36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</row>
    <row r="810" spans="1:23" ht="21.75" customHeight="1" x14ac:dyDescent="0.6">
      <c r="A810" s="34"/>
      <c r="B810" s="485"/>
      <c r="C810" s="34"/>
      <c r="D810" s="36"/>
      <c r="E810" s="36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</row>
    <row r="811" spans="1:23" ht="21.75" customHeight="1" x14ac:dyDescent="0.6">
      <c r="A811" s="34"/>
      <c r="B811" s="485"/>
      <c r="C811" s="34"/>
      <c r="D811" s="36"/>
      <c r="E811" s="36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</row>
    <row r="812" spans="1:23" ht="21.75" customHeight="1" x14ac:dyDescent="0.6">
      <c r="A812" s="34"/>
      <c r="B812" s="485"/>
      <c r="C812" s="34"/>
      <c r="D812" s="36"/>
      <c r="E812" s="36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</row>
    <row r="813" spans="1:23" ht="21.75" customHeight="1" x14ac:dyDescent="0.6">
      <c r="A813" s="34"/>
      <c r="B813" s="485"/>
      <c r="C813" s="34"/>
      <c r="D813" s="36"/>
      <c r="E813" s="36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</row>
    <row r="814" spans="1:23" ht="21.75" customHeight="1" x14ac:dyDescent="0.6">
      <c r="A814" s="34"/>
      <c r="B814" s="485"/>
      <c r="C814" s="34"/>
      <c r="D814" s="36"/>
      <c r="E814" s="36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</row>
    <row r="815" spans="1:23" ht="21.75" customHeight="1" x14ac:dyDescent="0.6">
      <c r="A815" s="34"/>
      <c r="B815" s="485"/>
      <c r="C815" s="34"/>
      <c r="D815" s="36"/>
      <c r="E815" s="36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</row>
    <row r="816" spans="1:23" ht="21.75" customHeight="1" x14ac:dyDescent="0.6">
      <c r="A816" s="34"/>
      <c r="B816" s="485"/>
      <c r="C816" s="34"/>
      <c r="D816" s="36"/>
      <c r="E816" s="36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</row>
    <row r="817" spans="1:23" ht="21.75" customHeight="1" x14ac:dyDescent="0.6">
      <c r="A817" s="34"/>
      <c r="B817" s="485"/>
      <c r="C817" s="34"/>
      <c r="D817" s="36"/>
      <c r="E817" s="36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</row>
    <row r="818" spans="1:23" ht="21.75" customHeight="1" x14ac:dyDescent="0.6">
      <c r="A818" s="34"/>
      <c r="B818" s="485"/>
      <c r="C818" s="34"/>
      <c r="D818" s="36"/>
      <c r="E818" s="36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</row>
    <row r="819" spans="1:23" ht="21.75" customHeight="1" x14ac:dyDescent="0.6">
      <c r="A819" s="34"/>
      <c r="B819" s="485"/>
      <c r="C819" s="34"/>
      <c r="D819" s="36"/>
      <c r="E819" s="36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</row>
    <row r="820" spans="1:23" ht="21.75" customHeight="1" x14ac:dyDescent="0.6">
      <c r="A820" s="34"/>
      <c r="B820" s="485"/>
      <c r="C820" s="34"/>
      <c r="D820" s="36"/>
      <c r="E820" s="36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</row>
    <row r="821" spans="1:23" ht="21.75" customHeight="1" x14ac:dyDescent="0.6">
      <c r="A821" s="34"/>
      <c r="B821" s="485"/>
      <c r="C821" s="34"/>
      <c r="D821" s="36"/>
      <c r="E821" s="36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</row>
    <row r="822" spans="1:23" ht="21.75" customHeight="1" x14ac:dyDescent="0.6">
      <c r="A822" s="34"/>
      <c r="B822" s="485"/>
      <c r="C822" s="34"/>
      <c r="D822" s="36"/>
      <c r="E822" s="36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</row>
    <row r="823" spans="1:23" ht="21.75" customHeight="1" x14ac:dyDescent="0.6">
      <c r="A823" s="34"/>
      <c r="B823" s="485"/>
      <c r="C823" s="34"/>
      <c r="D823" s="36"/>
      <c r="E823" s="36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</row>
    <row r="824" spans="1:23" ht="21.75" customHeight="1" x14ac:dyDescent="0.6">
      <c r="A824" s="34"/>
      <c r="B824" s="485"/>
      <c r="C824" s="34"/>
      <c r="D824" s="36"/>
      <c r="E824" s="36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</row>
    <row r="825" spans="1:23" ht="21.75" customHeight="1" x14ac:dyDescent="0.6">
      <c r="A825" s="34"/>
      <c r="B825" s="485"/>
      <c r="C825" s="34"/>
      <c r="D825" s="36"/>
      <c r="E825" s="36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</row>
    <row r="826" spans="1:23" ht="21.75" customHeight="1" x14ac:dyDescent="0.6">
      <c r="A826" s="34"/>
      <c r="B826" s="485"/>
      <c r="C826" s="34"/>
      <c r="D826" s="36"/>
      <c r="E826" s="36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</row>
    <row r="827" spans="1:23" ht="21.75" customHeight="1" x14ac:dyDescent="0.6">
      <c r="A827" s="34"/>
      <c r="B827" s="485"/>
      <c r="C827" s="34"/>
      <c r="D827" s="36"/>
      <c r="E827" s="36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</row>
    <row r="828" spans="1:23" ht="21.75" customHeight="1" x14ac:dyDescent="0.6">
      <c r="A828" s="34"/>
      <c r="B828" s="485"/>
      <c r="C828" s="34"/>
      <c r="D828" s="36"/>
      <c r="E828" s="36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</row>
    <row r="829" spans="1:23" ht="21.75" customHeight="1" x14ac:dyDescent="0.6">
      <c r="A829" s="34"/>
      <c r="B829" s="485"/>
      <c r="C829" s="34"/>
      <c r="D829" s="36"/>
      <c r="E829" s="36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</row>
    <row r="830" spans="1:23" ht="21.75" customHeight="1" x14ac:dyDescent="0.6">
      <c r="A830" s="34"/>
      <c r="B830" s="485"/>
      <c r="C830" s="34"/>
      <c r="D830" s="36"/>
      <c r="E830" s="36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</row>
    <row r="831" spans="1:23" ht="21.75" customHeight="1" x14ac:dyDescent="0.6">
      <c r="A831" s="34"/>
      <c r="B831" s="485"/>
      <c r="C831" s="34"/>
      <c r="D831" s="36"/>
      <c r="E831" s="36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</row>
    <row r="832" spans="1:23" ht="21.75" customHeight="1" x14ac:dyDescent="0.6">
      <c r="A832" s="34"/>
      <c r="B832" s="485"/>
      <c r="C832" s="34"/>
      <c r="D832" s="36"/>
      <c r="E832" s="36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</row>
    <row r="833" spans="1:23" ht="21.75" customHeight="1" x14ac:dyDescent="0.6">
      <c r="A833" s="34"/>
      <c r="B833" s="485"/>
      <c r="C833" s="34"/>
      <c r="D833" s="36"/>
      <c r="E833" s="36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</row>
    <row r="834" spans="1:23" ht="21.75" customHeight="1" x14ac:dyDescent="0.6">
      <c r="A834" s="34"/>
      <c r="B834" s="485"/>
      <c r="C834" s="34"/>
      <c r="D834" s="36"/>
      <c r="E834" s="36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</row>
    <row r="835" spans="1:23" ht="21.75" customHeight="1" x14ac:dyDescent="0.6">
      <c r="A835" s="34"/>
      <c r="B835" s="485"/>
      <c r="C835" s="34"/>
      <c r="D835" s="36"/>
      <c r="E835" s="36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</row>
    <row r="836" spans="1:23" ht="21.75" customHeight="1" x14ac:dyDescent="0.6">
      <c r="A836" s="34"/>
      <c r="B836" s="485"/>
      <c r="C836" s="34"/>
      <c r="D836" s="36"/>
      <c r="E836" s="36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</row>
    <row r="837" spans="1:23" ht="21.75" customHeight="1" x14ac:dyDescent="0.6">
      <c r="A837" s="34"/>
      <c r="B837" s="485"/>
      <c r="C837" s="34"/>
      <c r="D837" s="36"/>
      <c r="E837" s="36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</row>
    <row r="838" spans="1:23" ht="21.75" customHeight="1" x14ac:dyDescent="0.6">
      <c r="A838" s="34"/>
      <c r="B838" s="485"/>
      <c r="C838" s="34"/>
      <c r="D838" s="36"/>
      <c r="E838" s="36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</row>
    <row r="839" spans="1:23" ht="21.75" customHeight="1" x14ac:dyDescent="0.6">
      <c r="A839" s="34"/>
      <c r="B839" s="485"/>
      <c r="C839" s="34"/>
      <c r="D839" s="36"/>
      <c r="E839" s="36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</row>
    <row r="840" spans="1:23" ht="21.75" customHeight="1" x14ac:dyDescent="0.6">
      <c r="A840" s="34"/>
      <c r="B840" s="485"/>
      <c r="C840" s="34"/>
      <c r="D840" s="36"/>
      <c r="E840" s="36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</row>
    <row r="841" spans="1:23" ht="21.75" customHeight="1" x14ac:dyDescent="0.6">
      <c r="A841" s="34"/>
      <c r="B841" s="485"/>
      <c r="C841" s="34"/>
      <c r="D841" s="36"/>
      <c r="E841" s="36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</row>
    <row r="842" spans="1:23" ht="21.75" customHeight="1" x14ac:dyDescent="0.6">
      <c r="A842" s="34"/>
      <c r="B842" s="485"/>
      <c r="C842" s="34"/>
      <c r="D842" s="36"/>
      <c r="E842" s="36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</row>
    <row r="843" spans="1:23" ht="21.75" customHeight="1" x14ac:dyDescent="0.6">
      <c r="A843" s="34"/>
      <c r="B843" s="485"/>
      <c r="C843" s="34"/>
      <c r="D843" s="36"/>
      <c r="E843" s="36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</row>
    <row r="844" spans="1:23" ht="21.75" customHeight="1" x14ac:dyDescent="0.6">
      <c r="A844" s="34"/>
      <c r="B844" s="485"/>
      <c r="C844" s="34"/>
      <c r="D844" s="36"/>
      <c r="E844" s="36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</row>
    <row r="845" spans="1:23" ht="21.75" customHeight="1" x14ac:dyDescent="0.6">
      <c r="A845" s="34"/>
      <c r="B845" s="485"/>
      <c r="C845" s="34"/>
      <c r="D845" s="36"/>
      <c r="E845" s="36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</row>
    <row r="846" spans="1:23" ht="21.75" customHeight="1" x14ac:dyDescent="0.6">
      <c r="A846" s="34"/>
      <c r="B846" s="485"/>
      <c r="C846" s="34"/>
      <c r="D846" s="36"/>
      <c r="E846" s="36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</row>
    <row r="847" spans="1:23" ht="21.75" customHeight="1" x14ac:dyDescent="0.6">
      <c r="A847" s="34"/>
      <c r="B847" s="485"/>
      <c r="C847" s="34"/>
      <c r="D847" s="36"/>
      <c r="E847" s="36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</row>
    <row r="848" spans="1:23" ht="21.75" customHeight="1" x14ac:dyDescent="0.6">
      <c r="A848" s="34"/>
      <c r="B848" s="485"/>
      <c r="C848" s="34"/>
      <c r="D848" s="36"/>
      <c r="E848" s="36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</row>
    <row r="849" spans="1:23" ht="21.75" customHeight="1" x14ac:dyDescent="0.6">
      <c r="A849" s="34"/>
      <c r="B849" s="485"/>
      <c r="C849" s="34"/>
      <c r="D849" s="36"/>
      <c r="E849" s="36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</row>
    <row r="850" spans="1:23" ht="21.75" customHeight="1" x14ac:dyDescent="0.6">
      <c r="A850" s="34"/>
      <c r="B850" s="485"/>
      <c r="C850" s="34"/>
      <c r="D850" s="36"/>
      <c r="E850" s="36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</row>
    <row r="851" spans="1:23" ht="21.75" customHeight="1" x14ac:dyDescent="0.6">
      <c r="A851" s="34"/>
      <c r="B851" s="485"/>
      <c r="C851" s="34"/>
      <c r="D851" s="36"/>
      <c r="E851" s="36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</row>
    <row r="852" spans="1:23" ht="21.75" customHeight="1" x14ac:dyDescent="0.6">
      <c r="A852" s="34"/>
      <c r="B852" s="485"/>
      <c r="C852" s="34"/>
      <c r="D852" s="36"/>
      <c r="E852" s="36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</row>
    <row r="853" spans="1:23" ht="21.75" customHeight="1" x14ac:dyDescent="0.6">
      <c r="A853" s="34"/>
      <c r="B853" s="485"/>
      <c r="C853" s="34"/>
      <c r="D853" s="36"/>
      <c r="E853" s="36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</row>
    <row r="854" spans="1:23" ht="21.75" customHeight="1" x14ac:dyDescent="0.6">
      <c r="A854" s="34"/>
      <c r="B854" s="485"/>
      <c r="C854" s="34"/>
      <c r="D854" s="36"/>
      <c r="E854" s="36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</row>
    <row r="855" spans="1:23" ht="21.75" customHeight="1" x14ac:dyDescent="0.6">
      <c r="A855" s="34"/>
      <c r="B855" s="485"/>
      <c r="C855" s="34"/>
      <c r="D855" s="36"/>
      <c r="E855" s="36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</row>
    <row r="856" spans="1:23" ht="21.75" customHeight="1" x14ac:dyDescent="0.6">
      <c r="A856" s="34"/>
      <c r="B856" s="485"/>
      <c r="C856" s="34"/>
      <c r="D856" s="36"/>
      <c r="E856" s="36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</row>
    <row r="857" spans="1:23" ht="21.75" customHeight="1" x14ac:dyDescent="0.6">
      <c r="A857" s="34"/>
      <c r="B857" s="485"/>
      <c r="C857" s="34"/>
      <c r="D857" s="36"/>
      <c r="E857" s="36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</row>
    <row r="858" spans="1:23" ht="21.75" customHeight="1" x14ac:dyDescent="0.6">
      <c r="A858" s="34"/>
      <c r="B858" s="485"/>
      <c r="C858" s="34"/>
      <c r="D858" s="36"/>
      <c r="E858" s="36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</row>
    <row r="859" spans="1:23" ht="21.75" customHeight="1" x14ac:dyDescent="0.6">
      <c r="A859" s="34"/>
      <c r="B859" s="485"/>
      <c r="C859" s="34"/>
      <c r="D859" s="36"/>
      <c r="E859" s="36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</row>
    <row r="860" spans="1:23" ht="21.75" customHeight="1" x14ac:dyDescent="0.6">
      <c r="A860" s="34"/>
      <c r="B860" s="485"/>
      <c r="C860" s="34"/>
      <c r="D860" s="36"/>
      <c r="E860" s="36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</row>
    <row r="861" spans="1:23" ht="21.75" customHeight="1" x14ac:dyDescent="0.6">
      <c r="A861" s="34"/>
      <c r="B861" s="485"/>
      <c r="C861" s="34"/>
      <c r="D861" s="36"/>
      <c r="E861" s="36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</row>
    <row r="862" spans="1:23" ht="21.75" customHeight="1" x14ac:dyDescent="0.6">
      <c r="A862" s="34"/>
      <c r="B862" s="485"/>
      <c r="C862" s="34"/>
      <c r="D862" s="36"/>
      <c r="E862" s="36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</row>
    <row r="863" spans="1:23" ht="21.75" customHeight="1" x14ac:dyDescent="0.6">
      <c r="A863" s="34"/>
      <c r="B863" s="485"/>
      <c r="C863" s="34"/>
      <c r="D863" s="36"/>
      <c r="E863" s="36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</row>
    <row r="864" spans="1:23" ht="21.75" customHeight="1" x14ac:dyDescent="0.6">
      <c r="A864" s="34"/>
      <c r="B864" s="485"/>
      <c r="C864" s="34"/>
      <c r="D864" s="36"/>
      <c r="E864" s="36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</row>
    <row r="865" spans="1:23" ht="21.75" customHeight="1" x14ac:dyDescent="0.6">
      <c r="A865" s="34"/>
      <c r="B865" s="485"/>
      <c r="C865" s="34"/>
      <c r="D865" s="36"/>
      <c r="E865" s="36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</row>
    <row r="866" spans="1:23" ht="21.75" customHeight="1" x14ac:dyDescent="0.6">
      <c r="A866" s="34"/>
      <c r="B866" s="485"/>
      <c r="C866" s="34"/>
      <c r="D866" s="36"/>
      <c r="E866" s="36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</row>
    <row r="867" spans="1:23" ht="21.75" customHeight="1" x14ac:dyDescent="0.6">
      <c r="A867" s="34"/>
      <c r="B867" s="485"/>
      <c r="C867" s="34"/>
      <c r="D867" s="36"/>
      <c r="E867" s="36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</row>
    <row r="868" spans="1:23" ht="21.75" customHeight="1" x14ac:dyDescent="0.6">
      <c r="A868" s="34"/>
      <c r="B868" s="485"/>
      <c r="C868" s="34"/>
      <c r="D868" s="36"/>
      <c r="E868" s="36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</row>
    <row r="869" spans="1:23" ht="21.75" customHeight="1" x14ac:dyDescent="0.6">
      <c r="A869" s="34"/>
      <c r="B869" s="485"/>
      <c r="C869" s="34"/>
      <c r="D869" s="36"/>
      <c r="E869" s="36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</row>
    <row r="870" spans="1:23" ht="21.75" customHeight="1" x14ac:dyDescent="0.6">
      <c r="A870" s="34"/>
      <c r="B870" s="485"/>
      <c r="C870" s="34"/>
      <c r="D870" s="36"/>
      <c r="E870" s="36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</row>
    <row r="871" spans="1:23" ht="21.75" customHeight="1" x14ac:dyDescent="0.6">
      <c r="A871" s="34"/>
      <c r="B871" s="485"/>
      <c r="C871" s="34"/>
      <c r="D871" s="36"/>
      <c r="E871" s="36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</row>
    <row r="872" spans="1:23" ht="21.75" customHeight="1" x14ac:dyDescent="0.6">
      <c r="A872" s="34"/>
      <c r="B872" s="485"/>
      <c r="C872" s="34"/>
      <c r="D872" s="36"/>
      <c r="E872" s="36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</row>
    <row r="873" spans="1:23" ht="21.75" customHeight="1" x14ac:dyDescent="0.6">
      <c r="A873" s="34"/>
      <c r="B873" s="485"/>
      <c r="C873" s="34"/>
      <c r="D873" s="36"/>
      <c r="E873" s="36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</row>
    <row r="874" spans="1:23" ht="21.75" customHeight="1" x14ac:dyDescent="0.6">
      <c r="A874" s="34"/>
      <c r="B874" s="485"/>
      <c r="C874" s="34"/>
      <c r="D874" s="36"/>
      <c r="E874" s="36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</row>
    <row r="875" spans="1:23" ht="21.75" customHeight="1" x14ac:dyDescent="0.6">
      <c r="A875" s="34"/>
      <c r="B875" s="485"/>
      <c r="C875" s="34"/>
      <c r="D875" s="36"/>
      <c r="E875" s="36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</row>
    <row r="876" spans="1:23" ht="21.75" customHeight="1" x14ac:dyDescent="0.6">
      <c r="A876" s="34"/>
      <c r="B876" s="485"/>
      <c r="C876" s="34"/>
      <c r="D876" s="36"/>
      <c r="E876" s="36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</row>
    <row r="877" spans="1:23" ht="21.75" customHeight="1" x14ac:dyDescent="0.6">
      <c r="A877" s="34"/>
      <c r="B877" s="485"/>
      <c r="C877" s="34"/>
      <c r="D877" s="36"/>
      <c r="E877" s="36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</row>
    <row r="878" spans="1:23" ht="21.75" customHeight="1" x14ac:dyDescent="0.6">
      <c r="A878" s="34"/>
      <c r="B878" s="485"/>
      <c r="C878" s="34"/>
      <c r="D878" s="36"/>
      <c r="E878" s="36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</row>
    <row r="879" spans="1:23" ht="21.75" customHeight="1" x14ac:dyDescent="0.6">
      <c r="A879" s="34"/>
      <c r="B879" s="485"/>
      <c r="C879" s="34"/>
      <c r="D879" s="36"/>
      <c r="E879" s="36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</row>
    <row r="880" spans="1:23" ht="21.75" customHeight="1" x14ac:dyDescent="0.6">
      <c r="A880" s="34"/>
      <c r="B880" s="485"/>
      <c r="C880" s="34"/>
      <c r="D880" s="36"/>
      <c r="E880" s="36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</row>
    <row r="881" spans="1:23" ht="21.75" customHeight="1" x14ac:dyDescent="0.6">
      <c r="A881" s="34"/>
      <c r="B881" s="485"/>
      <c r="C881" s="34"/>
      <c r="D881" s="36"/>
      <c r="E881" s="36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</row>
    <row r="882" spans="1:23" ht="21.75" customHeight="1" x14ac:dyDescent="0.6">
      <c r="A882" s="34"/>
      <c r="B882" s="485"/>
      <c r="C882" s="34"/>
      <c r="D882" s="36"/>
      <c r="E882" s="36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</row>
    <row r="883" spans="1:23" ht="21.75" customHeight="1" x14ac:dyDescent="0.6">
      <c r="A883" s="34"/>
      <c r="B883" s="485"/>
      <c r="C883" s="34"/>
      <c r="D883" s="36"/>
      <c r="E883" s="36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</row>
    <row r="884" spans="1:23" ht="21.75" customHeight="1" x14ac:dyDescent="0.6">
      <c r="A884" s="34"/>
      <c r="B884" s="485"/>
      <c r="C884" s="34"/>
      <c r="D884" s="36"/>
      <c r="E884" s="36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</row>
    <row r="885" spans="1:23" ht="21.75" customHeight="1" x14ac:dyDescent="0.6">
      <c r="A885" s="34"/>
      <c r="B885" s="485"/>
      <c r="C885" s="34"/>
      <c r="D885" s="36"/>
      <c r="E885" s="36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</row>
    <row r="886" spans="1:23" ht="21.75" customHeight="1" x14ac:dyDescent="0.6">
      <c r="A886" s="34"/>
      <c r="B886" s="485"/>
      <c r="C886" s="34"/>
      <c r="D886" s="36"/>
      <c r="E886" s="36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</row>
    <row r="887" spans="1:23" ht="21.75" customHeight="1" x14ac:dyDescent="0.6">
      <c r="A887" s="34"/>
      <c r="B887" s="485"/>
      <c r="C887" s="34"/>
      <c r="D887" s="36"/>
      <c r="E887" s="36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</row>
    <row r="888" spans="1:23" ht="21.75" customHeight="1" x14ac:dyDescent="0.6">
      <c r="A888" s="34"/>
      <c r="B888" s="485"/>
      <c r="C888" s="34"/>
      <c r="D888" s="36"/>
      <c r="E888" s="36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</row>
    <row r="889" spans="1:23" ht="21.75" customHeight="1" x14ac:dyDescent="0.6">
      <c r="A889" s="34"/>
      <c r="B889" s="485"/>
      <c r="C889" s="34"/>
      <c r="D889" s="36"/>
      <c r="E889" s="36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</row>
    <row r="890" spans="1:23" ht="21.75" customHeight="1" x14ac:dyDescent="0.6">
      <c r="A890" s="34"/>
      <c r="B890" s="485"/>
      <c r="C890" s="34"/>
      <c r="D890" s="36"/>
      <c r="E890" s="36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</row>
    <row r="891" spans="1:23" ht="21.75" customHeight="1" x14ac:dyDescent="0.6">
      <c r="A891" s="34"/>
      <c r="B891" s="485"/>
      <c r="C891" s="34"/>
      <c r="D891" s="36"/>
      <c r="E891" s="36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</row>
    <row r="892" spans="1:23" ht="21.75" customHeight="1" x14ac:dyDescent="0.6">
      <c r="A892" s="34"/>
      <c r="B892" s="485"/>
      <c r="C892" s="34"/>
      <c r="D892" s="36"/>
      <c r="E892" s="36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</row>
    <row r="893" spans="1:23" ht="21.75" customHeight="1" x14ac:dyDescent="0.6">
      <c r="A893" s="34"/>
      <c r="B893" s="485"/>
      <c r="C893" s="34"/>
      <c r="D893" s="36"/>
      <c r="E893" s="36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</row>
    <row r="894" spans="1:23" ht="21.75" customHeight="1" x14ac:dyDescent="0.6">
      <c r="A894" s="34"/>
      <c r="B894" s="485"/>
      <c r="C894" s="34"/>
      <c r="D894" s="36"/>
      <c r="E894" s="36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</row>
    <row r="895" spans="1:23" ht="21.75" customHeight="1" x14ac:dyDescent="0.6">
      <c r="A895" s="34"/>
      <c r="B895" s="485"/>
      <c r="C895" s="34"/>
      <c r="D895" s="36"/>
      <c r="E895" s="36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</row>
    <row r="896" spans="1:23" ht="21.75" customHeight="1" x14ac:dyDescent="0.6">
      <c r="A896" s="34"/>
      <c r="B896" s="485"/>
      <c r="C896" s="34"/>
      <c r="D896" s="36"/>
      <c r="E896" s="36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</row>
    <row r="897" spans="1:23" ht="21.75" customHeight="1" x14ac:dyDescent="0.6">
      <c r="A897" s="34"/>
      <c r="B897" s="485"/>
      <c r="C897" s="34"/>
      <c r="D897" s="36"/>
      <c r="E897" s="36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</row>
    <row r="898" spans="1:23" ht="21.75" customHeight="1" x14ac:dyDescent="0.6">
      <c r="A898" s="34"/>
      <c r="B898" s="485"/>
      <c r="C898" s="34"/>
      <c r="D898" s="36"/>
      <c r="E898" s="36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</row>
    <row r="899" spans="1:23" ht="21.75" customHeight="1" x14ac:dyDescent="0.6">
      <c r="A899" s="34"/>
      <c r="B899" s="485"/>
      <c r="C899" s="34"/>
      <c r="D899" s="36"/>
      <c r="E899" s="36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</row>
    <row r="900" spans="1:23" ht="21.75" customHeight="1" x14ac:dyDescent="0.6">
      <c r="A900" s="34"/>
      <c r="B900" s="485"/>
      <c r="C900" s="34"/>
      <c r="D900" s="36"/>
      <c r="E900" s="36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</row>
    <row r="901" spans="1:23" ht="21.75" customHeight="1" x14ac:dyDescent="0.6">
      <c r="A901" s="34"/>
      <c r="B901" s="485"/>
      <c r="C901" s="34"/>
      <c r="D901" s="36"/>
      <c r="E901" s="36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</row>
    <row r="902" spans="1:23" ht="21.75" customHeight="1" x14ac:dyDescent="0.6">
      <c r="A902" s="34"/>
      <c r="B902" s="485"/>
      <c r="C902" s="34"/>
      <c r="D902" s="36"/>
      <c r="E902" s="36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</row>
    <row r="903" spans="1:23" ht="21.75" customHeight="1" x14ac:dyDescent="0.6">
      <c r="A903" s="34"/>
      <c r="B903" s="485"/>
      <c r="C903" s="34"/>
      <c r="D903" s="36"/>
      <c r="E903" s="36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</row>
    <row r="904" spans="1:23" ht="21.75" customHeight="1" x14ac:dyDescent="0.6">
      <c r="A904" s="34"/>
      <c r="B904" s="485"/>
      <c r="C904" s="34"/>
      <c r="D904" s="36"/>
      <c r="E904" s="36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</row>
    <row r="905" spans="1:23" ht="21.75" customHeight="1" x14ac:dyDescent="0.6">
      <c r="A905" s="34"/>
      <c r="B905" s="485"/>
      <c r="C905" s="34"/>
      <c r="D905" s="36"/>
      <c r="E905" s="36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</row>
    <row r="906" spans="1:23" ht="21.75" customHeight="1" x14ac:dyDescent="0.6">
      <c r="A906" s="34"/>
      <c r="B906" s="485"/>
      <c r="C906" s="34"/>
      <c r="D906" s="36"/>
      <c r="E906" s="36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</row>
    <row r="907" spans="1:23" ht="21.75" customHeight="1" x14ac:dyDescent="0.6">
      <c r="A907" s="34"/>
      <c r="B907" s="485"/>
      <c r="C907" s="34"/>
      <c r="D907" s="36"/>
      <c r="E907" s="36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</row>
    <row r="908" spans="1:23" ht="21.75" customHeight="1" x14ac:dyDescent="0.6">
      <c r="A908" s="34"/>
      <c r="B908" s="485"/>
      <c r="C908" s="34"/>
      <c r="D908" s="36"/>
      <c r="E908" s="36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</row>
    <row r="909" spans="1:23" ht="21.75" customHeight="1" x14ac:dyDescent="0.6">
      <c r="A909" s="34"/>
      <c r="B909" s="485"/>
      <c r="C909" s="34"/>
      <c r="D909" s="36"/>
      <c r="E909" s="36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</row>
    <row r="910" spans="1:23" ht="21.75" customHeight="1" x14ac:dyDescent="0.6">
      <c r="A910" s="34"/>
      <c r="B910" s="485"/>
      <c r="C910" s="34"/>
      <c r="D910" s="36"/>
      <c r="E910" s="36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</row>
    <row r="911" spans="1:23" ht="21.75" customHeight="1" x14ac:dyDescent="0.6">
      <c r="A911" s="34"/>
      <c r="B911" s="485"/>
      <c r="C911" s="34"/>
      <c r="D911" s="36"/>
      <c r="E911" s="36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</row>
    <row r="912" spans="1:23" ht="21.75" customHeight="1" x14ac:dyDescent="0.6">
      <c r="A912" s="34"/>
      <c r="B912" s="485"/>
      <c r="C912" s="34"/>
      <c r="D912" s="36"/>
      <c r="E912" s="36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</row>
    <row r="913" spans="1:23" ht="21.75" customHeight="1" x14ac:dyDescent="0.6">
      <c r="A913" s="34"/>
      <c r="B913" s="485"/>
      <c r="C913" s="34"/>
      <c r="D913" s="36"/>
      <c r="E913" s="36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</row>
    <row r="914" spans="1:23" ht="21.75" customHeight="1" x14ac:dyDescent="0.6">
      <c r="A914" s="34"/>
      <c r="B914" s="485"/>
      <c r="C914" s="34"/>
      <c r="D914" s="36"/>
      <c r="E914" s="36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</row>
    <row r="915" spans="1:23" ht="21.75" customHeight="1" x14ac:dyDescent="0.6">
      <c r="A915" s="34"/>
      <c r="B915" s="485"/>
      <c r="C915" s="34"/>
      <c r="D915" s="36"/>
      <c r="E915" s="36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</row>
    <row r="916" spans="1:23" ht="21.75" customHeight="1" x14ac:dyDescent="0.6">
      <c r="A916" s="34"/>
      <c r="B916" s="485"/>
      <c r="C916" s="34"/>
      <c r="D916" s="36"/>
      <c r="E916" s="36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</row>
    <row r="917" spans="1:23" ht="21.75" customHeight="1" x14ac:dyDescent="0.6">
      <c r="A917" s="34"/>
      <c r="B917" s="485"/>
      <c r="C917" s="34"/>
      <c r="D917" s="36"/>
      <c r="E917" s="36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</row>
    <row r="918" spans="1:23" ht="21.75" customHeight="1" x14ac:dyDescent="0.6">
      <c r="A918" s="34"/>
      <c r="B918" s="485"/>
      <c r="C918" s="34"/>
      <c r="D918" s="36"/>
      <c r="E918" s="36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</row>
    <row r="919" spans="1:23" ht="21.75" customHeight="1" x14ac:dyDescent="0.6">
      <c r="A919" s="34"/>
      <c r="B919" s="485"/>
      <c r="C919" s="34"/>
      <c r="D919" s="36"/>
      <c r="E919" s="36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</row>
    <row r="920" spans="1:23" ht="21.75" customHeight="1" x14ac:dyDescent="0.6">
      <c r="A920" s="34"/>
      <c r="B920" s="485"/>
      <c r="C920" s="34"/>
      <c r="D920" s="36"/>
      <c r="E920" s="36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</row>
    <row r="921" spans="1:23" ht="21.75" customHeight="1" x14ac:dyDescent="0.6">
      <c r="A921" s="34"/>
      <c r="B921" s="485"/>
      <c r="C921" s="34"/>
      <c r="D921" s="36"/>
      <c r="E921" s="36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</row>
    <row r="922" spans="1:23" ht="21.75" customHeight="1" x14ac:dyDescent="0.6">
      <c r="A922" s="34"/>
      <c r="B922" s="485"/>
      <c r="C922" s="34"/>
      <c r="D922" s="36"/>
      <c r="E922" s="36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</row>
    <row r="923" spans="1:23" ht="21.75" customHeight="1" x14ac:dyDescent="0.6">
      <c r="A923" s="34"/>
      <c r="B923" s="485"/>
      <c r="C923" s="34"/>
      <c r="D923" s="36"/>
      <c r="E923" s="36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</row>
    <row r="924" spans="1:23" ht="21.75" customHeight="1" x14ac:dyDescent="0.6">
      <c r="A924" s="34"/>
      <c r="B924" s="485"/>
      <c r="C924" s="34"/>
      <c r="D924" s="36"/>
      <c r="E924" s="36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</row>
    <row r="925" spans="1:23" ht="21.75" customHeight="1" x14ac:dyDescent="0.6">
      <c r="A925" s="34"/>
      <c r="B925" s="485"/>
      <c r="C925" s="34"/>
      <c r="D925" s="36"/>
      <c r="E925" s="36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</row>
    <row r="926" spans="1:23" ht="21.75" customHeight="1" x14ac:dyDescent="0.6">
      <c r="A926" s="34"/>
      <c r="B926" s="485"/>
      <c r="C926" s="34"/>
      <c r="D926" s="36"/>
      <c r="E926" s="36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</row>
    <row r="927" spans="1:23" ht="21.75" customHeight="1" x14ac:dyDescent="0.6">
      <c r="A927" s="34"/>
      <c r="B927" s="485"/>
      <c r="C927" s="34"/>
      <c r="D927" s="36"/>
      <c r="E927" s="36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</row>
    <row r="928" spans="1:23" ht="21.75" customHeight="1" x14ac:dyDescent="0.6">
      <c r="A928" s="34"/>
      <c r="B928" s="485"/>
      <c r="C928" s="34"/>
      <c r="D928" s="36"/>
      <c r="E928" s="36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</row>
    <row r="929" spans="1:23" ht="21.75" customHeight="1" x14ac:dyDescent="0.6">
      <c r="A929" s="34"/>
      <c r="B929" s="485"/>
      <c r="C929" s="34"/>
      <c r="D929" s="36"/>
      <c r="E929" s="36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</row>
    <row r="930" spans="1:23" ht="21.75" customHeight="1" x14ac:dyDescent="0.6">
      <c r="A930" s="34"/>
      <c r="B930" s="485"/>
      <c r="C930" s="34"/>
      <c r="D930" s="36"/>
      <c r="E930" s="36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</row>
    <row r="931" spans="1:23" ht="21.75" customHeight="1" x14ac:dyDescent="0.6">
      <c r="A931" s="34"/>
      <c r="B931" s="485"/>
      <c r="C931" s="34"/>
      <c r="D931" s="36"/>
      <c r="E931" s="36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</row>
    <row r="932" spans="1:23" ht="21.75" customHeight="1" x14ac:dyDescent="0.6">
      <c r="A932" s="34"/>
      <c r="B932" s="485"/>
      <c r="C932" s="34"/>
      <c r="D932" s="36"/>
      <c r="E932" s="36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</row>
    <row r="933" spans="1:23" ht="21.75" customHeight="1" x14ac:dyDescent="0.6">
      <c r="A933" s="34"/>
      <c r="B933" s="485"/>
      <c r="C933" s="34"/>
      <c r="D933" s="36"/>
      <c r="E933" s="36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</row>
    <row r="934" spans="1:23" ht="21.75" customHeight="1" x14ac:dyDescent="0.6">
      <c r="A934" s="34"/>
      <c r="B934" s="485"/>
      <c r="C934" s="34"/>
      <c r="D934" s="36"/>
      <c r="E934" s="36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</row>
    <row r="935" spans="1:23" ht="21.75" customHeight="1" x14ac:dyDescent="0.6">
      <c r="A935" s="34"/>
      <c r="B935" s="485"/>
      <c r="C935" s="34"/>
      <c r="D935" s="36"/>
      <c r="E935" s="36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</row>
    <row r="936" spans="1:23" ht="21.75" customHeight="1" x14ac:dyDescent="0.6">
      <c r="A936" s="34"/>
      <c r="B936" s="485"/>
      <c r="C936" s="34"/>
      <c r="D936" s="36"/>
      <c r="E936" s="36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</row>
    <row r="937" spans="1:23" ht="21.75" customHeight="1" x14ac:dyDescent="0.6">
      <c r="A937" s="34"/>
      <c r="B937" s="485"/>
      <c r="C937" s="34"/>
      <c r="D937" s="36"/>
      <c r="E937" s="36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</row>
    <row r="938" spans="1:23" ht="21.75" customHeight="1" x14ac:dyDescent="0.6">
      <c r="A938" s="34"/>
      <c r="B938" s="485"/>
      <c r="C938" s="34"/>
      <c r="D938" s="36"/>
      <c r="E938" s="36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</row>
    <row r="939" spans="1:23" ht="21.75" customHeight="1" x14ac:dyDescent="0.6">
      <c r="A939" s="34"/>
      <c r="B939" s="485"/>
      <c r="C939" s="34"/>
      <c r="D939" s="36"/>
      <c r="E939" s="36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</row>
    <row r="940" spans="1:23" ht="21.75" customHeight="1" x14ac:dyDescent="0.6">
      <c r="A940" s="34"/>
      <c r="B940" s="485"/>
      <c r="C940" s="34"/>
      <c r="D940" s="36"/>
      <c r="E940" s="36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</row>
    <row r="941" spans="1:23" ht="21.75" customHeight="1" x14ac:dyDescent="0.6">
      <c r="A941" s="34"/>
      <c r="B941" s="485"/>
      <c r="C941" s="34"/>
      <c r="D941" s="36"/>
      <c r="E941" s="36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</row>
    <row r="942" spans="1:23" ht="21.75" customHeight="1" x14ac:dyDescent="0.6">
      <c r="A942" s="34"/>
      <c r="B942" s="485"/>
      <c r="C942" s="34"/>
      <c r="D942" s="36"/>
      <c r="E942" s="36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</row>
    <row r="943" spans="1:23" ht="21.75" customHeight="1" x14ac:dyDescent="0.6">
      <c r="A943" s="34"/>
      <c r="B943" s="485"/>
      <c r="C943" s="34"/>
      <c r="D943" s="36"/>
      <c r="E943" s="36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</row>
    <row r="944" spans="1:23" ht="21.75" customHeight="1" x14ac:dyDescent="0.6">
      <c r="A944" s="34"/>
      <c r="B944" s="485"/>
      <c r="C944" s="34"/>
      <c r="D944" s="36"/>
      <c r="E944" s="36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</row>
    <row r="945" spans="1:23" ht="21.75" customHeight="1" x14ac:dyDescent="0.6">
      <c r="A945" s="34"/>
      <c r="B945" s="485"/>
      <c r="C945" s="34"/>
      <c r="D945" s="36"/>
      <c r="E945" s="36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</row>
    <row r="946" spans="1:23" ht="21.75" customHeight="1" x14ac:dyDescent="0.6">
      <c r="A946" s="34"/>
      <c r="B946" s="485"/>
      <c r="C946" s="34"/>
      <c r="D946" s="36"/>
      <c r="E946" s="36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</row>
    <row r="947" spans="1:23" ht="21.75" customHeight="1" x14ac:dyDescent="0.6">
      <c r="A947" s="34"/>
      <c r="B947" s="485"/>
      <c r="C947" s="34"/>
      <c r="D947" s="36"/>
      <c r="E947" s="36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</row>
    <row r="948" spans="1:23" ht="21.75" customHeight="1" x14ac:dyDescent="0.6">
      <c r="A948" s="34"/>
      <c r="B948" s="485"/>
      <c r="C948" s="34"/>
      <c r="D948" s="36"/>
      <c r="E948" s="36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</row>
    <row r="949" spans="1:23" ht="21.75" customHeight="1" x14ac:dyDescent="0.6">
      <c r="A949" s="34"/>
      <c r="B949" s="485"/>
      <c r="C949" s="34"/>
      <c r="D949" s="36"/>
      <c r="E949" s="36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</row>
    <row r="950" spans="1:23" ht="21.75" customHeight="1" x14ac:dyDescent="0.6">
      <c r="A950" s="34"/>
      <c r="B950" s="485"/>
      <c r="C950" s="34"/>
      <c r="D950" s="36"/>
      <c r="E950" s="36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</row>
    <row r="951" spans="1:23" ht="21.75" customHeight="1" x14ac:dyDescent="0.6">
      <c r="A951" s="34"/>
      <c r="B951" s="485"/>
      <c r="C951" s="34"/>
      <c r="D951" s="36"/>
      <c r="E951" s="36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</row>
    <row r="952" spans="1:23" ht="21.75" customHeight="1" x14ac:dyDescent="0.6">
      <c r="A952" s="34"/>
      <c r="B952" s="485"/>
      <c r="C952" s="34"/>
      <c r="D952" s="36"/>
      <c r="E952" s="36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</row>
    <row r="953" spans="1:23" ht="21.75" customHeight="1" x14ac:dyDescent="0.6">
      <c r="A953" s="34"/>
      <c r="B953" s="485"/>
      <c r="C953" s="34"/>
      <c r="D953" s="36"/>
      <c r="E953" s="36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</row>
    <row r="954" spans="1:23" ht="21.75" customHeight="1" x14ac:dyDescent="0.6">
      <c r="A954" s="34"/>
      <c r="B954" s="485"/>
      <c r="C954" s="34"/>
      <c r="D954" s="36"/>
      <c r="E954" s="36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</row>
    <row r="955" spans="1:23" ht="21.75" customHeight="1" x14ac:dyDescent="0.6">
      <c r="A955" s="34"/>
      <c r="B955" s="485"/>
      <c r="C955" s="34"/>
      <c r="D955" s="36"/>
      <c r="E955" s="36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</row>
    <row r="956" spans="1:23" ht="21.75" customHeight="1" x14ac:dyDescent="0.6">
      <c r="A956" s="34"/>
      <c r="B956" s="485"/>
      <c r="C956" s="34"/>
      <c r="D956" s="36"/>
      <c r="E956" s="36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</row>
    <row r="957" spans="1:23" ht="21.75" customHeight="1" x14ac:dyDescent="0.6">
      <c r="A957" s="34"/>
      <c r="B957" s="485"/>
      <c r="C957" s="34"/>
      <c r="D957" s="36"/>
      <c r="E957" s="36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</row>
    <row r="958" spans="1:23" ht="21.75" customHeight="1" x14ac:dyDescent="0.6">
      <c r="A958" s="34"/>
      <c r="B958" s="485"/>
      <c r="C958" s="34"/>
      <c r="D958" s="36"/>
      <c r="E958" s="36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</row>
    <row r="959" spans="1:23" ht="21.75" customHeight="1" x14ac:dyDescent="0.6">
      <c r="A959" s="34"/>
      <c r="B959" s="485"/>
      <c r="C959" s="34"/>
      <c r="D959" s="36"/>
      <c r="E959" s="36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</row>
    <row r="960" spans="1:23" ht="21.75" customHeight="1" x14ac:dyDescent="0.6">
      <c r="A960" s="34"/>
      <c r="B960" s="485"/>
      <c r="C960" s="34"/>
      <c r="D960" s="36"/>
      <c r="E960" s="36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</row>
    <row r="961" spans="1:23" ht="21.75" customHeight="1" x14ac:dyDescent="0.6">
      <c r="A961" s="34"/>
      <c r="B961" s="485"/>
      <c r="C961" s="34"/>
      <c r="D961" s="36"/>
      <c r="E961" s="36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</row>
    <row r="962" spans="1:23" ht="21.75" customHeight="1" x14ac:dyDescent="0.6">
      <c r="A962" s="34"/>
      <c r="B962" s="485"/>
      <c r="C962" s="34"/>
      <c r="D962" s="36"/>
      <c r="E962" s="36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</row>
    <row r="963" spans="1:23" ht="21.75" customHeight="1" x14ac:dyDescent="0.6">
      <c r="A963" s="34"/>
      <c r="B963" s="485"/>
      <c r="C963" s="34"/>
      <c r="D963" s="36"/>
      <c r="E963" s="36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</row>
    <row r="964" spans="1:23" ht="21.75" customHeight="1" x14ac:dyDescent="0.6">
      <c r="A964" s="34"/>
      <c r="B964" s="485"/>
      <c r="C964" s="34"/>
      <c r="D964" s="36"/>
      <c r="E964" s="36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</row>
    <row r="965" spans="1:23" ht="21.75" customHeight="1" x14ac:dyDescent="0.6">
      <c r="A965" s="34"/>
      <c r="B965" s="485"/>
      <c r="C965" s="34"/>
      <c r="D965" s="36"/>
      <c r="E965" s="36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</row>
    <row r="966" spans="1:23" ht="21.75" customHeight="1" x14ac:dyDescent="0.6">
      <c r="A966" s="34"/>
      <c r="B966" s="485"/>
      <c r="C966" s="34"/>
      <c r="D966" s="36"/>
      <c r="E966" s="36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</row>
    <row r="967" spans="1:23" ht="21.75" customHeight="1" x14ac:dyDescent="0.6">
      <c r="A967" s="34"/>
      <c r="B967" s="485"/>
      <c r="C967" s="34"/>
      <c r="D967" s="36"/>
      <c r="E967" s="36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</row>
    <row r="968" spans="1:23" ht="21.75" customHeight="1" x14ac:dyDescent="0.6">
      <c r="A968" s="34"/>
      <c r="B968" s="485"/>
      <c r="C968" s="34"/>
      <c r="D968" s="36"/>
      <c r="E968" s="36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</row>
    <row r="969" spans="1:23" ht="21.75" customHeight="1" x14ac:dyDescent="0.6">
      <c r="A969" s="34"/>
      <c r="B969" s="485"/>
      <c r="C969" s="34"/>
      <c r="D969" s="36"/>
      <c r="E969" s="36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</row>
    <row r="970" spans="1:23" ht="21.75" customHeight="1" x14ac:dyDescent="0.6">
      <c r="A970" s="34"/>
      <c r="B970" s="485"/>
      <c r="C970" s="34"/>
      <c r="D970" s="36"/>
      <c r="E970" s="36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</row>
    <row r="971" spans="1:23" ht="21.75" customHeight="1" x14ac:dyDescent="0.6">
      <c r="A971" s="34"/>
      <c r="B971" s="485"/>
      <c r="C971" s="34"/>
      <c r="D971" s="36"/>
      <c r="E971" s="36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</row>
    <row r="972" spans="1:23" ht="21.75" customHeight="1" x14ac:dyDescent="0.6">
      <c r="A972" s="34"/>
      <c r="B972" s="485"/>
      <c r="C972" s="34"/>
      <c r="D972" s="36"/>
      <c r="E972" s="36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</row>
    <row r="973" spans="1:23" ht="21.75" customHeight="1" x14ac:dyDescent="0.6">
      <c r="A973" s="34"/>
      <c r="B973" s="485"/>
      <c r="C973" s="34"/>
      <c r="D973" s="36"/>
      <c r="E973" s="36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</row>
    <row r="974" spans="1:23" ht="21.75" customHeight="1" x14ac:dyDescent="0.6">
      <c r="A974" s="34"/>
      <c r="B974" s="485"/>
      <c r="C974" s="34"/>
      <c r="D974" s="36"/>
      <c r="E974" s="36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</row>
    <row r="975" spans="1:23" ht="21.75" customHeight="1" x14ac:dyDescent="0.6">
      <c r="A975" s="34"/>
      <c r="B975" s="485"/>
      <c r="C975" s="34"/>
      <c r="D975" s="36"/>
      <c r="E975" s="36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</row>
    <row r="976" spans="1:23" ht="21.75" customHeight="1" x14ac:dyDescent="0.6">
      <c r="A976" s="34"/>
      <c r="B976" s="485"/>
      <c r="C976" s="34"/>
      <c r="D976" s="36"/>
      <c r="E976" s="36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</row>
    <row r="977" spans="1:23" ht="21.75" customHeight="1" x14ac:dyDescent="0.6">
      <c r="A977" s="34"/>
      <c r="B977" s="485"/>
      <c r="C977" s="34"/>
      <c r="D977" s="36"/>
      <c r="E977" s="36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</row>
    <row r="978" spans="1:23" ht="21.75" customHeight="1" x14ac:dyDescent="0.6">
      <c r="A978" s="34"/>
      <c r="B978" s="485"/>
      <c r="C978" s="34"/>
      <c r="D978" s="36"/>
      <c r="E978" s="36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</row>
    <row r="979" spans="1:23" ht="21.75" customHeight="1" x14ac:dyDescent="0.6">
      <c r="A979" s="34"/>
      <c r="B979" s="485"/>
      <c r="C979" s="34"/>
      <c r="D979" s="36"/>
      <c r="E979" s="36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</row>
    <row r="980" spans="1:23" ht="21.75" customHeight="1" x14ac:dyDescent="0.6">
      <c r="A980" s="34"/>
      <c r="B980" s="485"/>
      <c r="C980" s="34"/>
      <c r="D980" s="36"/>
      <c r="E980" s="36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</row>
    <row r="981" spans="1:23" ht="21.75" customHeight="1" x14ac:dyDescent="0.6">
      <c r="A981" s="34"/>
      <c r="B981" s="485"/>
      <c r="C981" s="34"/>
      <c r="D981" s="36"/>
      <c r="E981" s="36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</row>
    <row r="982" spans="1:23" ht="21.75" customHeight="1" x14ac:dyDescent="0.6">
      <c r="A982" s="34"/>
      <c r="B982" s="485"/>
      <c r="C982" s="34"/>
      <c r="D982" s="36"/>
      <c r="E982" s="36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</row>
    <row r="983" spans="1:23" ht="21.75" customHeight="1" x14ac:dyDescent="0.6">
      <c r="A983" s="34"/>
      <c r="B983" s="485"/>
      <c r="C983" s="34"/>
      <c r="D983" s="36"/>
      <c r="E983" s="36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</row>
    <row r="984" spans="1:23" ht="21.75" customHeight="1" x14ac:dyDescent="0.6">
      <c r="A984" s="34"/>
      <c r="B984" s="485"/>
      <c r="C984" s="34"/>
      <c r="D984" s="36"/>
      <c r="E984" s="36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</row>
    <row r="985" spans="1:23" ht="21.75" customHeight="1" x14ac:dyDescent="0.6">
      <c r="A985" s="34"/>
      <c r="B985" s="485"/>
      <c r="C985" s="34"/>
      <c r="D985" s="36"/>
      <c r="E985" s="36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</row>
    <row r="986" spans="1:23" ht="21.75" customHeight="1" x14ac:dyDescent="0.6">
      <c r="A986" s="34"/>
      <c r="B986" s="485"/>
      <c r="C986" s="34"/>
      <c r="D986" s="36"/>
      <c r="E986" s="36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</row>
    <row r="987" spans="1:23" ht="21.75" customHeight="1" x14ac:dyDescent="0.6">
      <c r="A987" s="34"/>
      <c r="B987" s="485"/>
      <c r="C987" s="34"/>
      <c r="D987" s="36"/>
      <c r="E987" s="36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</row>
    <row r="988" spans="1:23" ht="21.75" customHeight="1" x14ac:dyDescent="0.6">
      <c r="A988" s="34"/>
      <c r="B988" s="485"/>
      <c r="C988" s="34"/>
      <c r="D988" s="36"/>
      <c r="E988" s="36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</row>
    <row r="989" spans="1:23" ht="21.75" customHeight="1" x14ac:dyDescent="0.6">
      <c r="A989" s="34"/>
      <c r="B989" s="485"/>
      <c r="C989" s="34"/>
      <c r="D989" s="36"/>
      <c r="E989" s="36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</row>
    <row r="990" spans="1:23" ht="21.75" customHeight="1" x14ac:dyDescent="0.6">
      <c r="A990" s="34"/>
      <c r="B990" s="485"/>
      <c r="C990" s="34"/>
      <c r="D990" s="36"/>
      <c r="E990" s="36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</row>
    <row r="991" spans="1:23" ht="21.75" customHeight="1" x14ac:dyDescent="0.6">
      <c r="A991" s="34"/>
      <c r="B991" s="485"/>
      <c r="C991" s="34"/>
      <c r="D991" s="36"/>
      <c r="E991" s="36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</row>
    <row r="992" spans="1:23" ht="21.75" customHeight="1" x14ac:dyDescent="0.6">
      <c r="A992" s="34"/>
      <c r="B992" s="485"/>
      <c r="C992" s="34"/>
      <c r="D992" s="36"/>
      <c r="E992" s="36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</row>
    <row r="993" spans="1:23" ht="21.75" customHeight="1" x14ac:dyDescent="0.6">
      <c r="A993" s="34"/>
      <c r="B993" s="485"/>
      <c r="C993" s="34"/>
      <c r="D993" s="36"/>
      <c r="E993" s="36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</row>
    <row r="994" spans="1:23" ht="21.75" customHeight="1" x14ac:dyDescent="0.6">
      <c r="A994" s="34"/>
      <c r="B994" s="485"/>
      <c r="C994" s="34"/>
      <c r="D994" s="36"/>
      <c r="E994" s="36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</row>
    <row r="995" spans="1:23" ht="21.75" customHeight="1" x14ac:dyDescent="0.6">
      <c r="A995" s="34"/>
      <c r="B995" s="485"/>
      <c r="C995" s="34"/>
      <c r="D995" s="36"/>
      <c r="E995" s="36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</row>
    <row r="996" spans="1:23" ht="21.75" customHeight="1" x14ac:dyDescent="0.6">
      <c r="A996" s="34"/>
      <c r="B996" s="485"/>
      <c r="C996" s="34"/>
      <c r="D996" s="36"/>
      <c r="E996" s="36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</row>
    <row r="997" spans="1:23" ht="21.75" customHeight="1" x14ac:dyDescent="0.6">
      <c r="A997" s="34"/>
      <c r="B997" s="485"/>
      <c r="C997" s="34"/>
      <c r="D997" s="36"/>
      <c r="E997" s="36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</row>
    <row r="998" spans="1:23" ht="21.75" customHeight="1" x14ac:dyDescent="0.6">
      <c r="A998" s="34"/>
      <c r="B998" s="485"/>
      <c r="C998" s="34"/>
      <c r="D998" s="36"/>
      <c r="E998" s="36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</row>
    <row r="999" spans="1:23" ht="21.75" customHeight="1" x14ac:dyDescent="0.6">
      <c r="A999" s="34"/>
      <c r="B999" s="485"/>
      <c r="C999" s="34"/>
      <c r="D999" s="36"/>
      <c r="E999" s="36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</row>
    <row r="1000" spans="1:23" ht="21.75" customHeight="1" x14ac:dyDescent="0.6">
      <c r="A1000" s="34"/>
      <c r="B1000" s="485"/>
      <c r="C1000" s="34"/>
      <c r="D1000" s="36"/>
      <c r="E1000" s="36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</row>
    <row r="1001" spans="1:23" ht="21.75" customHeight="1" x14ac:dyDescent="0.6">
      <c r="A1001" s="34"/>
      <c r="B1001" s="485"/>
      <c r="C1001" s="34"/>
      <c r="D1001" s="36"/>
      <c r="E1001" s="36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</row>
  </sheetData>
  <mergeCells count="3">
    <mergeCell ref="A1:A2"/>
    <mergeCell ref="B1:C1"/>
    <mergeCell ref="E1:E2"/>
  </mergeCells>
  <pageMargins left="0.511811024" right="0.511811024" top="0.78740157499999996" bottom="0.78740157499999996" header="0" footer="0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12009-0468-4957-A22F-D7B26F8BE390}">
  <dimension ref="A1:S1020"/>
  <sheetViews>
    <sheetView showGridLines="0" tabSelected="1" zoomScale="70" zoomScaleNormal="70" workbookViewId="0">
      <selection activeCell="A23" sqref="A23:D48"/>
    </sheetView>
  </sheetViews>
  <sheetFormatPr defaultColWidth="14.42578125" defaultRowHeight="15" customHeight="1" x14ac:dyDescent="0.25"/>
  <cols>
    <col min="1" max="1" width="59.140625" bestFit="1" customWidth="1"/>
    <col min="2" max="2" width="21.7109375" customWidth="1"/>
    <col min="3" max="3" width="18.42578125" style="482" bestFit="1" customWidth="1"/>
    <col min="4" max="4" width="21.7109375" style="482" customWidth="1"/>
    <col min="5" max="6" width="17.7109375" customWidth="1"/>
    <col min="7" max="7" width="29.7109375" customWidth="1"/>
    <col min="8" max="8" width="15.7109375" customWidth="1"/>
    <col min="9" max="10" width="19.28515625" customWidth="1"/>
    <col min="11" max="11" width="25" customWidth="1"/>
    <col min="12" max="18" width="9.140625" customWidth="1"/>
  </cols>
  <sheetData>
    <row r="1" spans="1:18" ht="22.5" customHeight="1" thickBot="1" x14ac:dyDescent="0.3">
      <c r="A1" s="456" t="s">
        <v>546</v>
      </c>
      <c r="B1" s="456" t="s">
        <v>547</v>
      </c>
      <c r="C1" s="456" t="s">
        <v>548</v>
      </c>
      <c r="D1" s="456" t="s">
        <v>549</v>
      </c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</row>
    <row r="2" spans="1:18" ht="22.5" customHeight="1" thickBot="1" x14ac:dyDescent="0.3">
      <c r="A2" s="891" t="s">
        <v>550</v>
      </c>
      <c r="B2" s="463">
        <f>ORÇAMENTO_EXECUTIVO_REV03!C3</f>
        <v>14538860.022569677</v>
      </c>
      <c r="C2" s="464">
        <f t="shared" ref="C2:C18" si="0">B2/B$19</f>
        <v>0.16525102256239985</v>
      </c>
      <c r="D2" s="465">
        <f>B2/AREAS_PRIVATIVAS!G$2</f>
        <v>1621.3468072430676</v>
      </c>
      <c r="E2" s="38"/>
      <c r="F2" s="460" t="s">
        <v>1240</v>
      </c>
      <c r="G2" s="916">
        <f>B24</f>
        <v>8967.1500000000015</v>
      </c>
      <c r="H2" s="892"/>
      <c r="I2" s="461" t="s">
        <v>2</v>
      </c>
      <c r="J2" s="38"/>
      <c r="K2" s="38"/>
      <c r="L2" s="38"/>
      <c r="M2" s="38"/>
      <c r="N2" s="38"/>
      <c r="O2" s="38"/>
      <c r="P2" s="38"/>
      <c r="Q2" s="38"/>
      <c r="R2" s="38"/>
    </row>
    <row r="3" spans="1:18" ht="22.5" customHeight="1" x14ac:dyDescent="0.25">
      <c r="A3" s="893" t="s">
        <v>117</v>
      </c>
      <c r="B3" s="894">
        <f>ORÇAMENTO_EXECUTIVO_REV03!C4</f>
        <v>2545063.3884582501</v>
      </c>
      <c r="C3" s="895">
        <f t="shared" si="0"/>
        <v>2.8927600016505111E-2</v>
      </c>
      <c r="D3" s="896">
        <f>B3/AREAS_PRIVATIVAS!G$2</f>
        <v>283.82076673840066</v>
      </c>
      <c r="E3" s="38"/>
      <c r="F3" s="897"/>
      <c r="G3" s="38"/>
      <c r="H3" s="38"/>
      <c r="I3" s="470"/>
      <c r="J3" s="38"/>
      <c r="K3" s="38"/>
      <c r="L3" s="38"/>
      <c r="M3" s="38"/>
      <c r="N3" s="38"/>
      <c r="O3" s="38"/>
      <c r="P3" s="38"/>
      <c r="Q3" s="38"/>
      <c r="R3" s="38"/>
    </row>
    <row r="4" spans="1:18" ht="22.5" customHeight="1" x14ac:dyDescent="0.25">
      <c r="A4" s="891" t="s">
        <v>1241</v>
      </c>
      <c r="B4" s="463">
        <f>ORÇAMENTO_EXECUTIVO_REV03!C5</f>
        <v>5742340.0165556455</v>
      </c>
      <c r="C4" s="464">
        <f t="shared" si="0"/>
        <v>6.5268360666773231E-2</v>
      </c>
      <c r="D4" s="465">
        <f>B4/AREAS_PRIVATIVAS!G$2</f>
        <v>640.37514891081833</v>
      </c>
      <c r="E4" s="38"/>
      <c r="F4" s="897"/>
      <c r="G4" s="38"/>
      <c r="H4" s="38"/>
      <c r="I4" s="470"/>
      <c r="J4" s="38"/>
      <c r="K4" s="38"/>
      <c r="L4" s="38"/>
      <c r="M4" s="38"/>
      <c r="N4" s="38"/>
      <c r="O4" s="38"/>
      <c r="P4" s="38"/>
      <c r="Q4" s="38"/>
      <c r="R4" s="38"/>
    </row>
    <row r="5" spans="1:18" ht="19.5" customHeight="1" x14ac:dyDescent="0.25">
      <c r="A5" s="466" t="s">
        <v>118</v>
      </c>
      <c r="B5" s="894">
        <f>ORÇAMENTO_EXECUTIVO_REV03!C6</f>
        <v>1644604.5753569845</v>
      </c>
      <c r="C5" s="467">
        <f t="shared" si="0"/>
        <v>1.8692840247904696E-2</v>
      </c>
      <c r="D5" s="468">
        <f>B5/AREAS_PRIVATIVAS!G$2</f>
        <v>183.40326361853926</v>
      </c>
      <c r="E5" s="38"/>
      <c r="F5" s="469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</row>
    <row r="6" spans="1:18" ht="19.5" customHeight="1" x14ac:dyDescent="0.25">
      <c r="A6" s="462" t="s">
        <v>28</v>
      </c>
      <c r="B6" s="463">
        <f>ORÇAMENTO_EXECUTIVO_REV03!C7</f>
        <v>16955389.957323126</v>
      </c>
      <c r="C6" s="464">
        <f t="shared" si="0"/>
        <v>0.1927176906609126</v>
      </c>
      <c r="D6" s="465">
        <f>B6/AREAS_PRIVATIVAS!G$2</f>
        <v>1890.8337607069275</v>
      </c>
      <c r="E6" s="38"/>
      <c r="F6" s="469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</row>
    <row r="7" spans="1:18" ht="19.5" customHeight="1" x14ac:dyDescent="0.25">
      <c r="A7" s="466" t="s">
        <v>162</v>
      </c>
      <c r="B7" s="894">
        <f>ORÇAMENTO_EXECUTIVO_REV03!C8</f>
        <v>3148673.3767500008</v>
      </c>
      <c r="C7" s="467">
        <f t="shared" si="0"/>
        <v>3.5788328274377154E-2</v>
      </c>
      <c r="D7" s="468">
        <f>B7/AREAS_PRIVATIVAS!G$2</f>
        <v>351.13423738311508</v>
      </c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</row>
    <row r="8" spans="1:18" ht="19.5" customHeight="1" x14ac:dyDescent="0.25">
      <c r="A8" s="462" t="s">
        <v>551</v>
      </c>
      <c r="B8" s="463">
        <f>ORÇAMENTO_EXECUTIVO_REV03!C9</f>
        <v>6206500.608</v>
      </c>
      <c r="C8" s="464">
        <f t="shared" si="0"/>
        <v>7.0544084640336249E-2</v>
      </c>
      <c r="D8" s="465">
        <f>B8/AREAS_PRIVATIVAS!G$2</f>
        <v>692.13748047038348</v>
      </c>
      <c r="E8" s="38"/>
      <c r="F8" s="470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</row>
    <row r="9" spans="1:18" ht="19.5" customHeight="1" x14ac:dyDescent="0.25">
      <c r="A9" s="466" t="s">
        <v>552</v>
      </c>
      <c r="B9" s="894">
        <f>ORÇAMENTO_EXECUTIVO_REV03!C10</f>
        <v>7227828.5380000006</v>
      </c>
      <c r="C9" s="467">
        <f t="shared" si="0"/>
        <v>8.2152662241471233E-2</v>
      </c>
      <c r="D9" s="468">
        <f>B9/AREAS_PRIVATIVAS!G$2</f>
        <v>806.03408418505319</v>
      </c>
      <c r="E9" s="765"/>
      <c r="F9" s="472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</row>
    <row r="10" spans="1:18" ht="19.5" customHeight="1" x14ac:dyDescent="0.25">
      <c r="A10" s="462" t="s">
        <v>216</v>
      </c>
      <c r="B10" s="463">
        <f>ORÇAMENTO_EXECUTIVO_REV03!C11</f>
        <v>1260169.0552000001</v>
      </c>
      <c r="C10" s="464">
        <f t="shared" si="0"/>
        <v>1.4323284263692022E-2</v>
      </c>
      <c r="D10" s="465">
        <f>B10/AREAS_PRIVATIVAS!G$2</f>
        <v>140.53172470628905</v>
      </c>
      <c r="E10" s="38"/>
      <c r="F10" s="470"/>
      <c r="G10" s="473"/>
      <c r="H10" s="473"/>
      <c r="I10" s="38"/>
      <c r="J10" s="38"/>
      <c r="K10" s="38"/>
      <c r="L10" s="38"/>
      <c r="M10" s="38"/>
      <c r="N10" s="38"/>
      <c r="O10" s="38"/>
      <c r="P10" s="38"/>
      <c r="Q10" s="38"/>
      <c r="R10" s="38"/>
    </row>
    <row r="11" spans="1:18" ht="19.5" customHeight="1" x14ac:dyDescent="0.25">
      <c r="A11" s="466" t="s">
        <v>171</v>
      </c>
      <c r="B11" s="894">
        <f>ORÇAMENTO_EXECUTIVO_REV03!C12</f>
        <v>1754484.6086989837</v>
      </c>
      <c r="C11" s="467">
        <f t="shared" si="0"/>
        <v>1.9941754388405973E-2</v>
      </c>
      <c r="D11" s="468">
        <f>B11/AREAS_PRIVATIVAS!G$2</f>
        <v>195.656881918891</v>
      </c>
      <c r="E11" s="38"/>
      <c r="F11" s="366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</row>
    <row r="12" spans="1:18" ht="19.5" customHeight="1" x14ac:dyDescent="0.25">
      <c r="A12" s="462" t="s">
        <v>553</v>
      </c>
      <c r="B12" s="463">
        <f>ORÇAMENTO_EXECUTIVO_REV03!C13</f>
        <v>1764973.6104000001</v>
      </c>
      <c r="C12" s="464">
        <f t="shared" si="0"/>
        <v>2.0060974069595623E-2</v>
      </c>
      <c r="D12" s="465">
        <f>B12/AREAS_PRIVATIVAS!G$2</f>
        <v>196.82659600876531</v>
      </c>
      <c r="E12" s="38"/>
      <c r="F12" s="38"/>
      <c r="G12" s="474"/>
      <c r="H12" s="474"/>
      <c r="I12" s="38"/>
      <c r="J12" s="38"/>
      <c r="K12" s="38"/>
      <c r="L12" s="38"/>
      <c r="M12" s="38"/>
      <c r="N12" s="38"/>
      <c r="O12" s="38"/>
      <c r="P12" s="38"/>
      <c r="Q12" s="38"/>
      <c r="R12" s="38"/>
    </row>
    <row r="13" spans="1:18" ht="19.5" customHeight="1" x14ac:dyDescent="0.25">
      <c r="A13" s="466" t="s">
        <v>185</v>
      </c>
      <c r="B13" s="894">
        <f>ORÇAMENTO_EXECUTIVO_REV03!C14</f>
        <v>4311125.5016342858</v>
      </c>
      <c r="C13" s="467">
        <f t="shared" si="0"/>
        <v>4.9000946183811463E-2</v>
      </c>
      <c r="D13" s="468">
        <f>B13/AREAS_PRIVATIVAS!G$2</f>
        <v>480.76875056559612</v>
      </c>
      <c r="E13" s="38"/>
      <c r="F13" s="38"/>
      <c r="G13" s="366"/>
      <c r="H13" s="366"/>
      <c r="I13" s="38"/>
      <c r="J13" s="38"/>
      <c r="K13" s="38"/>
      <c r="L13" s="38"/>
      <c r="M13" s="38"/>
      <c r="N13" s="38"/>
      <c r="P13" s="38"/>
      <c r="Q13" s="38"/>
      <c r="R13" s="38"/>
    </row>
    <row r="14" spans="1:18" ht="19.5" customHeight="1" x14ac:dyDescent="0.25">
      <c r="A14" s="462" t="s">
        <v>554</v>
      </c>
      <c r="B14" s="463">
        <f>ORÇAMENTO_EXECUTIVO_REV03!C15</f>
        <v>2297072.5250000004</v>
      </c>
      <c r="C14" s="464">
        <f t="shared" si="0"/>
        <v>2.6108895956558801E-2</v>
      </c>
      <c r="D14" s="465">
        <f>B14/AREAS_PRIVATIVAS!G$2</f>
        <v>256.16528384157732</v>
      </c>
      <c r="E14" s="38"/>
      <c r="F14" s="38"/>
      <c r="G14" s="38"/>
      <c r="H14" s="38"/>
      <c r="I14" s="38"/>
      <c r="J14" s="38"/>
      <c r="K14" s="38"/>
      <c r="L14" s="38"/>
      <c r="M14" s="38"/>
      <c r="N14" s="38"/>
      <c r="P14" s="38"/>
      <c r="Q14" s="38"/>
      <c r="R14" s="38"/>
    </row>
    <row r="15" spans="1:18" ht="19.5" customHeight="1" x14ac:dyDescent="0.25">
      <c r="A15" s="466" t="s">
        <v>555</v>
      </c>
      <c r="B15" s="894">
        <f>ORÇAMENTO_EXECUTIVO_REV03!C16</f>
        <v>9402166.3945000023</v>
      </c>
      <c r="C15" s="467">
        <f t="shared" si="0"/>
        <v>0.10686653620579703</v>
      </c>
      <c r="D15" s="468">
        <f>B15/AREAS_PRIVATIVAS!G$2</f>
        <v>1048.5122245641035</v>
      </c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</row>
    <row r="16" spans="1:18" ht="19.5" customHeight="1" x14ac:dyDescent="0.25">
      <c r="A16" s="462" t="s">
        <v>556</v>
      </c>
      <c r="B16" s="463">
        <f>ORÇAMENTO_EXECUTIVO_REV03!C17</f>
        <v>3087626.2103809789</v>
      </c>
      <c r="C16" s="464">
        <f t="shared" si="0"/>
        <v>3.5094456357916214E-2</v>
      </c>
      <c r="D16" s="465">
        <f>B16/AREAS_PRIVATIVAS!G$2</f>
        <v>344.32637018238552</v>
      </c>
      <c r="E16" s="38"/>
      <c r="F16" s="38"/>
      <c r="G16" s="38"/>
      <c r="H16" s="38"/>
      <c r="I16" s="38"/>
      <c r="J16" s="38"/>
      <c r="K16" s="38"/>
      <c r="L16" s="38"/>
      <c r="M16" s="38"/>
      <c r="N16" s="38"/>
      <c r="P16" s="38"/>
      <c r="Q16" s="38"/>
      <c r="R16" s="38"/>
    </row>
    <row r="17" spans="1:19" ht="19.5" customHeight="1" x14ac:dyDescent="0.25">
      <c r="A17" s="466" t="s">
        <v>271</v>
      </c>
      <c r="B17" s="894">
        <f>ORÇAMENTO_EXECUTIVO_REV03!C18</f>
        <v>3531038.3132285946</v>
      </c>
      <c r="C17" s="467">
        <f t="shared" si="0"/>
        <v>4.0134349671309681E-2</v>
      </c>
      <c r="D17" s="468">
        <f>B17/AREAS_PRIVATIVAS!G$2</f>
        <v>393.77486862922933</v>
      </c>
      <c r="E17" s="38"/>
      <c r="F17" s="38"/>
      <c r="G17" s="38"/>
      <c r="H17" s="38"/>
      <c r="I17" s="38"/>
      <c r="J17" s="38"/>
      <c r="K17" s="38"/>
      <c r="L17" s="38"/>
      <c r="M17" s="38"/>
      <c r="N17" s="38"/>
      <c r="P17" s="38"/>
      <c r="Q17" s="38"/>
      <c r="R17" s="38"/>
    </row>
    <row r="18" spans="1:19" ht="19.5" customHeight="1" x14ac:dyDescent="0.25">
      <c r="A18" s="462" t="s">
        <v>557</v>
      </c>
      <c r="B18" s="463">
        <f>ORÇAMENTO_EXECUTIVO_REV03!C19</f>
        <v>2562537.5010616961</v>
      </c>
      <c r="C18" s="464">
        <f t="shared" si="0"/>
        <v>2.9126213592233011E-2</v>
      </c>
      <c r="D18" s="465">
        <f>B18/AREAS_PRIVATIVAS!G$2</f>
        <v>285.7694474901943</v>
      </c>
      <c r="E18" s="38"/>
      <c r="F18" s="38"/>
      <c r="G18" s="38"/>
      <c r="H18" s="38"/>
      <c r="I18" s="38"/>
      <c r="J18" s="38"/>
      <c r="K18" s="38"/>
      <c r="L18" s="38"/>
      <c r="M18" s="38"/>
      <c r="N18" s="38"/>
      <c r="P18" s="38"/>
      <c r="Q18" s="38"/>
      <c r="R18" s="38"/>
    </row>
    <row r="19" spans="1:19" ht="19.5" customHeight="1" x14ac:dyDescent="0.25">
      <c r="A19" s="455" t="s">
        <v>17</v>
      </c>
      <c r="B19" s="475">
        <f>SUM(B2:B18)</f>
        <v>87980454.203118235</v>
      </c>
      <c r="C19" s="476">
        <f>SUM(C2:C18)</f>
        <v>0.99999999999999978</v>
      </c>
      <c r="D19" s="477">
        <f>SUM(D2:D18)</f>
        <v>9811.4176971633369</v>
      </c>
      <c r="E19" s="366"/>
      <c r="F19" s="38"/>
      <c r="G19" s="38"/>
      <c r="H19" s="38"/>
      <c r="I19" s="38"/>
      <c r="J19" s="38"/>
      <c r="K19" s="38"/>
      <c r="L19" s="38"/>
      <c r="M19" s="38"/>
      <c r="N19" s="38"/>
      <c r="P19" s="38"/>
      <c r="Q19" s="38"/>
      <c r="R19" s="38"/>
    </row>
    <row r="20" spans="1:19" ht="22.5" customHeight="1" x14ac:dyDescent="0.25">
      <c r="A20" s="38"/>
      <c r="B20" s="38"/>
      <c r="C20" s="470"/>
      <c r="D20" s="470"/>
      <c r="E20" s="366"/>
      <c r="F20" s="38"/>
      <c r="G20" s="38"/>
      <c r="H20" s="38"/>
      <c r="I20" s="38"/>
      <c r="J20" s="38"/>
      <c r="K20" s="38"/>
      <c r="L20" s="38"/>
      <c r="M20" s="38"/>
      <c r="N20" s="38"/>
      <c r="P20" s="38"/>
      <c r="Q20" s="38"/>
      <c r="R20" s="38"/>
    </row>
    <row r="21" spans="1:19" ht="22.5" customHeight="1" x14ac:dyDescent="0.25">
      <c r="A21" s="38"/>
      <c r="B21" s="38"/>
      <c r="C21" s="470"/>
      <c r="D21" s="470"/>
      <c r="E21" s="366"/>
      <c r="F21" s="38"/>
      <c r="G21" s="38"/>
      <c r="H21" s="38"/>
      <c r="I21" s="38"/>
      <c r="J21" s="38"/>
      <c r="K21" s="470"/>
      <c r="L21" s="38"/>
      <c r="M21" s="38"/>
      <c r="N21" s="38"/>
      <c r="P21" s="38"/>
      <c r="Q21" s="38"/>
      <c r="R21" s="38"/>
      <c r="S21" s="38"/>
    </row>
    <row r="22" spans="1:19" ht="19.149999999999999" customHeight="1" x14ac:dyDescent="0.25">
      <c r="A22" s="1138" t="s">
        <v>1334</v>
      </c>
      <c r="B22" s="1138"/>
      <c r="C22" s="1138"/>
      <c r="D22" s="1138"/>
      <c r="E22" s="38"/>
      <c r="F22" s="366"/>
      <c r="G22" s="38"/>
      <c r="H22" s="38"/>
      <c r="I22" s="38"/>
      <c r="K22" s="38"/>
      <c r="L22" s="38"/>
      <c r="M22" s="38"/>
      <c r="N22" s="38"/>
    </row>
    <row r="23" spans="1:19" ht="19.5" customHeight="1" x14ac:dyDescent="0.25">
      <c r="A23" s="934" t="s">
        <v>1242</v>
      </c>
      <c r="B23" s="456" t="s">
        <v>1243</v>
      </c>
      <c r="C23" s="456" t="s">
        <v>1244</v>
      </c>
      <c r="D23" s="778" t="s">
        <v>1245</v>
      </c>
      <c r="E23" s="470"/>
      <c r="F23" s="38"/>
      <c r="G23" s="470"/>
      <c r="H23" s="472"/>
      <c r="I23" s="38"/>
      <c r="J23" s="38"/>
      <c r="L23" s="38"/>
      <c r="M23" s="38"/>
      <c r="N23" s="38"/>
      <c r="O23" s="38"/>
    </row>
    <row r="24" spans="1:19" ht="19.5" customHeight="1" x14ac:dyDescent="0.45">
      <c r="A24" s="1169" t="s">
        <v>1246</v>
      </c>
      <c r="B24" s="1170">
        <f>SUMPRODUCT(B25:B48,C25:C48)</f>
        <v>8967.1500000000015</v>
      </c>
      <c r="C24" s="1170"/>
      <c r="D24" s="1171">
        <f>B19/AREAS_PRIVATIVAS!B24</f>
        <v>9811.4176971633369</v>
      </c>
      <c r="E24" s="470"/>
      <c r="F24" s="38"/>
      <c r="G24" s="470"/>
      <c r="H24" s="479"/>
      <c r="I24" s="38"/>
      <c r="J24" s="38"/>
      <c r="L24" s="38"/>
      <c r="M24" s="38"/>
      <c r="N24" s="38"/>
      <c r="O24" s="38"/>
    </row>
    <row r="25" spans="1:19" ht="19.5" customHeight="1" x14ac:dyDescent="0.25">
      <c r="A25" s="902" t="s">
        <v>1335</v>
      </c>
      <c r="B25" s="903">
        <v>440.5</v>
      </c>
      <c r="C25" s="903">
        <v>1</v>
      </c>
      <c r="D25" s="904">
        <f>B25*$D$24</f>
        <v>4321929.4956004499</v>
      </c>
      <c r="E25" s="470"/>
      <c r="F25" s="472"/>
      <c r="G25" s="470"/>
      <c r="H25" s="480"/>
      <c r="I25" s="38"/>
      <c r="J25" s="38"/>
      <c r="L25" s="38"/>
      <c r="M25" s="38"/>
      <c r="N25" s="38"/>
      <c r="O25" s="38"/>
    </row>
    <row r="26" spans="1:19" ht="19.5" customHeight="1" x14ac:dyDescent="0.45">
      <c r="A26" s="900" t="s">
        <v>1342</v>
      </c>
      <c r="B26" s="901">
        <v>283.58999999999997</v>
      </c>
      <c r="C26" s="901">
        <v>1</v>
      </c>
      <c r="D26" s="905">
        <f t="shared" ref="D26:D31" si="1">B26*$D$24</f>
        <v>2782419.9447385506</v>
      </c>
      <c r="E26" s="470"/>
      <c r="F26" s="479"/>
      <c r="G26" s="470"/>
      <c r="H26" s="906"/>
      <c r="I26" s="38"/>
      <c r="J26" s="38"/>
      <c r="L26" s="38"/>
      <c r="M26" s="38"/>
      <c r="N26" s="38"/>
      <c r="O26" s="38"/>
    </row>
    <row r="27" spans="1:19" ht="19.5" customHeight="1" x14ac:dyDescent="0.25">
      <c r="A27" s="913" t="s">
        <v>1361</v>
      </c>
      <c r="B27" s="914">
        <v>400.29</v>
      </c>
      <c r="C27" s="914">
        <v>1</v>
      </c>
      <c r="D27" s="915">
        <f t="shared" si="1"/>
        <v>3927412.3899975126</v>
      </c>
      <c r="E27" s="470"/>
      <c r="F27" s="480"/>
      <c r="G27" s="470"/>
      <c r="H27" s="480"/>
      <c r="I27" s="38"/>
      <c r="J27" s="38"/>
      <c r="L27" s="38"/>
      <c r="M27" s="38"/>
      <c r="N27" s="38"/>
      <c r="O27" s="38"/>
    </row>
    <row r="28" spans="1:19" ht="19.5" customHeight="1" x14ac:dyDescent="0.45">
      <c r="A28" s="900" t="s">
        <v>1337</v>
      </c>
      <c r="B28" s="901">
        <v>299.60000000000002</v>
      </c>
      <c r="C28" s="901">
        <v>1</v>
      </c>
      <c r="D28" s="905">
        <f t="shared" si="1"/>
        <v>2939500.7420701361</v>
      </c>
      <c r="E28" s="470"/>
      <c r="F28" s="906"/>
      <c r="G28" s="470"/>
      <c r="H28" s="479"/>
      <c r="I28" s="38"/>
      <c r="J28" s="38"/>
      <c r="L28" s="38"/>
      <c r="M28" s="38"/>
      <c r="N28" s="38"/>
      <c r="O28" s="38"/>
    </row>
    <row r="29" spans="1:19" ht="19.149999999999999" customHeight="1" x14ac:dyDescent="0.25">
      <c r="A29" s="902" t="s">
        <v>1340</v>
      </c>
      <c r="B29" s="903">
        <v>316.11</v>
      </c>
      <c r="C29" s="903">
        <v>1</v>
      </c>
      <c r="D29" s="904">
        <f t="shared" si="1"/>
        <v>3101487.2482503024</v>
      </c>
      <c r="E29" s="470"/>
      <c r="F29" s="480"/>
      <c r="G29" s="38"/>
      <c r="H29" s="38"/>
      <c r="I29" s="38"/>
      <c r="J29" s="38"/>
      <c r="L29" s="38"/>
      <c r="M29" s="38"/>
      <c r="N29" s="38"/>
      <c r="O29" s="38"/>
    </row>
    <row r="30" spans="1:19" ht="18.600000000000001" customHeight="1" x14ac:dyDescent="0.45">
      <c r="A30" s="931" t="s">
        <v>1355</v>
      </c>
      <c r="B30" s="901">
        <v>258.86</v>
      </c>
      <c r="C30" s="932">
        <v>1</v>
      </c>
      <c r="D30" s="933">
        <f t="shared" si="1"/>
        <v>2539783.5850877017</v>
      </c>
      <c r="E30" s="470"/>
      <c r="F30" s="479"/>
      <c r="G30" s="38"/>
      <c r="H30" s="38"/>
      <c r="I30" s="38"/>
      <c r="J30" s="38"/>
      <c r="L30" s="38"/>
      <c r="M30" s="38"/>
      <c r="N30" s="38"/>
      <c r="O30" s="38"/>
    </row>
    <row r="31" spans="1:19" ht="19.5" customHeight="1" x14ac:dyDescent="0.25">
      <c r="A31" s="902" t="s">
        <v>1358</v>
      </c>
      <c r="B31" s="903">
        <v>313.82</v>
      </c>
      <c r="C31" s="903">
        <v>1</v>
      </c>
      <c r="D31" s="904">
        <f t="shared" si="1"/>
        <v>3079019.1017237986</v>
      </c>
      <c r="E31" s="470"/>
      <c r="F31" s="38"/>
      <c r="G31" s="38"/>
      <c r="H31" s="38"/>
      <c r="I31" s="897"/>
      <c r="J31" s="38"/>
      <c r="L31" s="38"/>
      <c r="M31" s="38"/>
      <c r="N31" s="38"/>
      <c r="O31" s="38"/>
    </row>
    <row r="32" spans="1:19" ht="18.600000000000001" customHeight="1" x14ac:dyDescent="0.25">
      <c r="A32" s="900" t="s">
        <v>1338</v>
      </c>
      <c r="B32" s="901">
        <v>240.94</v>
      </c>
      <c r="C32" s="901">
        <v>1</v>
      </c>
      <c r="D32" s="905">
        <f t="shared" ref="D32:D33" si="2">B32*$D$24</f>
        <v>2363962.9799545342</v>
      </c>
      <c r="E32" s="470"/>
      <c r="F32" s="38"/>
      <c r="G32" s="38"/>
      <c r="H32" s="38"/>
      <c r="I32" s="897" t="s">
        <v>1350</v>
      </c>
      <c r="J32" s="38"/>
      <c r="L32" s="38"/>
      <c r="M32" s="38"/>
      <c r="N32" s="38"/>
      <c r="O32" s="38"/>
    </row>
    <row r="33" spans="1:15" ht="19.5" customHeight="1" x14ac:dyDescent="0.25">
      <c r="A33" s="902" t="s">
        <v>1341</v>
      </c>
      <c r="B33" s="903">
        <v>547.47</v>
      </c>
      <c r="C33" s="903">
        <v>1</v>
      </c>
      <c r="D33" s="904">
        <f t="shared" si="2"/>
        <v>5371456.846666012</v>
      </c>
      <c r="E33" s="470"/>
      <c r="F33" s="38"/>
      <c r="G33" s="38"/>
      <c r="H33" s="38"/>
      <c r="I33" s="897" t="s">
        <v>1349</v>
      </c>
      <c r="J33" s="38"/>
      <c r="L33" s="38"/>
      <c r="M33" s="38"/>
      <c r="N33" s="38"/>
      <c r="O33" s="38"/>
    </row>
    <row r="34" spans="1:15" ht="18.600000000000001" customHeight="1" x14ac:dyDescent="0.25">
      <c r="A34" s="900" t="s">
        <v>1356</v>
      </c>
      <c r="B34" s="901">
        <v>441.27</v>
      </c>
      <c r="C34" s="901">
        <v>1</v>
      </c>
      <c r="D34" s="905">
        <f>B34*$D$24</f>
        <v>4329484.2872272655</v>
      </c>
      <c r="E34" s="470"/>
      <c r="F34" s="38"/>
      <c r="G34" s="38"/>
      <c r="H34" s="38"/>
      <c r="I34" s="897"/>
      <c r="J34" s="38"/>
      <c r="L34" s="38"/>
      <c r="M34" s="38"/>
      <c r="N34" s="38"/>
      <c r="O34" s="38"/>
    </row>
    <row r="35" spans="1:15" ht="19.5" customHeight="1" x14ac:dyDescent="0.25">
      <c r="A35" s="913" t="s">
        <v>1357</v>
      </c>
      <c r="B35" s="903">
        <v>429.88</v>
      </c>
      <c r="C35" s="903">
        <v>1</v>
      </c>
      <c r="D35" s="904">
        <f>B35*$D$24</f>
        <v>4217732.239656575</v>
      </c>
      <c r="E35" s="470"/>
      <c r="F35" s="38"/>
      <c r="G35" s="38"/>
      <c r="H35" s="38"/>
      <c r="I35" s="897" t="s">
        <v>1360</v>
      </c>
      <c r="J35" s="38"/>
      <c r="L35" s="38"/>
      <c r="M35" s="38"/>
      <c r="N35" s="38"/>
      <c r="O35" s="38"/>
    </row>
    <row r="36" spans="1:15" ht="18.600000000000001" customHeight="1" x14ac:dyDescent="0.25">
      <c r="A36" s="900" t="s">
        <v>1339</v>
      </c>
      <c r="B36" s="901">
        <v>410.08</v>
      </c>
      <c r="C36" s="901">
        <v>1</v>
      </c>
      <c r="D36" s="905">
        <f t="shared" ref="D36:D37" si="3">B36*$D$24</f>
        <v>4023466.1692527412</v>
      </c>
      <c r="E36" s="470"/>
      <c r="F36" s="38"/>
      <c r="G36" s="38"/>
      <c r="H36" s="38"/>
      <c r="I36" s="897" t="s">
        <v>1359</v>
      </c>
      <c r="J36" s="38"/>
      <c r="L36" s="38"/>
      <c r="M36" s="38"/>
      <c r="N36" s="38"/>
      <c r="O36" s="38"/>
    </row>
    <row r="37" spans="1:15" ht="19.5" customHeight="1" x14ac:dyDescent="0.25">
      <c r="A37" s="902" t="s">
        <v>1351</v>
      </c>
      <c r="B37" s="903">
        <v>420.3</v>
      </c>
      <c r="C37" s="903">
        <v>1</v>
      </c>
      <c r="D37" s="904">
        <f t="shared" si="3"/>
        <v>4123738.8581177508</v>
      </c>
      <c r="E37" s="470"/>
      <c r="F37" s="38"/>
      <c r="G37" s="38"/>
      <c r="H37" s="38"/>
      <c r="I37" s="897"/>
      <c r="J37" s="38"/>
      <c r="L37" s="38"/>
      <c r="M37" s="38"/>
      <c r="N37" s="38"/>
      <c r="O37" s="38"/>
    </row>
    <row r="38" spans="1:15" ht="18.600000000000001" customHeight="1" x14ac:dyDescent="0.25">
      <c r="A38" s="900" t="s">
        <v>1354</v>
      </c>
      <c r="B38" s="901">
        <v>347.94</v>
      </c>
      <c r="C38" s="901">
        <v>1</v>
      </c>
      <c r="D38" s="905">
        <f>B38*$D$24</f>
        <v>3413784.6735510114</v>
      </c>
      <c r="E38" s="470"/>
      <c r="F38" s="38"/>
      <c r="G38" s="38"/>
      <c r="H38" s="38"/>
      <c r="I38" s="897"/>
      <c r="J38" s="38"/>
      <c r="L38" s="38"/>
      <c r="M38" s="38"/>
      <c r="N38" s="38"/>
      <c r="O38" s="38"/>
    </row>
    <row r="39" spans="1:15" ht="19.5" customHeight="1" x14ac:dyDescent="0.25">
      <c r="A39" s="902" t="s">
        <v>1348</v>
      </c>
      <c r="B39" s="903">
        <v>397.34</v>
      </c>
      <c r="C39" s="903">
        <v>1</v>
      </c>
      <c r="D39" s="904">
        <f t="shared" ref="D39:D42" si="4">B39*$D$24</f>
        <v>3898468.70779088</v>
      </c>
      <c r="E39" s="470"/>
      <c r="F39" s="38"/>
      <c r="G39" s="38"/>
      <c r="H39" s="38"/>
      <c r="I39" s="897"/>
      <c r="J39" s="38"/>
      <c r="L39" s="38"/>
      <c r="M39" s="38"/>
      <c r="N39" s="38"/>
      <c r="O39" s="38"/>
    </row>
    <row r="40" spans="1:15" ht="18.600000000000001" customHeight="1" x14ac:dyDescent="0.25">
      <c r="A40" s="900" t="s">
        <v>1343</v>
      </c>
      <c r="B40" s="901">
        <v>326.95999999999998</v>
      </c>
      <c r="C40" s="901">
        <v>1</v>
      </c>
      <c r="D40" s="905">
        <f t="shared" si="4"/>
        <v>3207941.1302645244</v>
      </c>
      <c r="E40" s="470"/>
      <c r="F40" s="38"/>
      <c r="G40" s="38"/>
      <c r="H40" s="38"/>
      <c r="I40" s="897"/>
      <c r="J40" s="38"/>
      <c r="L40" s="38"/>
      <c r="M40" s="38"/>
      <c r="N40" s="38"/>
      <c r="O40" s="38"/>
    </row>
    <row r="41" spans="1:15" ht="19.5" customHeight="1" x14ac:dyDescent="0.25">
      <c r="A41" s="902" t="s">
        <v>1352</v>
      </c>
      <c r="B41" s="903">
        <v>316.11</v>
      </c>
      <c r="C41" s="903">
        <v>1</v>
      </c>
      <c r="D41" s="904">
        <f t="shared" si="4"/>
        <v>3101487.2482503024</v>
      </c>
      <c r="E41" s="470"/>
      <c r="F41" s="38"/>
      <c r="G41" s="38"/>
      <c r="H41" s="38"/>
      <c r="I41" s="38"/>
      <c r="J41" s="38"/>
      <c r="L41" s="38"/>
      <c r="M41" s="38"/>
      <c r="N41" s="38"/>
      <c r="O41" s="38"/>
    </row>
    <row r="42" spans="1:15" ht="18.600000000000001" customHeight="1" x14ac:dyDescent="0.25">
      <c r="A42" s="900" t="s">
        <v>1347</v>
      </c>
      <c r="B42" s="901">
        <v>258.86</v>
      </c>
      <c r="C42" s="901">
        <v>1</v>
      </c>
      <c r="D42" s="905">
        <f t="shared" si="4"/>
        <v>2539783.5850877017</v>
      </c>
      <c r="E42" s="470"/>
      <c r="F42" s="38"/>
      <c r="G42" s="38"/>
      <c r="H42" s="38"/>
      <c r="I42" s="38"/>
      <c r="J42" s="38"/>
      <c r="L42" s="38"/>
      <c r="M42" s="38"/>
      <c r="N42" s="38"/>
      <c r="O42" s="38"/>
    </row>
    <row r="43" spans="1:15" ht="19.5" customHeight="1" x14ac:dyDescent="0.25">
      <c r="A43" s="902" t="s">
        <v>1346</v>
      </c>
      <c r="B43" s="903">
        <v>308.81</v>
      </c>
      <c r="C43" s="903">
        <v>1</v>
      </c>
      <c r="D43" s="904">
        <f>B43*$D$24</f>
        <v>3029863.8990610102</v>
      </c>
      <c r="E43" s="470"/>
      <c r="F43" s="38"/>
      <c r="G43" s="38"/>
      <c r="H43" s="38"/>
      <c r="I43" s="38"/>
      <c r="J43" s="38"/>
      <c r="L43" s="38"/>
      <c r="M43" s="38"/>
      <c r="N43" s="38"/>
      <c r="O43" s="38"/>
    </row>
    <row r="44" spans="1:15" ht="18.600000000000001" customHeight="1" x14ac:dyDescent="0.25">
      <c r="A44" s="900" t="s">
        <v>1344</v>
      </c>
      <c r="B44" s="901">
        <v>253.57</v>
      </c>
      <c r="C44" s="901">
        <v>1</v>
      </c>
      <c r="D44" s="905">
        <f t="shared" ref="D44:D45" si="5">B44*$D$24</f>
        <v>2487881.1854697075</v>
      </c>
      <c r="E44" s="470"/>
      <c r="F44" s="38"/>
      <c r="G44" s="38"/>
      <c r="H44" s="38"/>
      <c r="I44" s="38"/>
      <c r="J44" s="38"/>
      <c r="L44" s="38"/>
      <c r="M44" s="38"/>
      <c r="N44" s="38"/>
      <c r="O44" s="38"/>
    </row>
    <row r="45" spans="1:15" ht="19.5" customHeight="1" x14ac:dyDescent="0.25">
      <c r="A45" s="902" t="s">
        <v>1353</v>
      </c>
      <c r="B45" s="903">
        <v>547.47</v>
      </c>
      <c r="C45" s="903">
        <v>1</v>
      </c>
      <c r="D45" s="904">
        <f t="shared" si="5"/>
        <v>5371456.846666012</v>
      </c>
      <c r="E45" s="470"/>
      <c r="F45" s="38"/>
      <c r="G45" s="38"/>
      <c r="H45" s="38"/>
      <c r="I45" s="38"/>
      <c r="J45" s="38"/>
      <c r="L45" s="38"/>
      <c r="M45" s="38"/>
      <c r="N45" s="38"/>
      <c r="O45" s="38"/>
    </row>
    <row r="46" spans="1:15" ht="19.5" customHeight="1" x14ac:dyDescent="0.25">
      <c r="A46" s="900" t="s">
        <v>1336</v>
      </c>
      <c r="B46" s="901">
        <v>441.27</v>
      </c>
      <c r="C46" s="901">
        <v>1</v>
      </c>
      <c r="D46" s="905">
        <f>B46*$D$24</f>
        <v>4329484.2872272655</v>
      </c>
      <c r="E46" s="470"/>
      <c r="F46" s="38"/>
      <c r="G46" s="38"/>
      <c r="H46" s="38"/>
      <c r="I46" s="38"/>
      <c r="J46" s="38"/>
      <c r="L46" s="38"/>
      <c r="M46" s="38"/>
      <c r="N46" s="38"/>
    </row>
    <row r="47" spans="1:15" ht="19.5" customHeight="1" x14ac:dyDescent="0.25">
      <c r="A47" s="902" t="s">
        <v>1345</v>
      </c>
      <c r="B47" s="903">
        <v>543.03</v>
      </c>
      <c r="C47" s="903">
        <v>1</v>
      </c>
      <c r="D47" s="904">
        <f>B47*$D$24</f>
        <v>5327894.1520906063</v>
      </c>
      <c r="E47" s="470"/>
      <c r="F47" s="38"/>
      <c r="G47" s="38"/>
      <c r="H47" s="38"/>
      <c r="I47" s="38"/>
      <c r="J47" s="38"/>
      <c r="L47" s="38"/>
      <c r="M47" s="38"/>
      <c r="N47" s="38"/>
    </row>
    <row r="48" spans="1:15" ht="19.5" customHeight="1" x14ac:dyDescent="0.25">
      <c r="A48" s="908" t="s">
        <v>1362</v>
      </c>
      <c r="B48" s="909">
        <v>423.08</v>
      </c>
      <c r="C48" s="909">
        <v>1</v>
      </c>
      <c r="D48" s="910">
        <f>B48*D24</f>
        <v>4151014.5993158645</v>
      </c>
      <c r="E48" s="470"/>
      <c r="G48" s="38"/>
      <c r="H48" s="38"/>
      <c r="I48" s="38"/>
      <c r="J48" s="38"/>
      <c r="L48" s="38"/>
      <c r="M48" s="38"/>
      <c r="N48" s="38"/>
    </row>
    <row r="49" spans="1:18" ht="19.5" customHeight="1" x14ac:dyDescent="0.25">
      <c r="A49" s="38"/>
      <c r="B49" s="38"/>
      <c r="C49" s="38"/>
      <c r="D49" s="470"/>
      <c r="E49" s="470"/>
      <c r="G49" s="38"/>
      <c r="H49" s="38"/>
      <c r="I49" s="38"/>
      <c r="K49" s="38"/>
      <c r="L49" s="38"/>
      <c r="M49" s="38"/>
    </row>
    <row r="50" spans="1:18" ht="19.5" customHeight="1" thickBot="1" x14ac:dyDescent="0.3">
      <c r="A50" s="38"/>
      <c r="B50" s="38"/>
      <c r="C50" s="470"/>
      <c r="D50" s="470"/>
      <c r="E50" s="38"/>
      <c r="G50" s="38"/>
      <c r="H50" s="38"/>
      <c r="I50" s="38"/>
      <c r="K50" s="38"/>
      <c r="L50" s="38"/>
      <c r="M50" s="38"/>
    </row>
    <row r="51" spans="1:18" ht="19.5" customHeight="1" x14ac:dyDescent="0.25">
      <c r="A51" s="898" t="s">
        <v>1247</v>
      </c>
      <c r="B51" s="899"/>
      <c r="C51" s="911"/>
      <c r="D51" s="470"/>
      <c r="E51" s="38"/>
      <c r="I51" s="38"/>
      <c r="J51" s="38"/>
      <c r="K51" s="38"/>
      <c r="L51" s="38"/>
      <c r="M51" s="38"/>
      <c r="N51" s="38"/>
      <c r="P51" s="38"/>
      <c r="Q51" s="38"/>
      <c r="R51" s="38"/>
    </row>
    <row r="52" spans="1:18" ht="19.5" customHeight="1" x14ac:dyDescent="0.25">
      <c r="A52" s="38"/>
      <c r="B52" s="38"/>
      <c r="C52" s="470"/>
      <c r="D52" s="470"/>
      <c r="E52" s="38"/>
      <c r="F52" s="912"/>
      <c r="G52" s="907"/>
      <c r="H52" s="907"/>
      <c r="I52" s="38"/>
      <c r="J52" s="38"/>
      <c r="K52" s="38"/>
      <c r="L52" s="38"/>
      <c r="M52" s="38"/>
      <c r="N52" s="38"/>
      <c r="P52" s="38"/>
      <c r="Q52" s="38"/>
      <c r="R52" s="38"/>
    </row>
    <row r="53" spans="1:18" ht="19.5" customHeight="1" x14ac:dyDescent="0.25">
      <c r="A53" s="38"/>
      <c r="B53" s="38"/>
      <c r="C53" s="470"/>
      <c r="D53" s="470"/>
      <c r="E53" s="38"/>
      <c r="F53" s="912"/>
      <c r="G53" s="907"/>
      <c r="H53" s="907"/>
      <c r="I53" s="38"/>
      <c r="J53" s="38"/>
      <c r="K53" s="38"/>
      <c r="L53" s="38"/>
      <c r="M53" s="38"/>
      <c r="N53" s="38"/>
      <c r="P53" s="38"/>
      <c r="Q53" s="38"/>
      <c r="R53" s="38"/>
    </row>
    <row r="54" spans="1:18" ht="19.5" customHeight="1" x14ac:dyDescent="0.25">
      <c r="A54" s="38"/>
      <c r="B54" s="38"/>
      <c r="C54" s="470"/>
      <c r="D54" s="470"/>
      <c r="E54" s="38"/>
      <c r="F54" s="912"/>
      <c r="G54" s="907"/>
      <c r="H54" s="907"/>
      <c r="I54" s="38"/>
      <c r="J54" s="38"/>
      <c r="K54" s="38"/>
      <c r="L54" s="38"/>
      <c r="M54" s="38"/>
      <c r="N54" s="38"/>
      <c r="P54" s="38"/>
      <c r="Q54" s="38"/>
      <c r="R54" s="38"/>
    </row>
    <row r="55" spans="1:18" ht="19.5" customHeight="1" x14ac:dyDescent="0.25">
      <c r="A55" s="38"/>
      <c r="B55" s="38"/>
      <c r="C55" s="470"/>
      <c r="D55" s="470"/>
      <c r="E55" s="38"/>
      <c r="F55" s="912"/>
      <c r="G55" s="907"/>
      <c r="H55" s="907"/>
      <c r="I55" s="38"/>
      <c r="J55" s="38"/>
      <c r="K55" s="38"/>
      <c r="L55" s="38"/>
      <c r="M55" s="38"/>
      <c r="N55" s="38"/>
      <c r="P55" s="38"/>
      <c r="Q55" s="38"/>
      <c r="R55" s="38"/>
    </row>
    <row r="56" spans="1:18" ht="19.5" customHeight="1" x14ac:dyDescent="0.25">
      <c r="A56" s="38"/>
      <c r="B56" s="38"/>
      <c r="C56" s="470"/>
      <c r="D56" s="470"/>
      <c r="E56" s="38"/>
      <c r="F56" s="912"/>
      <c r="G56" s="907"/>
      <c r="H56" s="907"/>
      <c r="I56" s="38"/>
      <c r="J56" s="38"/>
      <c r="K56" s="38"/>
      <c r="L56" s="38"/>
      <c r="M56" s="38"/>
      <c r="N56" s="38"/>
      <c r="P56" s="38"/>
      <c r="Q56" s="38"/>
      <c r="R56" s="38"/>
    </row>
    <row r="57" spans="1:18" ht="19.5" customHeight="1" x14ac:dyDescent="0.25">
      <c r="A57" s="38"/>
      <c r="B57" s="38"/>
      <c r="C57" s="470"/>
      <c r="D57" s="470"/>
      <c r="E57" s="38"/>
      <c r="F57" s="912"/>
      <c r="G57" s="907"/>
      <c r="H57" s="907"/>
      <c r="I57" s="38"/>
      <c r="J57" s="38"/>
      <c r="K57" s="38"/>
      <c r="L57" s="38"/>
      <c r="M57" s="38"/>
      <c r="N57" s="38"/>
      <c r="P57" s="38"/>
      <c r="Q57" s="38"/>
      <c r="R57" s="38"/>
    </row>
    <row r="58" spans="1:18" ht="19.5" customHeight="1" x14ac:dyDescent="0.25">
      <c r="A58" s="38"/>
      <c r="B58" s="38"/>
      <c r="C58" s="470"/>
      <c r="D58" s="470"/>
      <c r="E58" s="38"/>
      <c r="F58" s="912"/>
      <c r="G58" s="907"/>
      <c r="H58" s="907"/>
      <c r="I58" s="38"/>
      <c r="J58" s="38"/>
      <c r="K58" s="38"/>
      <c r="L58" s="38"/>
      <c r="N58" s="38"/>
      <c r="P58" s="38"/>
      <c r="Q58" s="38"/>
      <c r="R58" s="38"/>
    </row>
    <row r="59" spans="1:18" ht="19.5" customHeight="1" x14ac:dyDescent="0.25">
      <c r="A59" s="38"/>
      <c r="B59" s="38"/>
      <c r="C59" s="470"/>
      <c r="D59" s="470"/>
      <c r="E59" s="38"/>
      <c r="F59" s="912"/>
      <c r="G59" s="907"/>
      <c r="H59" s="907"/>
      <c r="I59" s="38"/>
      <c r="J59" s="38"/>
      <c r="K59" s="38"/>
      <c r="L59" s="38"/>
      <c r="N59" s="38"/>
      <c r="P59" s="38"/>
      <c r="Q59" s="38"/>
      <c r="R59" s="38"/>
    </row>
    <row r="60" spans="1:18" ht="19.5" customHeight="1" x14ac:dyDescent="0.25">
      <c r="A60" s="38"/>
      <c r="B60" s="38"/>
      <c r="C60" s="470"/>
      <c r="D60" s="470"/>
      <c r="E60" s="38"/>
      <c r="F60" s="912"/>
      <c r="G60" s="907"/>
      <c r="H60" s="38"/>
      <c r="I60" s="38"/>
      <c r="J60" s="38"/>
      <c r="K60" s="38"/>
      <c r="L60" s="38"/>
      <c r="N60" s="38"/>
      <c r="P60" s="38"/>
      <c r="Q60" s="38"/>
      <c r="R60" s="38"/>
    </row>
    <row r="61" spans="1:18" ht="19.5" customHeight="1" x14ac:dyDescent="0.25">
      <c r="A61" s="38"/>
      <c r="B61" s="38"/>
      <c r="C61" s="470"/>
      <c r="D61" s="470"/>
      <c r="E61" s="38"/>
      <c r="F61" s="38"/>
      <c r="G61" s="38"/>
      <c r="H61" s="38"/>
      <c r="I61" s="38"/>
      <c r="J61" s="38"/>
      <c r="K61" s="38"/>
      <c r="L61" s="38"/>
      <c r="N61" s="38"/>
      <c r="P61" s="38"/>
      <c r="Q61" s="38"/>
      <c r="R61" s="38"/>
    </row>
    <row r="62" spans="1:18" ht="19.5" customHeight="1" x14ac:dyDescent="0.25">
      <c r="A62" s="38"/>
      <c r="B62" s="38"/>
      <c r="C62" s="470"/>
      <c r="D62" s="470"/>
      <c r="E62" s="38"/>
      <c r="F62" s="38"/>
      <c r="G62" s="38"/>
      <c r="H62" s="38"/>
      <c r="I62" s="38"/>
      <c r="J62" s="38"/>
      <c r="K62" s="38"/>
      <c r="L62" s="38"/>
      <c r="N62" s="38"/>
      <c r="P62" s="38"/>
      <c r="Q62" s="38"/>
      <c r="R62" s="38"/>
    </row>
    <row r="63" spans="1:18" ht="19.5" customHeight="1" x14ac:dyDescent="0.25">
      <c r="A63" s="38"/>
      <c r="B63" s="38"/>
      <c r="C63" s="470"/>
      <c r="D63" s="470"/>
      <c r="E63" s="38"/>
      <c r="F63" s="38"/>
      <c r="G63" s="38"/>
      <c r="H63" s="38"/>
      <c r="I63" s="38"/>
      <c r="J63" s="38"/>
      <c r="K63" s="38"/>
      <c r="L63" s="38"/>
      <c r="N63" s="38"/>
      <c r="P63" s="38"/>
      <c r="Q63" s="38"/>
      <c r="R63" s="38"/>
    </row>
    <row r="64" spans="1:18" ht="19.5" customHeight="1" x14ac:dyDescent="0.25">
      <c r="A64" s="38"/>
      <c r="B64" s="38"/>
      <c r="C64" s="470"/>
      <c r="D64" s="470"/>
      <c r="E64" s="38"/>
      <c r="F64" s="38"/>
      <c r="G64" s="38"/>
      <c r="H64" s="38"/>
      <c r="I64" s="38"/>
      <c r="J64" s="38"/>
      <c r="K64" s="38"/>
      <c r="L64" s="38"/>
      <c r="N64" s="38"/>
      <c r="P64" s="38"/>
      <c r="Q64" s="38"/>
      <c r="R64" s="38"/>
    </row>
    <row r="65" spans="1:18" ht="19.5" customHeight="1" x14ac:dyDescent="0.25">
      <c r="A65" s="38"/>
      <c r="B65" s="38"/>
      <c r="C65" s="470"/>
      <c r="D65" s="470"/>
      <c r="E65" s="38"/>
      <c r="F65" s="38"/>
      <c r="G65" s="38"/>
      <c r="H65" s="38"/>
      <c r="I65" s="38"/>
      <c r="J65" s="38"/>
      <c r="K65" s="38"/>
      <c r="L65" s="38"/>
      <c r="N65" s="38"/>
      <c r="P65" s="38"/>
      <c r="Q65" s="38"/>
      <c r="R65" s="38"/>
    </row>
    <row r="66" spans="1:18" ht="19.5" customHeight="1" x14ac:dyDescent="0.25">
      <c r="A66" s="38"/>
      <c r="B66" s="38"/>
      <c r="C66" s="470"/>
      <c r="D66" s="470"/>
      <c r="E66" s="38"/>
      <c r="F66" s="38"/>
      <c r="G66" s="38"/>
      <c r="H66" s="38"/>
      <c r="I66" s="38"/>
      <c r="J66" s="38"/>
      <c r="K66" s="38"/>
      <c r="L66" s="38"/>
      <c r="N66" s="38"/>
      <c r="P66" s="38"/>
      <c r="Q66" s="38"/>
      <c r="R66" s="38"/>
    </row>
    <row r="67" spans="1:18" ht="19.5" customHeight="1" x14ac:dyDescent="0.25">
      <c r="A67" s="38"/>
      <c r="B67" s="38"/>
      <c r="C67" s="470"/>
      <c r="D67" s="470"/>
      <c r="E67" s="38"/>
      <c r="F67" s="38"/>
      <c r="G67" s="38"/>
      <c r="H67" s="38"/>
      <c r="I67" s="38"/>
      <c r="J67" s="38"/>
      <c r="K67" s="38"/>
      <c r="L67" s="38"/>
      <c r="N67" s="38"/>
      <c r="P67" s="38"/>
      <c r="Q67" s="38"/>
      <c r="R67" s="38"/>
    </row>
    <row r="68" spans="1:18" ht="19.5" customHeight="1" x14ac:dyDescent="0.25">
      <c r="A68" s="38"/>
      <c r="B68" s="38"/>
      <c r="C68" s="470"/>
      <c r="D68" s="470"/>
      <c r="E68" s="38"/>
      <c r="F68" s="38"/>
      <c r="G68" s="38"/>
      <c r="H68" s="38"/>
      <c r="I68" s="38"/>
      <c r="J68" s="38"/>
      <c r="K68" s="38"/>
      <c r="L68" s="38"/>
      <c r="N68" s="38"/>
      <c r="P68" s="38"/>
      <c r="Q68" s="38"/>
      <c r="R68" s="38"/>
    </row>
    <row r="69" spans="1:18" ht="19.5" customHeight="1" x14ac:dyDescent="0.25">
      <c r="A69" s="38"/>
      <c r="B69" s="38"/>
      <c r="C69" s="470"/>
      <c r="D69" s="470"/>
      <c r="E69" s="38"/>
      <c r="F69" s="38"/>
      <c r="G69" s="38"/>
      <c r="H69" s="38"/>
      <c r="I69" s="38"/>
      <c r="J69" s="38"/>
      <c r="K69" s="38"/>
      <c r="L69" s="38"/>
      <c r="N69" s="38"/>
      <c r="P69" s="38"/>
      <c r="Q69" s="38"/>
      <c r="R69" s="38"/>
    </row>
    <row r="70" spans="1:18" ht="19.5" customHeight="1" x14ac:dyDescent="0.25">
      <c r="A70" s="38"/>
      <c r="B70" s="38"/>
      <c r="C70" s="470"/>
      <c r="D70" s="470"/>
      <c r="E70" s="38"/>
      <c r="F70" s="38"/>
      <c r="G70" s="38"/>
      <c r="H70" s="38"/>
      <c r="I70" s="38"/>
      <c r="J70" s="38"/>
      <c r="K70" s="38"/>
      <c r="L70" s="38"/>
      <c r="N70" s="38"/>
      <c r="P70" s="38"/>
      <c r="Q70" s="38"/>
      <c r="R70" s="38"/>
    </row>
    <row r="71" spans="1:18" ht="19.5" customHeight="1" x14ac:dyDescent="0.25">
      <c r="A71" s="38"/>
      <c r="B71" s="38"/>
      <c r="C71" s="470"/>
      <c r="D71" s="470"/>
      <c r="E71" s="38"/>
      <c r="F71" s="38"/>
      <c r="G71" s="38"/>
      <c r="H71" s="38"/>
      <c r="I71" s="38"/>
      <c r="J71" s="38"/>
      <c r="K71" s="38"/>
      <c r="L71" s="38"/>
      <c r="N71" s="38"/>
      <c r="P71" s="38"/>
      <c r="Q71" s="38"/>
      <c r="R71" s="38"/>
    </row>
    <row r="72" spans="1:18" ht="19.5" customHeight="1" x14ac:dyDescent="0.25">
      <c r="A72" s="38"/>
      <c r="B72" s="38"/>
      <c r="C72" s="470"/>
      <c r="D72" s="470"/>
      <c r="E72" s="38"/>
      <c r="F72" s="38"/>
      <c r="G72" s="38"/>
      <c r="H72" s="38"/>
      <c r="I72" s="38"/>
      <c r="J72" s="38"/>
      <c r="K72" s="38"/>
      <c r="L72" s="38"/>
      <c r="N72" s="38"/>
      <c r="P72" s="38"/>
      <c r="Q72" s="38"/>
      <c r="R72" s="38"/>
    </row>
    <row r="73" spans="1:18" ht="19.5" customHeight="1" x14ac:dyDescent="0.25">
      <c r="A73" s="38"/>
      <c r="B73" s="38"/>
      <c r="C73" s="470"/>
      <c r="D73" s="470"/>
      <c r="E73" s="38"/>
      <c r="F73" s="38"/>
      <c r="G73" s="38"/>
      <c r="H73" s="38"/>
      <c r="I73" s="38"/>
      <c r="J73" s="38"/>
      <c r="K73" s="38"/>
      <c r="L73" s="38"/>
      <c r="N73" s="38"/>
      <c r="P73" s="38"/>
      <c r="Q73" s="38"/>
      <c r="R73" s="38"/>
    </row>
    <row r="74" spans="1:18" ht="19.5" customHeight="1" x14ac:dyDescent="0.25">
      <c r="A74" s="38"/>
      <c r="B74" s="38"/>
      <c r="C74" s="470"/>
      <c r="D74" s="470"/>
      <c r="E74" s="38"/>
      <c r="F74" s="38"/>
      <c r="G74" s="38"/>
      <c r="H74" s="38"/>
      <c r="I74" s="38"/>
      <c r="J74" s="38"/>
      <c r="K74" s="38"/>
      <c r="L74" s="38"/>
      <c r="N74" s="38"/>
      <c r="P74" s="38"/>
      <c r="Q74" s="38"/>
      <c r="R74" s="38"/>
    </row>
    <row r="75" spans="1:18" ht="19.5" customHeight="1" x14ac:dyDescent="0.25">
      <c r="A75" s="38"/>
      <c r="B75" s="38"/>
      <c r="C75" s="470"/>
      <c r="D75" s="470"/>
      <c r="E75" s="38"/>
      <c r="F75" s="38"/>
      <c r="G75" s="38"/>
      <c r="H75" s="38"/>
      <c r="I75" s="38"/>
      <c r="J75" s="38"/>
      <c r="K75" s="38"/>
      <c r="L75" s="38"/>
      <c r="N75" s="38"/>
      <c r="P75" s="38"/>
      <c r="Q75" s="38"/>
      <c r="R75" s="38"/>
    </row>
    <row r="76" spans="1:18" ht="19.5" customHeight="1" x14ac:dyDescent="0.25">
      <c r="A76" s="38"/>
      <c r="B76" s="38"/>
      <c r="C76" s="470"/>
      <c r="D76" s="470"/>
      <c r="E76" s="38"/>
      <c r="F76" s="38"/>
      <c r="G76" s="38"/>
      <c r="H76" s="38"/>
      <c r="I76" s="38"/>
      <c r="J76" s="38"/>
      <c r="K76" s="38"/>
      <c r="L76" s="38"/>
      <c r="N76" s="38"/>
      <c r="P76" s="38"/>
      <c r="Q76" s="38"/>
      <c r="R76" s="38"/>
    </row>
    <row r="77" spans="1:18" ht="19.5" customHeight="1" x14ac:dyDescent="0.25">
      <c r="A77" s="38"/>
      <c r="B77" s="38"/>
      <c r="C77" s="470"/>
      <c r="D77" s="470"/>
      <c r="E77" s="38"/>
      <c r="F77" s="38"/>
      <c r="G77" s="38"/>
      <c r="H77" s="38"/>
      <c r="I77" s="38"/>
      <c r="J77" s="38"/>
      <c r="K77" s="38"/>
      <c r="L77" s="38"/>
      <c r="N77" s="38"/>
      <c r="P77" s="38"/>
      <c r="Q77" s="38"/>
      <c r="R77" s="38"/>
    </row>
    <row r="78" spans="1:18" ht="19.5" customHeight="1" x14ac:dyDescent="0.25">
      <c r="A78" s="38"/>
      <c r="B78" s="38"/>
      <c r="C78" s="470"/>
      <c r="D78" s="470"/>
      <c r="E78" s="38"/>
      <c r="F78" s="38"/>
      <c r="G78" s="38"/>
      <c r="H78" s="38"/>
      <c r="I78" s="38"/>
      <c r="J78" s="38"/>
      <c r="K78" s="38"/>
      <c r="L78" s="38"/>
      <c r="N78" s="38"/>
      <c r="P78" s="38"/>
      <c r="Q78" s="38"/>
      <c r="R78" s="38"/>
    </row>
    <row r="79" spans="1:18" ht="19.5" customHeight="1" x14ac:dyDescent="0.25">
      <c r="A79" s="38"/>
      <c r="B79" s="38"/>
      <c r="C79" s="470"/>
      <c r="D79" s="470"/>
      <c r="E79" s="38"/>
      <c r="F79" s="38"/>
      <c r="G79" s="38"/>
      <c r="H79" s="38"/>
      <c r="I79" s="38"/>
      <c r="J79" s="38"/>
      <c r="K79" s="38"/>
      <c r="L79" s="38"/>
      <c r="N79" s="38"/>
      <c r="P79" s="38"/>
      <c r="Q79" s="38"/>
      <c r="R79" s="38"/>
    </row>
    <row r="80" spans="1:18" ht="19.5" customHeight="1" x14ac:dyDescent="0.25">
      <c r="A80" s="38"/>
      <c r="B80" s="38"/>
      <c r="C80" s="470"/>
      <c r="D80" s="470"/>
      <c r="E80" s="38"/>
      <c r="F80" s="38"/>
      <c r="G80" s="38"/>
      <c r="H80" s="38"/>
      <c r="I80" s="38"/>
      <c r="J80" s="38"/>
      <c r="K80" s="38"/>
      <c r="L80" s="38"/>
      <c r="N80" s="38"/>
      <c r="P80" s="38"/>
      <c r="Q80" s="38"/>
      <c r="R80" s="38"/>
    </row>
    <row r="81" spans="1:18" ht="19.5" customHeight="1" x14ac:dyDescent="0.25">
      <c r="A81" s="38"/>
      <c r="B81" s="38"/>
      <c r="C81" s="470"/>
      <c r="D81" s="470"/>
      <c r="E81" s="38"/>
      <c r="F81" s="38"/>
      <c r="G81" s="38"/>
      <c r="H81" s="38"/>
      <c r="I81" s="38"/>
      <c r="J81" s="38"/>
      <c r="K81" s="38"/>
      <c r="L81" s="38"/>
      <c r="N81" s="38"/>
      <c r="P81" s="38"/>
      <c r="Q81" s="38"/>
      <c r="R81" s="38"/>
    </row>
    <row r="82" spans="1:18" ht="19.5" customHeight="1" x14ac:dyDescent="0.25">
      <c r="A82" s="38"/>
      <c r="B82" s="38"/>
      <c r="C82" s="470"/>
      <c r="D82" s="470"/>
      <c r="E82" s="38"/>
      <c r="F82" s="38"/>
      <c r="G82" s="38"/>
      <c r="H82" s="38"/>
      <c r="I82" s="38"/>
      <c r="J82" s="38"/>
      <c r="K82" s="38"/>
      <c r="L82" s="38"/>
      <c r="N82" s="38"/>
      <c r="P82" s="38"/>
      <c r="Q82" s="38"/>
      <c r="R82" s="38"/>
    </row>
    <row r="83" spans="1:18" ht="19.5" customHeight="1" x14ac:dyDescent="0.25">
      <c r="A83" s="38"/>
      <c r="B83" s="38"/>
      <c r="C83" s="470"/>
      <c r="D83" s="470"/>
      <c r="E83" s="38"/>
      <c r="F83" s="38"/>
      <c r="G83" s="38"/>
      <c r="H83" s="38"/>
      <c r="I83" s="38"/>
      <c r="J83" s="38"/>
      <c r="K83" s="38"/>
      <c r="L83" s="38"/>
      <c r="N83" s="38"/>
      <c r="P83" s="38"/>
      <c r="Q83" s="38"/>
      <c r="R83" s="38"/>
    </row>
    <row r="84" spans="1:18" ht="19.5" customHeight="1" x14ac:dyDescent="0.25">
      <c r="A84" s="38"/>
      <c r="B84" s="38"/>
      <c r="C84" s="470"/>
      <c r="D84" s="470"/>
      <c r="E84" s="38"/>
      <c r="F84" s="38"/>
      <c r="G84" s="38"/>
      <c r="H84" s="38"/>
      <c r="I84" s="38"/>
      <c r="J84" s="38"/>
      <c r="K84" s="38"/>
      <c r="L84" s="38"/>
      <c r="N84" s="38"/>
      <c r="P84" s="38"/>
      <c r="Q84" s="38"/>
      <c r="R84" s="38"/>
    </row>
    <row r="85" spans="1:18" ht="19.5" customHeight="1" x14ac:dyDescent="0.25">
      <c r="A85" s="38"/>
      <c r="B85" s="38"/>
      <c r="C85" s="470"/>
      <c r="D85" s="470"/>
      <c r="E85" s="38"/>
      <c r="F85" s="38"/>
      <c r="G85" s="38"/>
      <c r="H85" s="38"/>
      <c r="I85" s="38"/>
      <c r="J85" s="38"/>
      <c r="K85" s="38"/>
      <c r="L85" s="38"/>
      <c r="N85" s="38"/>
      <c r="P85" s="38"/>
      <c r="Q85" s="38"/>
      <c r="R85" s="38"/>
    </row>
    <row r="86" spans="1:18" ht="19.5" customHeight="1" x14ac:dyDescent="0.25">
      <c r="A86" s="38"/>
      <c r="B86" s="38"/>
      <c r="C86" s="470"/>
      <c r="D86" s="470"/>
      <c r="E86" s="38"/>
      <c r="F86" s="38"/>
      <c r="G86" s="38"/>
      <c r="H86" s="38"/>
      <c r="I86" s="38"/>
      <c r="J86" s="38"/>
      <c r="K86" s="38"/>
      <c r="L86" s="38"/>
      <c r="N86" s="38"/>
      <c r="P86" s="38"/>
      <c r="Q86" s="38"/>
      <c r="R86" s="38"/>
    </row>
    <row r="87" spans="1:18" ht="19.5" customHeight="1" x14ac:dyDescent="0.25">
      <c r="A87" s="38"/>
      <c r="B87" s="38"/>
      <c r="C87" s="470"/>
      <c r="D87" s="470"/>
      <c r="E87" s="38"/>
      <c r="F87" s="38"/>
      <c r="G87" s="38"/>
      <c r="H87" s="38"/>
      <c r="I87" s="38"/>
      <c r="J87" s="38"/>
      <c r="K87" s="38"/>
      <c r="L87" s="38"/>
      <c r="N87" s="38"/>
      <c r="P87" s="38"/>
      <c r="Q87" s="38"/>
      <c r="R87" s="38"/>
    </row>
    <row r="88" spans="1:18" ht="19.5" customHeight="1" x14ac:dyDescent="0.25">
      <c r="A88" s="38"/>
      <c r="B88" s="38"/>
      <c r="C88" s="470"/>
      <c r="D88" s="470"/>
      <c r="E88" s="38"/>
      <c r="F88" s="38"/>
      <c r="G88" s="38"/>
      <c r="H88" s="38"/>
      <c r="I88" s="38"/>
      <c r="J88" s="38"/>
      <c r="K88" s="38"/>
      <c r="L88" s="38"/>
      <c r="N88" s="38"/>
      <c r="P88" s="38"/>
      <c r="Q88" s="38"/>
      <c r="R88" s="38"/>
    </row>
    <row r="89" spans="1:18" ht="19.5" customHeight="1" x14ac:dyDescent="0.25">
      <c r="A89" s="38"/>
      <c r="B89" s="38"/>
      <c r="C89" s="470"/>
      <c r="D89" s="470"/>
      <c r="E89" s="38"/>
      <c r="F89" s="38"/>
      <c r="G89" s="38"/>
      <c r="H89" s="38"/>
      <c r="I89" s="38"/>
      <c r="J89" s="38"/>
      <c r="K89" s="38"/>
      <c r="L89" s="38"/>
      <c r="N89" s="38"/>
      <c r="P89" s="38"/>
      <c r="Q89" s="38"/>
      <c r="R89" s="38"/>
    </row>
    <row r="90" spans="1:18" ht="19.5" customHeight="1" x14ac:dyDescent="0.25">
      <c r="A90" s="38"/>
      <c r="B90" s="38"/>
      <c r="C90" s="470"/>
      <c r="D90" s="470"/>
      <c r="E90" s="38"/>
      <c r="F90" s="38"/>
      <c r="G90" s="38"/>
      <c r="H90" s="38"/>
      <c r="I90" s="38"/>
      <c r="J90" s="38"/>
      <c r="K90" s="38"/>
      <c r="L90" s="38"/>
      <c r="N90" s="38"/>
      <c r="P90" s="38"/>
      <c r="Q90" s="38"/>
      <c r="R90" s="38"/>
    </row>
    <row r="91" spans="1:18" ht="19.5" customHeight="1" x14ac:dyDescent="0.25">
      <c r="A91" s="38"/>
      <c r="B91" s="38"/>
      <c r="C91" s="470"/>
      <c r="D91" s="470"/>
      <c r="E91" s="38"/>
      <c r="F91" s="38"/>
      <c r="G91" s="38"/>
      <c r="H91" s="38"/>
      <c r="I91" s="38"/>
      <c r="J91" s="38"/>
      <c r="K91" s="38"/>
      <c r="L91" s="38"/>
      <c r="N91" s="38"/>
      <c r="P91" s="38"/>
      <c r="Q91" s="38"/>
      <c r="R91" s="38"/>
    </row>
    <row r="92" spans="1:18" ht="19.5" customHeight="1" x14ac:dyDescent="0.25">
      <c r="A92" s="38"/>
      <c r="B92" s="38"/>
      <c r="C92" s="470"/>
      <c r="D92" s="470"/>
      <c r="E92" s="38"/>
      <c r="F92" s="38"/>
      <c r="G92" s="38"/>
      <c r="H92" s="38"/>
      <c r="I92" s="38"/>
      <c r="J92" s="38"/>
      <c r="K92" s="38"/>
      <c r="L92" s="38"/>
      <c r="N92" s="38"/>
      <c r="P92" s="38"/>
      <c r="Q92" s="38"/>
      <c r="R92" s="38"/>
    </row>
    <row r="93" spans="1:18" ht="19.5" customHeight="1" x14ac:dyDescent="0.25">
      <c r="A93" s="38"/>
      <c r="B93" s="38"/>
      <c r="C93" s="470"/>
      <c r="D93" s="470"/>
      <c r="E93" s="38"/>
      <c r="F93" s="38"/>
      <c r="G93" s="38"/>
      <c r="H93" s="38"/>
      <c r="I93" s="38"/>
      <c r="J93" s="38"/>
      <c r="K93" s="38"/>
      <c r="L93" s="38"/>
      <c r="N93" s="38"/>
      <c r="P93" s="38"/>
      <c r="Q93" s="38"/>
      <c r="R93" s="38"/>
    </row>
    <row r="94" spans="1:18" ht="19.5" customHeight="1" x14ac:dyDescent="0.25">
      <c r="A94" s="38"/>
      <c r="B94" s="38"/>
      <c r="C94" s="470"/>
      <c r="D94" s="470"/>
      <c r="E94" s="38"/>
      <c r="F94" s="38"/>
      <c r="G94" s="38"/>
      <c r="H94" s="38"/>
      <c r="I94" s="38"/>
      <c r="J94" s="38"/>
      <c r="K94" s="38"/>
      <c r="L94" s="38"/>
      <c r="N94" s="38"/>
      <c r="P94" s="38"/>
      <c r="Q94" s="38"/>
      <c r="R94" s="38"/>
    </row>
    <row r="95" spans="1:18" ht="19.5" customHeight="1" x14ac:dyDescent="0.25">
      <c r="A95" s="38"/>
      <c r="B95" s="38"/>
      <c r="C95" s="470"/>
      <c r="D95" s="470"/>
      <c r="E95" s="38"/>
      <c r="F95" s="38"/>
      <c r="G95" s="38"/>
      <c r="H95" s="38"/>
      <c r="I95" s="38"/>
      <c r="J95" s="38"/>
      <c r="K95" s="38"/>
      <c r="L95" s="38"/>
      <c r="N95" s="38"/>
      <c r="P95" s="38"/>
      <c r="Q95" s="38"/>
      <c r="R95" s="38"/>
    </row>
    <row r="96" spans="1:18" ht="19.5" customHeight="1" x14ac:dyDescent="0.25">
      <c r="A96" s="38"/>
      <c r="B96" s="38"/>
      <c r="C96" s="470"/>
      <c r="D96" s="470"/>
      <c r="E96" s="38"/>
      <c r="F96" s="38"/>
      <c r="G96" s="38"/>
      <c r="H96" s="38"/>
      <c r="I96" s="38"/>
      <c r="J96" s="38"/>
      <c r="K96" s="38"/>
      <c r="L96" s="38"/>
      <c r="N96" s="38"/>
      <c r="P96" s="38"/>
      <c r="Q96" s="38"/>
      <c r="R96" s="38"/>
    </row>
    <row r="97" spans="1:18" ht="19.5" customHeight="1" x14ac:dyDescent="0.25">
      <c r="A97" s="38"/>
      <c r="B97" s="38"/>
      <c r="C97" s="470"/>
      <c r="D97" s="470"/>
      <c r="E97" s="38"/>
      <c r="F97" s="38"/>
      <c r="G97" s="38"/>
      <c r="H97" s="38"/>
      <c r="I97" s="38"/>
      <c r="J97" s="38"/>
      <c r="K97" s="38"/>
      <c r="L97" s="38"/>
      <c r="N97" s="38"/>
      <c r="P97" s="38"/>
      <c r="Q97" s="38"/>
      <c r="R97" s="38"/>
    </row>
    <row r="98" spans="1:18" ht="19.5" customHeight="1" x14ac:dyDescent="0.25">
      <c r="A98" s="38"/>
      <c r="B98" s="38"/>
      <c r="C98" s="470"/>
      <c r="D98" s="470"/>
      <c r="E98" s="38"/>
      <c r="F98" s="38"/>
      <c r="G98" s="38"/>
      <c r="H98" s="38"/>
      <c r="I98" s="38"/>
      <c r="J98" s="38"/>
      <c r="K98" s="38"/>
      <c r="L98" s="38"/>
      <c r="N98" s="38"/>
      <c r="P98" s="38"/>
      <c r="Q98" s="38"/>
      <c r="R98" s="38"/>
    </row>
    <row r="99" spans="1:18" ht="19.5" customHeight="1" x14ac:dyDescent="0.25">
      <c r="A99" s="38"/>
      <c r="B99" s="38"/>
      <c r="C99" s="470"/>
      <c r="D99" s="470"/>
      <c r="E99" s="38"/>
      <c r="F99" s="38"/>
      <c r="G99" s="38"/>
      <c r="H99" s="38"/>
      <c r="I99" s="38"/>
      <c r="J99" s="38"/>
      <c r="K99" s="38"/>
      <c r="L99" s="38"/>
      <c r="N99" s="38"/>
      <c r="P99" s="38"/>
      <c r="Q99" s="38"/>
      <c r="R99" s="38"/>
    </row>
    <row r="100" spans="1:18" ht="19.5" customHeight="1" x14ac:dyDescent="0.25">
      <c r="A100" s="38"/>
      <c r="B100" s="38"/>
      <c r="C100" s="470"/>
      <c r="D100" s="470"/>
      <c r="E100" s="38"/>
      <c r="F100" s="38"/>
      <c r="G100" s="38"/>
      <c r="H100" s="38"/>
      <c r="I100" s="38"/>
      <c r="J100" s="38"/>
      <c r="K100" s="38"/>
      <c r="L100" s="38"/>
      <c r="N100" s="38"/>
      <c r="P100" s="38"/>
      <c r="Q100" s="38"/>
      <c r="R100" s="38"/>
    </row>
    <row r="101" spans="1:18" ht="19.5" customHeight="1" x14ac:dyDescent="0.25">
      <c r="A101" s="38"/>
      <c r="B101" s="38"/>
      <c r="C101" s="470"/>
      <c r="D101" s="470"/>
      <c r="E101" s="38"/>
      <c r="F101" s="38"/>
      <c r="G101" s="38"/>
      <c r="H101" s="38"/>
      <c r="I101" s="38"/>
      <c r="J101" s="38"/>
      <c r="K101" s="38"/>
      <c r="L101" s="38"/>
      <c r="N101" s="38"/>
      <c r="P101" s="38"/>
      <c r="Q101" s="38"/>
      <c r="R101" s="38"/>
    </row>
    <row r="102" spans="1:18" ht="19.5" customHeight="1" x14ac:dyDescent="0.25">
      <c r="A102" s="38"/>
      <c r="B102" s="38"/>
      <c r="C102" s="470"/>
      <c r="D102" s="470"/>
      <c r="E102" s="38"/>
      <c r="F102" s="38"/>
      <c r="G102" s="38"/>
      <c r="H102" s="38"/>
      <c r="I102" s="38"/>
      <c r="J102" s="38"/>
      <c r="K102" s="38"/>
      <c r="L102" s="38"/>
      <c r="N102" s="38"/>
      <c r="P102" s="38"/>
      <c r="Q102" s="38"/>
      <c r="R102" s="38"/>
    </row>
    <row r="103" spans="1:18" ht="19.5" customHeight="1" x14ac:dyDescent="0.25">
      <c r="A103" s="38"/>
      <c r="B103" s="38"/>
      <c r="C103" s="470"/>
      <c r="D103" s="470"/>
      <c r="E103" s="38"/>
      <c r="F103" s="38"/>
      <c r="G103" s="38"/>
      <c r="H103" s="38"/>
      <c r="I103" s="38"/>
      <c r="J103" s="38"/>
      <c r="K103" s="38"/>
      <c r="L103" s="38"/>
      <c r="N103" s="38"/>
      <c r="P103" s="38"/>
      <c r="Q103" s="38"/>
      <c r="R103" s="38"/>
    </row>
    <row r="104" spans="1:18" ht="19.5" customHeight="1" x14ac:dyDescent="0.25">
      <c r="A104" s="38"/>
      <c r="B104" s="38"/>
      <c r="C104" s="470"/>
      <c r="D104" s="470"/>
      <c r="E104" s="38"/>
      <c r="F104" s="38"/>
      <c r="G104" s="38"/>
      <c r="H104" s="38"/>
      <c r="I104" s="38"/>
      <c r="J104" s="38"/>
      <c r="K104" s="38"/>
      <c r="L104" s="38"/>
      <c r="N104" s="38"/>
      <c r="P104" s="38"/>
      <c r="Q104" s="38"/>
      <c r="R104" s="38"/>
    </row>
    <row r="105" spans="1:18" ht="19.5" customHeight="1" x14ac:dyDescent="0.25">
      <c r="A105" s="38"/>
      <c r="B105" s="38"/>
      <c r="C105" s="470"/>
      <c r="D105" s="470"/>
      <c r="E105" s="38"/>
      <c r="F105" s="38"/>
      <c r="G105" s="38"/>
      <c r="H105" s="38"/>
      <c r="I105" s="38"/>
      <c r="J105" s="38"/>
      <c r="K105" s="38"/>
      <c r="L105" s="38"/>
      <c r="N105" s="38"/>
      <c r="P105" s="38"/>
      <c r="Q105" s="38"/>
      <c r="R105" s="38"/>
    </row>
    <row r="106" spans="1:18" ht="19.5" customHeight="1" x14ac:dyDescent="0.25">
      <c r="A106" s="38"/>
      <c r="B106" s="38"/>
      <c r="C106" s="470"/>
      <c r="D106" s="470"/>
      <c r="E106" s="38"/>
      <c r="F106" s="38"/>
      <c r="G106" s="38"/>
      <c r="H106" s="38"/>
      <c r="I106" s="38"/>
      <c r="J106" s="38"/>
      <c r="K106" s="38"/>
      <c r="L106" s="38"/>
      <c r="N106" s="38"/>
      <c r="P106" s="38"/>
      <c r="Q106" s="38"/>
      <c r="R106" s="38"/>
    </row>
    <row r="107" spans="1:18" ht="19.5" customHeight="1" x14ac:dyDescent="0.25">
      <c r="A107" s="38"/>
      <c r="B107" s="38"/>
      <c r="C107" s="470"/>
      <c r="D107" s="470"/>
      <c r="E107" s="38"/>
      <c r="F107" s="38"/>
      <c r="G107" s="38"/>
      <c r="H107" s="38"/>
      <c r="I107" s="38"/>
      <c r="J107" s="38"/>
      <c r="K107" s="38"/>
      <c r="L107" s="38"/>
      <c r="N107" s="38"/>
      <c r="P107" s="38"/>
      <c r="Q107" s="38"/>
      <c r="R107" s="38"/>
    </row>
    <row r="108" spans="1:18" ht="19.5" customHeight="1" x14ac:dyDescent="0.25">
      <c r="A108" s="38"/>
      <c r="B108" s="38"/>
      <c r="C108" s="470"/>
      <c r="D108" s="470"/>
      <c r="E108" s="38"/>
      <c r="F108" s="38"/>
      <c r="G108" s="38"/>
      <c r="H108" s="38"/>
      <c r="I108" s="38"/>
      <c r="J108" s="38"/>
      <c r="K108" s="38"/>
      <c r="L108" s="38"/>
      <c r="N108" s="38"/>
      <c r="P108" s="38"/>
      <c r="Q108" s="38"/>
      <c r="R108" s="38"/>
    </row>
    <row r="109" spans="1:18" ht="19.5" customHeight="1" x14ac:dyDescent="0.25">
      <c r="A109" s="38"/>
      <c r="B109" s="38"/>
      <c r="C109" s="470"/>
      <c r="D109" s="470"/>
      <c r="E109" s="38"/>
      <c r="F109" s="38"/>
      <c r="G109" s="38"/>
      <c r="H109" s="38"/>
      <c r="I109" s="38"/>
      <c r="J109" s="38"/>
      <c r="K109" s="38"/>
      <c r="L109" s="38"/>
      <c r="N109" s="38"/>
      <c r="P109" s="38"/>
      <c r="Q109" s="38"/>
      <c r="R109" s="38"/>
    </row>
    <row r="110" spans="1:18" ht="19.5" customHeight="1" x14ac:dyDescent="0.25">
      <c r="A110" s="38"/>
      <c r="B110" s="38"/>
      <c r="C110" s="470"/>
      <c r="D110" s="470"/>
      <c r="E110" s="38"/>
      <c r="F110" s="38"/>
      <c r="G110" s="38"/>
      <c r="H110" s="38"/>
      <c r="I110" s="38"/>
      <c r="J110" s="38"/>
      <c r="K110" s="38"/>
      <c r="L110" s="38"/>
      <c r="N110" s="38"/>
      <c r="P110" s="38"/>
      <c r="Q110" s="38"/>
      <c r="R110" s="38"/>
    </row>
    <row r="111" spans="1:18" ht="19.5" customHeight="1" x14ac:dyDescent="0.25">
      <c r="A111" s="38"/>
      <c r="B111" s="38"/>
      <c r="C111" s="470"/>
      <c r="D111" s="470"/>
      <c r="E111" s="38"/>
      <c r="F111" s="38"/>
      <c r="G111" s="38"/>
      <c r="H111" s="38"/>
      <c r="I111" s="38"/>
      <c r="J111" s="38"/>
      <c r="K111" s="38"/>
      <c r="L111" s="38"/>
      <c r="N111" s="38"/>
      <c r="P111" s="38"/>
      <c r="Q111" s="38"/>
      <c r="R111" s="38"/>
    </row>
    <row r="112" spans="1:18" ht="19.5" customHeight="1" x14ac:dyDescent="0.25">
      <c r="A112" s="38"/>
      <c r="B112" s="38"/>
      <c r="C112" s="470"/>
      <c r="D112" s="470"/>
      <c r="E112" s="38"/>
      <c r="F112" s="38"/>
      <c r="G112" s="38"/>
      <c r="H112" s="38"/>
      <c r="I112" s="38"/>
      <c r="J112" s="38"/>
      <c r="K112" s="38"/>
      <c r="L112" s="38"/>
      <c r="N112" s="38"/>
      <c r="P112" s="38"/>
      <c r="Q112" s="38"/>
      <c r="R112" s="38"/>
    </row>
    <row r="113" spans="1:18" ht="19.5" customHeight="1" x14ac:dyDescent="0.25">
      <c r="A113" s="38"/>
      <c r="B113" s="38"/>
      <c r="C113" s="470"/>
      <c r="D113" s="470"/>
      <c r="E113" s="38"/>
      <c r="F113" s="38"/>
      <c r="G113" s="38"/>
      <c r="H113" s="38"/>
      <c r="I113" s="38"/>
      <c r="J113" s="38"/>
      <c r="K113" s="38"/>
      <c r="L113" s="38"/>
      <c r="N113" s="38"/>
      <c r="P113" s="38"/>
      <c r="Q113" s="38"/>
      <c r="R113" s="38"/>
    </row>
    <row r="114" spans="1:18" ht="19.5" customHeight="1" x14ac:dyDescent="0.25">
      <c r="A114" s="38"/>
      <c r="B114" s="38"/>
      <c r="C114" s="470"/>
      <c r="D114" s="470"/>
      <c r="E114" s="38"/>
      <c r="F114" s="38"/>
      <c r="G114" s="38"/>
      <c r="H114" s="38"/>
      <c r="I114" s="38"/>
      <c r="J114" s="38"/>
      <c r="K114" s="38"/>
      <c r="L114" s="38"/>
      <c r="N114" s="38"/>
      <c r="P114" s="38"/>
      <c r="Q114" s="38"/>
      <c r="R114" s="38"/>
    </row>
    <row r="115" spans="1:18" ht="19.5" customHeight="1" x14ac:dyDescent="0.25">
      <c r="A115" s="38"/>
      <c r="B115" s="38"/>
      <c r="C115" s="470"/>
      <c r="D115" s="470"/>
      <c r="E115" s="38"/>
      <c r="F115" s="38"/>
      <c r="G115" s="38"/>
      <c r="H115" s="38"/>
      <c r="I115" s="38"/>
      <c r="J115" s="38"/>
      <c r="K115" s="38"/>
      <c r="L115" s="38"/>
      <c r="N115" s="38"/>
      <c r="P115" s="38"/>
      <c r="Q115" s="38"/>
      <c r="R115" s="38"/>
    </row>
    <row r="116" spans="1:18" ht="19.5" customHeight="1" x14ac:dyDescent="0.25">
      <c r="A116" s="38"/>
      <c r="B116" s="38"/>
      <c r="C116" s="470"/>
      <c r="D116" s="470"/>
      <c r="E116" s="38"/>
      <c r="F116" s="38"/>
      <c r="G116" s="38"/>
      <c r="H116" s="38"/>
      <c r="I116" s="38"/>
      <c r="J116" s="38"/>
      <c r="K116" s="38"/>
      <c r="L116" s="38"/>
      <c r="N116" s="38"/>
      <c r="P116" s="38"/>
      <c r="Q116" s="38"/>
      <c r="R116" s="38"/>
    </row>
    <row r="117" spans="1:18" ht="19.5" customHeight="1" x14ac:dyDescent="0.25">
      <c r="A117" s="38"/>
      <c r="B117" s="38"/>
      <c r="C117" s="470"/>
      <c r="D117" s="470"/>
      <c r="E117" s="38"/>
      <c r="F117" s="38"/>
      <c r="G117" s="38"/>
      <c r="H117" s="38"/>
      <c r="I117" s="38"/>
      <c r="J117" s="38"/>
      <c r="K117" s="38"/>
      <c r="L117" s="38"/>
      <c r="N117" s="38"/>
      <c r="P117" s="38"/>
      <c r="Q117" s="38"/>
      <c r="R117" s="38"/>
    </row>
    <row r="118" spans="1:18" ht="19.5" customHeight="1" x14ac:dyDescent="0.25">
      <c r="A118" s="38"/>
      <c r="B118" s="38"/>
      <c r="C118" s="470"/>
      <c r="D118" s="470"/>
      <c r="E118" s="38"/>
      <c r="F118" s="38"/>
      <c r="G118" s="38"/>
      <c r="H118" s="38"/>
      <c r="I118" s="38"/>
      <c r="J118" s="38"/>
      <c r="K118" s="38"/>
      <c r="L118" s="38"/>
      <c r="N118" s="38"/>
      <c r="P118" s="38"/>
      <c r="Q118" s="38"/>
      <c r="R118" s="38"/>
    </row>
    <row r="119" spans="1:18" ht="19.5" customHeight="1" x14ac:dyDescent="0.25">
      <c r="A119" s="38"/>
      <c r="B119" s="38"/>
      <c r="C119" s="470"/>
      <c r="D119" s="470"/>
      <c r="E119" s="38"/>
      <c r="F119" s="38"/>
      <c r="G119" s="38"/>
      <c r="H119" s="38"/>
      <c r="I119" s="38"/>
      <c r="J119" s="38"/>
      <c r="K119" s="38"/>
      <c r="L119" s="38"/>
      <c r="N119" s="38"/>
      <c r="P119" s="38"/>
      <c r="Q119" s="38"/>
      <c r="R119" s="38"/>
    </row>
    <row r="120" spans="1:18" ht="19.5" customHeight="1" x14ac:dyDescent="0.25">
      <c r="A120" s="38"/>
      <c r="B120" s="38"/>
      <c r="C120" s="470"/>
      <c r="D120" s="470"/>
      <c r="E120" s="38"/>
      <c r="F120" s="38"/>
      <c r="G120" s="38"/>
      <c r="H120" s="38"/>
      <c r="I120" s="38"/>
      <c r="J120" s="38"/>
      <c r="K120" s="38"/>
      <c r="L120" s="38"/>
      <c r="N120" s="38"/>
      <c r="P120" s="38"/>
      <c r="Q120" s="38"/>
      <c r="R120" s="38"/>
    </row>
    <row r="121" spans="1:18" ht="19.5" customHeight="1" x14ac:dyDescent="0.25">
      <c r="A121" s="38"/>
      <c r="B121" s="38"/>
      <c r="C121" s="470"/>
      <c r="D121" s="470"/>
      <c r="E121" s="38"/>
      <c r="F121" s="38"/>
      <c r="G121" s="38"/>
      <c r="H121" s="38"/>
      <c r="I121" s="38"/>
      <c r="J121" s="38"/>
      <c r="K121" s="38"/>
      <c r="L121" s="38"/>
      <c r="N121" s="38"/>
      <c r="P121" s="38"/>
      <c r="Q121" s="38"/>
      <c r="R121" s="38"/>
    </row>
    <row r="122" spans="1:18" ht="19.5" customHeight="1" x14ac:dyDescent="0.25">
      <c r="A122" s="38"/>
      <c r="B122" s="38"/>
      <c r="C122" s="470"/>
      <c r="D122" s="470"/>
      <c r="E122" s="38"/>
      <c r="F122" s="38"/>
      <c r="G122" s="38"/>
      <c r="H122" s="38"/>
      <c r="I122" s="38"/>
      <c r="J122" s="38"/>
      <c r="K122" s="38"/>
      <c r="L122" s="38"/>
      <c r="N122" s="38"/>
      <c r="P122" s="38"/>
      <c r="Q122" s="38"/>
      <c r="R122" s="38"/>
    </row>
    <row r="123" spans="1:18" ht="19.5" customHeight="1" x14ac:dyDescent="0.25">
      <c r="A123" s="38"/>
      <c r="B123" s="38"/>
      <c r="C123" s="470"/>
      <c r="D123" s="470"/>
      <c r="E123" s="38"/>
      <c r="F123" s="38"/>
      <c r="G123" s="38"/>
      <c r="H123" s="38"/>
      <c r="I123" s="38"/>
      <c r="J123" s="38"/>
      <c r="K123" s="38"/>
      <c r="L123" s="38"/>
      <c r="N123" s="38"/>
      <c r="P123" s="38"/>
      <c r="Q123" s="38"/>
      <c r="R123" s="38"/>
    </row>
    <row r="124" spans="1:18" ht="19.5" customHeight="1" x14ac:dyDescent="0.25">
      <c r="A124" s="38"/>
      <c r="B124" s="38"/>
      <c r="C124" s="470"/>
      <c r="D124" s="470"/>
      <c r="E124" s="38"/>
      <c r="F124" s="38"/>
      <c r="G124" s="38"/>
      <c r="H124" s="38"/>
      <c r="I124" s="38"/>
      <c r="J124" s="38"/>
      <c r="K124" s="38"/>
      <c r="L124" s="38"/>
      <c r="N124" s="38"/>
      <c r="P124" s="38"/>
      <c r="Q124" s="38"/>
      <c r="R124" s="38"/>
    </row>
    <row r="125" spans="1:18" ht="19.5" customHeight="1" x14ac:dyDescent="0.25">
      <c r="A125" s="38"/>
      <c r="B125" s="38"/>
      <c r="C125" s="470"/>
      <c r="D125" s="470"/>
      <c r="E125" s="38"/>
      <c r="F125" s="38"/>
      <c r="G125" s="38"/>
      <c r="H125" s="38"/>
      <c r="I125" s="38"/>
      <c r="J125" s="38"/>
      <c r="K125" s="38"/>
      <c r="L125" s="38"/>
      <c r="N125" s="38"/>
      <c r="P125" s="38"/>
      <c r="Q125" s="38"/>
      <c r="R125" s="38"/>
    </row>
    <row r="126" spans="1:18" ht="19.5" customHeight="1" x14ac:dyDescent="0.25">
      <c r="A126" s="38"/>
      <c r="B126" s="38"/>
      <c r="C126" s="470"/>
      <c r="D126" s="470"/>
      <c r="E126" s="38"/>
      <c r="F126" s="38"/>
      <c r="G126" s="38"/>
      <c r="H126" s="38"/>
      <c r="I126" s="38"/>
      <c r="J126" s="38"/>
      <c r="K126" s="38"/>
      <c r="L126" s="38"/>
      <c r="N126" s="38"/>
      <c r="P126" s="38"/>
      <c r="Q126" s="38"/>
      <c r="R126" s="38"/>
    </row>
    <row r="127" spans="1:18" ht="19.5" customHeight="1" x14ac:dyDescent="0.25">
      <c r="A127" s="38"/>
      <c r="B127" s="38"/>
      <c r="C127" s="470"/>
      <c r="D127" s="470"/>
      <c r="E127" s="38"/>
      <c r="F127" s="38"/>
      <c r="G127" s="38"/>
      <c r="H127" s="38"/>
      <c r="I127" s="38"/>
      <c r="J127" s="38"/>
      <c r="K127" s="38"/>
      <c r="L127" s="38"/>
      <c r="N127" s="38"/>
      <c r="P127" s="38"/>
      <c r="Q127" s="38"/>
      <c r="R127" s="38"/>
    </row>
    <row r="128" spans="1:18" ht="19.5" customHeight="1" x14ac:dyDescent="0.25">
      <c r="A128" s="38"/>
      <c r="B128" s="38"/>
      <c r="C128" s="470"/>
      <c r="D128" s="470"/>
      <c r="E128" s="38"/>
      <c r="F128" s="38"/>
      <c r="G128" s="38"/>
      <c r="H128" s="38"/>
      <c r="I128" s="38"/>
      <c r="J128" s="38"/>
      <c r="K128" s="38"/>
      <c r="L128" s="38"/>
      <c r="N128" s="38"/>
      <c r="P128" s="38"/>
      <c r="Q128" s="38"/>
      <c r="R128" s="38"/>
    </row>
    <row r="129" spans="1:18" ht="19.5" customHeight="1" x14ac:dyDescent="0.25">
      <c r="A129" s="38"/>
      <c r="B129" s="38"/>
      <c r="C129" s="470"/>
      <c r="D129" s="470"/>
      <c r="E129" s="38"/>
      <c r="F129" s="38"/>
      <c r="G129" s="38"/>
      <c r="H129" s="38"/>
      <c r="I129" s="38"/>
      <c r="J129" s="38"/>
      <c r="K129" s="38"/>
      <c r="L129" s="38"/>
      <c r="N129" s="38"/>
      <c r="P129" s="38"/>
      <c r="Q129" s="38"/>
      <c r="R129" s="38"/>
    </row>
    <row r="130" spans="1:18" ht="19.5" customHeight="1" x14ac:dyDescent="0.25">
      <c r="A130" s="38"/>
      <c r="B130" s="38"/>
      <c r="C130" s="470"/>
      <c r="D130" s="470"/>
      <c r="E130" s="38"/>
      <c r="F130" s="38"/>
      <c r="G130" s="38"/>
      <c r="H130" s="38"/>
      <c r="I130" s="38"/>
      <c r="J130" s="38"/>
      <c r="K130" s="38"/>
      <c r="L130" s="38"/>
      <c r="N130" s="38"/>
      <c r="P130" s="38"/>
      <c r="Q130" s="38"/>
      <c r="R130" s="38"/>
    </row>
    <row r="131" spans="1:18" ht="19.5" customHeight="1" x14ac:dyDescent="0.25">
      <c r="A131" s="38"/>
      <c r="B131" s="38"/>
      <c r="C131" s="470"/>
      <c r="D131" s="470"/>
      <c r="E131" s="38"/>
      <c r="F131" s="38"/>
      <c r="G131" s="38"/>
      <c r="H131" s="38"/>
      <c r="I131" s="38"/>
      <c r="J131" s="38"/>
      <c r="K131" s="38"/>
      <c r="L131" s="38"/>
      <c r="N131" s="38"/>
      <c r="P131" s="38"/>
      <c r="Q131" s="38"/>
      <c r="R131" s="38"/>
    </row>
    <row r="132" spans="1:18" ht="19.5" customHeight="1" x14ac:dyDescent="0.25">
      <c r="A132" s="38"/>
      <c r="B132" s="38"/>
      <c r="C132" s="470"/>
      <c r="D132" s="470"/>
      <c r="E132" s="38"/>
      <c r="F132" s="38"/>
      <c r="G132" s="38"/>
      <c r="H132" s="38"/>
      <c r="I132" s="38"/>
      <c r="J132" s="38"/>
      <c r="K132" s="38"/>
      <c r="L132" s="38"/>
      <c r="N132" s="38"/>
      <c r="P132" s="38"/>
      <c r="Q132" s="38"/>
      <c r="R132" s="38"/>
    </row>
    <row r="133" spans="1:18" ht="19.5" customHeight="1" x14ac:dyDescent="0.25">
      <c r="A133" s="38"/>
      <c r="B133" s="38"/>
      <c r="C133" s="470"/>
      <c r="D133" s="470"/>
      <c r="E133" s="38"/>
      <c r="F133" s="38"/>
      <c r="G133" s="38"/>
      <c r="H133" s="38"/>
      <c r="I133" s="38"/>
      <c r="J133" s="38"/>
      <c r="K133" s="38"/>
      <c r="L133" s="38"/>
      <c r="N133" s="38"/>
      <c r="P133" s="38"/>
      <c r="Q133" s="38"/>
      <c r="R133" s="38"/>
    </row>
    <row r="134" spans="1:18" ht="19.5" customHeight="1" x14ac:dyDescent="0.25">
      <c r="A134" s="38"/>
      <c r="B134" s="38"/>
      <c r="C134" s="470"/>
      <c r="D134" s="470"/>
      <c r="E134" s="38"/>
      <c r="F134" s="38"/>
      <c r="G134" s="38"/>
      <c r="H134" s="38"/>
      <c r="I134" s="38"/>
      <c r="J134" s="38"/>
      <c r="K134" s="38"/>
      <c r="L134" s="38"/>
      <c r="N134" s="38"/>
      <c r="P134" s="38"/>
      <c r="Q134" s="38"/>
      <c r="R134" s="38"/>
    </row>
    <row r="135" spans="1:18" ht="19.5" customHeight="1" x14ac:dyDescent="0.25">
      <c r="A135" s="38"/>
      <c r="B135" s="38"/>
      <c r="C135" s="470"/>
      <c r="D135" s="470"/>
      <c r="E135" s="38"/>
      <c r="F135" s="38"/>
      <c r="G135" s="38"/>
      <c r="H135" s="38"/>
      <c r="I135" s="38"/>
      <c r="J135" s="38"/>
      <c r="K135" s="38"/>
      <c r="L135" s="38"/>
      <c r="N135" s="38"/>
      <c r="P135" s="38"/>
      <c r="Q135" s="38"/>
      <c r="R135" s="38"/>
    </row>
    <row r="136" spans="1:18" ht="19.5" customHeight="1" x14ac:dyDescent="0.25">
      <c r="A136" s="38"/>
      <c r="B136" s="38"/>
      <c r="C136" s="470"/>
      <c r="D136" s="470"/>
      <c r="E136" s="38"/>
      <c r="F136" s="38"/>
      <c r="G136" s="38"/>
      <c r="H136" s="38"/>
      <c r="I136" s="38"/>
      <c r="J136" s="38"/>
      <c r="K136" s="38"/>
      <c r="L136" s="38"/>
      <c r="N136" s="38"/>
      <c r="P136" s="38"/>
      <c r="Q136" s="38"/>
      <c r="R136" s="38"/>
    </row>
    <row r="137" spans="1:18" ht="19.5" customHeight="1" x14ac:dyDescent="0.25">
      <c r="A137" s="38"/>
      <c r="B137" s="38"/>
      <c r="C137" s="470"/>
      <c r="D137" s="470"/>
      <c r="E137" s="38"/>
      <c r="F137" s="38"/>
      <c r="G137" s="38"/>
      <c r="H137" s="38"/>
      <c r="I137" s="38"/>
      <c r="J137" s="38"/>
      <c r="K137" s="38"/>
      <c r="L137" s="38"/>
      <c r="N137" s="38"/>
      <c r="P137" s="38"/>
      <c r="Q137" s="38"/>
      <c r="R137" s="38"/>
    </row>
    <row r="138" spans="1:18" ht="19.5" customHeight="1" x14ac:dyDescent="0.25">
      <c r="A138" s="38"/>
      <c r="B138" s="38"/>
      <c r="C138" s="470"/>
      <c r="D138" s="470"/>
      <c r="E138" s="38"/>
      <c r="F138" s="38"/>
      <c r="G138" s="38"/>
      <c r="H138" s="38"/>
      <c r="I138" s="38"/>
      <c r="J138" s="38"/>
      <c r="K138" s="38"/>
      <c r="L138" s="38"/>
      <c r="N138" s="38"/>
      <c r="P138" s="38"/>
      <c r="Q138" s="38"/>
      <c r="R138" s="38"/>
    </row>
    <row r="139" spans="1:18" ht="19.5" customHeight="1" x14ac:dyDescent="0.25">
      <c r="A139" s="38"/>
      <c r="B139" s="38"/>
      <c r="C139" s="470"/>
      <c r="D139" s="470"/>
      <c r="E139" s="38"/>
      <c r="F139" s="38"/>
      <c r="G139" s="38"/>
      <c r="H139" s="38"/>
      <c r="I139" s="38"/>
      <c r="J139" s="38"/>
      <c r="K139" s="38"/>
      <c r="L139" s="38"/>
      <c r="N139" s="38"/>
      <c r="P139" s="38"/>
      <c r="Q139" s="38"/>
      <c r="R139" s="38"/>
    </row>
    <row r="140" spans="1:18" ht="19.5" customHeight="1" x14ac:dyDescent="0.25">
      <c r="A140" s="38"/>
      <c r="B140" s="38"/>
      <c r="C140" s="470"/>
      <c r="D140" s="470"/>
      <c r="E140" s="38"/>
      <c r="F140" s="38"/>
      <c r="G140" s="38"/>
      <c r="H140" s="38"/>
      <c r="I140" s="38"/>
      <c r="J140" s="38"/>
      <c r="K140" s="38"/>
      <c r="L140" s="38"/>
      <c r="N140" s="38"/>
      <c r="P140" s="38"/>
      <c r="Q140" s="38"/>
      <c r="R140" s="38"/>
    </row>
    <row r="141" spans="1:18" ht="19.5" customHeight="1" x14ac:dyDescent="0.25">
      <c r="A141" s="38"/>
      <c r="B141" s="38"/>
      <c r="C141" s="470"/>
      <c r="D141" s="470"/>
      <c r="E141" s="38"/>
      <c r="F141" s="38"/>
      <c r="G141" s="38"/>
      <c r="H141" s="38"/>
      <c r="I141" s="38"/>
      <c r="J141" s="38"/>
      <c r="K141" s="38"/>
      <c r="L141" s="38"/>
      <c r="N141" s="38"/>
      <c r="P141" s="38"/>
      <c r="Q141" s="38"/>
      <c r="R141" s="38"/>
    </row>
    <row r="142" spans="1:18" ht="19.5" customHeight="1" x14ac:dyDescent="0.25">
      <c r="A142" s="38"/>
      <c r="B142" s="38"/>
      <c r="C142" s="470"/>
      <c r="D142" s="470"/>
      <c r="E142" s="38"/>
      <c r="F142" s="38"/>
      <c r="G142" s="38"/>
      <c r="H142" s="38"/>
      <c r="I142" s="38"/>
      <c r="J142" s="38"/>
      <c r="K142" s="38"/>
      <c r="L142" s="38"/>
      <c r="N142" s="38"/>
      <c r="P142" s="38"/>
      <c r="Q142" s="38"/>
      <c r="R142" s="38"/>
    </row>
    <row r="143" spans="1:18" ht="19.5" customHeight="1" x14ac:dyDescent="0.25">
      <c r="A143" s="38"/>
      <c r="B143" s="38"/>
      <c r="C143" s="470"/>
      <c r="D143" s="470"/>
      <c r="E143" s="38"/>
      <c r="F143" s="38"/>
      <c r="G143" s="38"/>
      <c r="H143" s="38"/>
      <c r="I143" s="38"/>
      <c r="J143" s="38"/>
      <c r="K143" s="38"/>
      <c r="L143" s="38"/>
      <c r="N143" s="38"/>
      <c r="P143" s="38"/>
      <c r="Q143" s="38"/>
      <c r="R143" s="38"/>
    </row>
    <row r="144" spans="1:18" ht="19.5" customHeight="1" x14ac:dyDescent="0.25">
      <c r="A144" s="38"/>
      <c r="B144" s="38"/>
      <c r="C144" s="470"/>
      <c r="D144" s="470"/>
      <c r="E144" s="38"/>
      <c r="F144" s="38"/>
      <c r="G144" s="38"/>
      <c r="H144" s="38"/>
      <c r="I144" s="38"/>
      <c r="J144" s="38"/>
      <c r="K144" s="38"/>
      <c r="L144" s="38"/>
      <c r="N144" s="38"/>
      <c r="P144" s="38"/>
      <c r="Q144" s="38"/>
      <c r="R144" s="38"/>
    </row>
    <row r="145" spans="1:18" ht="19.5" customHeight="1" x14ac:dyDescent="0.25">
      <c r="A145" s="38"/>
      <c r="B145" s="38"/>
      <c r="C145" s="470"/>
      <c r="D145" s="470"/>
      <c r="E145" s="38"/>
      <c r="F145" s="38"/>
      <c r="G145" s="38"/>
      <c r="H145" s="38"/>
      <c r="I145" s="38"/>
      <c r="J145" s="38"/>
      <c r="K145" s="38"/>
      <c r="L145" s="38"/>
      <c r="N145" s="38"/>
      <c r="P145" s="38"/>
      <c r="Q145" s="38"/>
      <c r="R145" s="38"/>
    </row>
    <row r="146" spans="1:18" ht="19.5" customHeight="1" x14ac:dyDescent="0.25">
      <c r="A146" s="38"/>
      <c r="B146" s="38"/>
      <c r="C146" s="470"/>
      <c r="D146" s="470"/>
      <c r="E146" s="38"/>
      <c r="F146" s="38"/>
      <c r="G146" s="38"/>
      <c r="H146" s="38"/>
      <c r="I146" s="38"/>
      <c r="J146" s="38"/>
      <c r="K146" s="38"/>
      <c r="L146" s="38"/>
      <c r="N146" s="38"/>
      <c r="P146" s="38"/>
      <c r="Q146" s="38"/>
      <c r="R146" s="38"/>
    </row>
    <row r="147" spans="1:18" ht="19.5" customHeight="1" x14ac:dyDescent="0.25">
      <c r="A147" s="38"/>
      <c r="B147" s="38"/>
      <c r="C147" s="470"/>
      <c r="D147" s="470"/>
      <c r="E147" s="38"/>
      <c r="F147" s="38"/>
      <c r="G147" s="38"/>
      <c r="H147" s="38"/>
      <c r="I147" s="38"/>
      <c r="J147" s="38"/>
      <c r="K147" s="38"/>
      <c r="L147" s="38"/>
      <c r="N147" s="38"/>
      <c r="P147" s="38"/>
      <c r="Q147" s="38"/>
      <c r="R147" s="38"/>
    </row>
    <row r="148" spans="1:18" ht="19.5" customHeight="1" x14ac:dyDescent="0.25">
      <c r="A148" s="38"/>
      <c r="B148" s="38"/>
      <c r="C148" s="470"/>
      <c r="D148" s="470"/>
      <c r="E148" s="38"/>
      <c r="F148" s="38"/>
      <c r="G148" s="38"/>
      <c r="H148" s="38"/>
      <c r="I148" s="38"/>
      <c r="J148" s="38"/>
      <c r="K148" s="38"/>
      <c r="L148" s="38"/>
      <c r="N148" s="38"/>
      <c r="P148" s="38"/>
      <c r="Q148" s="38"/>
      <c r="R148" s="38"/>
    </row>
    <row r="149" spans="1:18" ht="19.5" customHeight="1" x14ac:dyDescent="0.25">
      <c r="A149" s="38"/>
      <c r="B149" s="38"/>
      <c r="C149" s="470"/>
      <c r="D149" s="470"/>
      <c r="E149" s="38"/>
      <c r="F149" s="38"/>
      <c r="G149" s="38"/>
      <c r="H149" s="38"/>
      <c r="I149" s="38"/>
      <c r="J149" s="38"/>
      <c r="K149" s="38"/>
      <c r="L149" s="38"/>
      <c r="N149" s="38"/>
      <c r="P149" s="38"/>
      <c r="Q149" s="38"/>
      <c r="R149" s="38"/>
    </row>
    <row r="150" spans="1:18" ht="19.5" customHeight="1" x14ac:dyDescent="0.25">
      <c r="A150" s="38"/>
      <c r="B150" s="38"/>
      <c r="C150" s="470"/>
      <c r="D150" s="470"/>
      <c r="E150" s="38"/>
      <c r="F150" s="38"/>
      <c r="G150" s="38"/>
      <c r="H150" s="38"/>
      <c r="I150" s="38"/>
      <c r="J150" s="38"/>
      <c r="K150" s="38"/>
      <c r="L150" s="38"/>
      <c r="N150" s="38"/>
      <c r="P150" s="38"/>
      <c r="Q150" s="38"/>
      <c r="R150" s="38"/>
    </row>
    <row r="151" spans="1:18" ht="19.5" customHeight="1" x14ac:dyDescent="0.25">
      <c r="A151" s="38"/>
      <c r="B151" s="38"/>
      <c r="C151" s="470"/>
      <c r="D151" s="470"/>
      <c r="E151" s="38"/>
      <c r="F151" s="38"/>
      <c r="G151" s="38"/>
      <c r="H151" s="38"/>
      <c r="I151" s="38"/>
      <c r="J151" s="38"/>
      <c r="K151" s="38"/>
      <c r="L151" s="38"/>
      <c r="N151" s="38"/>
      <c r="P151" s="38"/>
      <c r="Q151" s="38"/>
      <c r="R151" s="38"/>
    </row>
    <row r="152" spans="1:18" ht="19.5" customHeight="1" x14ac:dyDescent="0.25">
      <c r="A152" s="38"/>
      <c r="B152" s="38"/>
      <c r="C152" s="470"/>
      <c r="D152" s="470"/>
      <c r="E152" s="38"/>
      <c r="F152" s="38"/>
      <c r="G152" s="38"/>
      <c r="H152" s="38"/>
      <c r="I152" s="38"/>
      <c r="J152" s="38"/>
      <c r="K152" s="38"/>
      <c r="L152" s="38"/>
      <c r="N152" s="38"/>
      <c r="P152" s="38"/>
      <c r="Q152" s="38"/>
      <c r="R152" s="38"/>
    </row>
    <row r="153" spans="1:18" ht="19.5" customHeight="1" x14ac:dyDescent="0.25">
      <c r="A153" s="38"/>
      <c r="B153" s="38"/>
      <c r="C153" s="470"/>
      <c r="D153" s="470"/>
      <c r="E153" s="38"/>
      <c r="F153" s="38"/>
      <c r="G153" s="38"/>
      <c r="H153" s="38"/>
      <c r="I153" s="38"/>
      <c r="J153" s="38"/>
      <c r="K153" s="38"/>
      <c r="L153" s="38"/>
      <c r="N153" s="38"/>
      <c r="P153" s="38"/>
      <c r="Q153" s="38"/>
      <c r="R153" s="38"/>
    </row>
    <row r="154" spans="1:18" ht="19.5" customHeight="1" x14ac:dyDescent="0.25">
      <c r="A154" s="38"/>
      <c r="B154" s="38"/>
      <c r="C154" s="470"/>
      <c r="D154" s="470"/>
      <c r="E154" s="38"/>
      <c r="F154" s="38"/>
      <c r="G154" s="38"/>
      <c r="H154" s="38"/>
      <c r="I154" s="38"/>
      <c r="J154" s="38"/>
      <c r="K154" s="38"/>
      <c r="L154" s="38"/>
      <c r="N154" s="38"/>
      <c r="P154" s="38"/>
      <c r="Q154" s="38"/>
      <c r="R154" s="38"/>
    </row>
    <row r="155" spans="1:18" ht="19.5" customHeight="1" x14ac:dyDescent="0.25">
      <c r="A155" s="38"/>
      <c r="B155" s="38"/>
      <c r="C155" s="470"/>
      <c r="D155" s="470"/>
      <c r="E155" s="38"/>
      <c r="F155" s="38"/>
      <c r="G155" s="38"/>
      <c r="H155" s="38"/>
      <c r="I155" s="38"/>
      <c r="J155" s="38"/>
      <c r="K155" s="38"/>
      <c r="L155" s="38"/>
      <c r="N155" s="38"/>
      <c r="P155" s="38"/>
      <c r="Q155" s="38"/>
      <c r="R155" s="38"/>
    </row>
    <row r="156" spans="1:18" ht="19.5" customHeight="1" x14ac:dyDescent="0.25">
      <c r="A156" s="38"/>
      <c r="B156" s="38"/>
      <c r="C156" s="470"/>
      <c r="D156" s="470"/>
      <c r="E156" s="38"/>
      <c r="F156" s="38"/>
      <c r="G156" s="38"/>
      <c r="H156" s="38"/>
      <c r="I156" s="38"/>
      <c r="J156" s="38"/>
      <c r="K156" s="38"/>
      <c r="L156" s="38"/>
      <c r="N156" s="38"/>
      <c r="P156" s="38"/>
      <c r="Q156" s="38"/>
      <c r="R156" s="38"/>
    </row>
    <row r="157" spans="1:18" ht="19.5" customHeight="1" x14ac:dyDescent="0.25">
      <c r="A157" s="38"/>
      <c r="B157" s="38"/>
      <c r="C157" s="470"/>
      <c r="D157" s="470"/>
      <c r="E157" s="38"/>
      <c r="F157" s="38"/>
      <c r="G157" s="38"/>
      <c r="H157" s="38"/>
      <c r="I157" s="38"/>
      <c r="J157" s="38"/>
      <c r="K157" s="38"/>
      <c r="L157" s="38"/>
      <c r="N157" s="38"/>
      <c r="P157" s="38"/>
      <c r="Q157" s="38"/>
      <c r="R157" s="38"/>
    </row>
    <row r="158" spans="1:18" ht="19.5" customHeight="1" x14ac:dyDescent="0.25">
      <c r="A158" s="38"/>
      <c r="B158" s="38"/>
      <c r="C158" s="470"/>
      <c r="D158" s="470"/>
      <c r="E158" s="38"/>
      <c r="F158" s="38"/>
      <c r="G158" s="38"/>
      <c r="H158" s="38"/>
      <c r="I158" s="38"/>
      <c r="J158" s="38"/>
      <c r="K158" s="38"/>
      <c r="L158" s="38"/>
      <c r="N158" s="38"/>
      <c r="P158" s="38"/>
      <c r="Q158" s="38"/>
      <c r="R158" s="38"/>
    </row>
    <row r="159" spans="1:18" ht="19.5" customHeight="1" x14ac:dyDescent="0.25">
      <c r="A159" s="38"/>
      <c r="B159" s="38"/>
      <c r="C159" s="470"/>
      <c r="D159" s="470"/>
      <c r="E159" s="38"/>
      <c r="F159" s="38"/>
      <c r="G159" s="38"/>
      <c r="H159" s="38"/>
      <c r="I159" s="38"/>
      <c r="J159" s="38"/>
      <c r="K159" s="38"/>
      <c r="L159" s="38"/>
      <c r="N159" s="38"/>
      <c r="P159" s="38"/>
      <c r="Q159" s="38"/>
      <c r="R159" s="38"/>
    </row>
    <row r="160" spans="1:18" ht="19.5" customHeight="1" x14ac:dyDescent="0.25">
      <c r="A160" s="38"/>
      <c r="B160" s="38"/>
      <c r="C160" s="470"/>
      <c r="D160" s="470"/>
      <c r="E160" s="38"/>
      <c r="F160" s="38"/>
      <c r="G160" s="38"/>
      <c r="H160" s="38"/>
      <c r="I160" s="38"/>
      <c r="J160" s="38"/>
      <c r="K160" s="38"/>
      <c r="L160" s="38"/>
      <c r="N160" s="38"/>
      <c r="P160" s="38"/>
      <c r="Q160" s="38"/>
      <c r="R160" s="38"/>
    </row>
    <row r="161" spans="1:18" ht="19.5" customHeight="1" x14ac:dyDescent="0.25">
      <c r="A161" s="38"/>
      <c r="B161" s="38"/>
      <c r="C161" s="470"/>
      <c r="D161" s="470"/>
      <c r="E161" s="38"/>
      <c r="F161" s="38"/>
      <c r="G161" s="38"/>
      <c r="H161" s="38"/>
      <c r="I161" s="38"/>
      <c r="J161" s="38"/>
      <c r="K161" s="38"/>
      <c r="L161" s="38"/>
      <c r="N161" s="38"/>
      <c r="P161" s="38"/>
      <c r="Q161" s="38"/>
      <c r="R161" s="38"/>
    </row>
    <row r="162" spans="1:18" ht="19.5" customHeight="1" x14ac:dyDescent="0.25">
      <c r="A162" s="38"/>
      <c r="B162" s="38"/>
      <c r="C162" s="470"/>
      <c r="D162" s="470"/>
      <c r="E162" s="38"/>
      <c r="F162" s="38"/>
      <c r="G162" s="38"/>
      <c r="H162" s="38"/>
      <c r="I162" s="38"/>
      <c r="J162" s="38"/>
      <c r="K162" s="38"/>
      <c r="L162" s="38"/>
      <c r="N162" s="38"/>
      <c r="P162" s="38"/>
      <c r="Q162" s="38"/>
      <c r="R162" s="38"/>
    </row>
    <row r="163" spans="1:18" ht="19.5" customHeight="1" x14ac:dyDescent="0.25">
      <c r="A163" s="38"/>
      <c r="B163" s="38"/>
      <c r="C163" s="470"/>
      <c r="D163" s="470"/>
      <c r="E163" s="38"/>
      <c r="F163" s="38"/>
      <c r="G163" s="38"/>
      <c r="H163" s="38"/>
      <c r="I163" s="38"/>
      <c r="J163" s="38"/>
      <c r="K163" s="38"/>
      <c r="L163" s="38"/>
      <c r="N163" s="38"/>
      <c r="P163" s="38"/>
      <c r="Q163" s="38"/>
      <c r="R163" s="38"/>
    </row>
    <row r="164" spans="1:18" ht="19.5" customHeight="1" x14ac:dyDescent="0.25">
      <c r="A164" s="38"/>
      <c r="B164" s="38"/>
      <c r="C164" s="470"/>
      <c r="D164" s="470"/>
      <c r="E164" s="38"/>
      <c r="F164" s="38"/>
      <c r="G164" s="38"/>
      <c r="H164" s="38"/>
      <c r="I164" s="38"/>
      <c r="J164" s="38"/>
      <c r="K164" s="38"/>
      <c r="L164" s="38"/>
      <c r="N164" s="38"/>
      <c r="P164" s="38"/>
      <c r="Q164" s="38"/>
      <c r="R164" s="38"/>
    </row>
    <row r="165" spans="1:18" ht="19.5" customHeight="1" x14ac:dyDescent="0.25">
      <c r="A165" s="38"/>
      <c r="B165" s="38"/>
      <c r="C165" s="470"/>
      <c r="D165" s="470"/>
      <c r="E165" s="38"/>
      <c r="F165" s="38"/>
      <c r="G165" s="38"/>
      <c r="H165" s="38"/>
      <c r="I165" s="38"/>
      <c r="J165" s="38"/>
      <c r="K165" s="38"/>
      <c r="L165" s="38"/>
      <c r="N165" s="38"/>
      <c r="P165" s="38"/>
      <c r="Q165" s="38"/>
      <c r="R165" s="38"/>
    </row>
    <row r="166" spans="1:18" ht="19.5" customHeight="1" x14ac:dyDescent="0.25">
      <c r="A166" s="38"/>
      <c r="B166" s="38"/>
      <c r="C166" s="470"/>
      <c r="D166" s="470"/>
      <c r="E166" s="38"/>
      <c r="F166" s="38"/>
      <c r="G166" s="38"/>
      <c r="H166" s="38"/>
      <c r="I166" s="38"/>
      <c r="J166" s="38"/>
      <c r="K166" s="38"/>
      <c r="L166" s="38"/>
      <c r="N166" s="38"/>
      <c r="P166" s="38"/>
      <c r="Q166" s="38"/>
      <c r="R166" s="38"/>
    </row>
    <row r="167" spans="1:18" ht="19.5" customHeight="1" x14ac:dyDescent="0.25">
      <c r="A167" s="38"/>
      <c r="B167" s="38"/>
      <c r="C167" s="470"/>
      <c r="D167" s="470"/>
      <c r="E167" s="38"/>
      <c r="F167" s="38"/>
      <c r="G167" s="38"/>
      <c r="H167" s="38"/>
      <c r="I167" s="38"/>
      <c r="J167" s="38"/>
      <c r="K167" s="38"/>
      <c r="L167" s="38"/>
      <c r="N167" s="38"/>
      <c r="P167" s="38"/>
      <c r="Q167" s="38"/>
      <c r="R167" s="38"/>
    </row>
    <row r="168" spans="1:18" ht="19.5" customHeight="1" x14ac:dyDescent="0.25">
      <c r="A168" s="38"/>
      <c r="B168" s="38"/>
      <c r="C168" s="470"/>
      <c r="D168" s="470"/>
      <c r="E168" s="38"/>
      <c r="F168" s="38"/>
      <c r="G168" s="38"/>
      <c r="H168" s="38"/>
      <c r="I168" s="38"/>
      <c r="J168" s="38"/>
      <c r="K168" s="38"/>
      <c r="L168" s="38"/>
      <c r="N168" s="38"/>
      <c r="P168" s="38"/>
      <c r="Q168" s="38"/>
      <c r="R168" s="38"/>
    </row>
    <row r="169" spans="1:18" ht="19.5" customHeight="1" x14ac:dyDescent="0.25">
      <c r="A169" s="38"/>
      <c r="B169" s="38"/>
      <c r="C169" s="470"/>
      <c r="D169" s="470"/>
      <c r="E169" s="38"/>
      <c r="F169" s="38"/>
      <c r="G169" s="38"/>
      <c r="H169" s="38"/>
      <c r="I169" s="38"/>
      <c r="J169" s="38"/>
      <c r="K169" s="38"/>
      <c r="L169" s="38"/>
      <c r="N169" s="38"/>
      <c r="P169" s="38"/>
      <c r="Q169" s="38"/>
      <c r="R169" s="38"/>
    </row>
    <row r="170" spans="1:18" ht="19.5" customHeight="1" x14ac:dyDescent="0.25">
      <c r="A170" s="38"/>
      <c r="B170" s="38"/>
      <c r="C170" s="470"/>
      <c r="D170" s="470"/>
      <c r="E170" s="38"/>
      <c r="F170" s="38"/>
      <c r="G170" s="38"/>
      <c r="H170" s="38"/>
      <c r="I170" s="38"/>
      <c r="J170" s="38"/>
      <c r="K170" s="38"/>
      <c r="L170" s="38"/>
      <c r="N170" s="38"/>
      <c r="P170" s="38"/>
      <c r="Q170" s="38"/>
      <c r="R170" s="38"/>
    </row>
    <row r="171" spans="1:18" ht="19.5" customHeight="1" x14ac:dyDescent="0.25">
      <c r="A171" s="38"/>
      <c r="B171" s="38"/>
      <c r="C171" s="470"/>
      <c r="D171" s="470"/>
      <c r="E171" s="38"/>
      <c r="F171" s="38"/>
      <c r="G171" s="38"/>
      <c r="H171" s="38"/>
      <c r="I171" s="38"/>
      <c r="J171" s="38"/>
      <c r="K171" s="38"/>
      <c r="L171" s="38"/>
      <c r="N171" s="38"/>
      <c r="P171" s="38"/>
      <c r="Q171" s="38"/>
      <c r="R171" s="38"/>
    </row>
    <row r="172" spans="1:18" ht="19.5" customHeight="1" x14ac:dyDescent="0.25">
      <c r="A172" s="38"/>
      <c r="B172" s="38"/>
      <c r="C172" s="470"/>
      <c r="D172" s="470"/>
      <c r="E172" s="38"/>
      <c r="F172" s="38"/>
      <c r="G172" s="38"/>
      <c r="H172" s="38"/>
      <c r="I172" s="38"/>
      <c r="J172" s="38"/>
      <c r="K172" s="38"/>
      <c r="L172" s="38"/>
      <c r="N172" s="38"/>
      <c r="P172" s="38"/>
      <c r="Q172" s="38"/>
      <c r="R172" s="38"/>
    </row>
    <row r="173" spans="1:18" ht="19.5" customHeight="1" x14ac:dyDescent="0.25">
      <c r="A173" s="38"/>
      <c r="B173" s="38"/>
      <c r="C173" s="470"/>
      <c r="D173" s="470"/>
      <c r="E173" s="38"/>
      <c r="F173" s="38"/>
      <c r="G173" s="38"/>
      <c r="H173" s="38"/>
      <c r="I173" s="38"/>
      <c r="J173" s="38"/>
      <c r="K173" s="38"/>
      <c r="L173" s="38"/>
      <c r="N173" s="38"/>
      <c r="P173" s="38"/>
      <c r="Q173" s="38"/>
      <c r="R173" s="38"/>
    </row>
    <row r="174" spans="1:18" ht="19.5" customHeight="1" x14ac:dyDescent="0.25">
      <c r="A174" s="38"/>
      <c r="B174" s="38"/>
      <c r="C174" s="470"/>
      <c r="D174" s="470"/>
      <c r="E174" s="38"/>
      <c r="F174" s="38"/>
      <c r="G174" s="38"/>
      <c r="H174" s="38"/>
      <c r="I174" s="38"/>
      <c r="J174" s="38"/>
      <c r="K174" s="38"/>
      <c r="L174" s="38"/>
      <c r="N174" s="38"/>
      <c r="P174" s="38"/>
      <c r="Q174" s="38"/>
      <c r="R174" s="38"/>
    </row>
    <row r="175" spans="1:18" ht="19.5" customHeight="1" x14ac:dyDescent="0.25">
      <c r="A175" s="38"/>
      <c r="B175" s="38"/>
      <c r="C175" s="470"/>
      <c r="D175" s="470"/>
      <c r="E175" s="38"/>
      <c r="F175" s="38"/>
      <c r="G175" s="38"/>
      <c r="H175" s="38"/>
      <c r="I175" s="38"/>
      <c r="J175" s="38"/>
      <c r="K175" s="38"/>
      <c r="L175" s="38"/>
      <c r="N175" s="38"/>
      <c r="P175" s="38"/>
      <c r="Q175" s="38"/>
      <c r="R175" s="38"/>
    </row>
    <row r="176" spans="1:18" ht="19.5" customHeight="1" x14ac:dyDescent="0.25">
      <c r="A176" s="38"/>
      <c r="B176" s="38"/>
      <c r="C176" s="470"/>
      <c r="D176" s="470"/>
      <c r="E176" s="38"/>
      <c r="F176" s="38"/>
      <c r="G176" s="38"/>
      <c r="H176" s="38"/>
      <c r="I176" s="38"/>
      <c r="J176" s="38"/>
      <c r="K176" s="38"/>
      <c r="L176" s="38"/>
      <c r="N176" s="38"/>
      <c r="P176" s="38"/>
      <c r="Q176" s="38"/>
      <c r="R176" s="38"/>
    </row>
    <row r="177" spans="1:18" ht="19.5" customHeight="1" x14ac:dyDescent="0.25">
      <c r="A177" s="38"/>
      <c r="B177" s="38"/>
      <c r="C177" s="470"/>
      <c r="D177" s="470"/>
      <c r="E177" s="38"/>
      <c r="F177" s="38"/>
      <c r="G177" s="38"/>
      <c r="H177" s="38"/>
      <c r="I177" s="38"/>
      <c r="J177" s="38"/>
      <c r="K177" s="38"/>
      <c r="L177" s="38"/>
      <c r="N177" s="38"/>
      <c r="P177" s="38"/>
      <c r="Q177" s="38"/>
      <c r="R177" s="38"/>
    </row>
    <row r="178" spans="1:18" ht="19.5" customHeight="1" x14ac:dyDescent="0.25">
      <c r="A178" s="38"/>
      <c r="B178" s="38"/>
      <c r="C178" s="470"/>
      <c r="D178" s="470"/>
      <c r="E178" s="38"/>
      <c r="F178" s="38"/>
      <c r="G178" s="38"/>
      <c r="H178" s="38"/>
      <c r="I178" s="38"/>
      <c r="J178" s="38"/>
      <c r="K178" s="38"/>
      <c r="L178" s="38"/>
      <c r="N178" s="38"/>
      <c r="P178" s="38"/>
      <c r="Q178" s="38"/>
      <c r="R178" s="38"/>
    </row>
    <row r="179" spans="1:18" ht="19.5" customHeight="1" x14ac:dyDescent="0.25">
      <c r="A179" s="38"/>
      <c r="B179" s="38"/>
      <c r="C179" s="470"/>
      <c r="D179" s="470"/>
      <c r="E179" s="38"/>
      <c r="F179" s="38"/>
      <c r="G179" s="38"/>
      <c r="H179" s="38"/>
      <c r="I179" s="38"/>
      <c r="J179" s="38"/>
      <c r="K179" s="38"/>
      <c r="L179" s="38"/>
      <c r="N179" s="38"/>
      <c r="P179" s="38"/>
      <c r="Q179" s="38"/>
      <c r="R179" s="38"/>
    </row>
    <row r="180" spans="1:18" ht="19.5" customHeight="1" x14ac:dyDescent="0.25">
      <c r="A180" s="38"/>
      <c r="B180" s="38"/>
      <c r="C180" s="470"/>
      <c r="D180" s="470"/>
      <c r="E180" s="38"/>
      <c r="F180" s="38"/>
      <c r="G180" s="38"/>
      <c r="H180" s="38"/>
      <c r="I180" s="38"/>
      <c r="J180" s="38"/>
      <c r="K180" s="38"/>
      <c r="L180" s="38"/>
      <c r="N180" s="38"/>
      <c r="P180" s="38"/>
      <c r="Q180" s="38"/>
      <c r="R180" s="38"/>
    </row>
    <row r="181" spans="1:18" ht="19.5" customHeight="1" x14ac:dyDescent="0.25">
      <c r="A181" s="38"/>
      <c r="B181" s="38"/>
      <c r="C181" s="470"/>
      <c r="D181" s="470"/>
      <c r="E181" s="38"/>
      <c r="F181" s="38"/>
      <c r="G181" s="38"/>
      <c r="H181" s="38"/>
      <c r="I181" s="38"/>
      <c r="J181" s="38"/>
      <c r="K181" s="38"/>
      <c r="L181" s="38"/>
      <c r="N181" s="38"/>
      <c r="P181" s="38"/>
      <c r="Q181" s="38"/>
      <c r="R181" s="38"/>
    </row>
    <row r="182" spans="1:18" ht="19.5" customHeight="1" x14ac:dyDescent="0.25">
      <c r="A182" s="38"/>
      <c r="B182" s="38"/>
      <c r="C182" s="470"/>
      <c r="D182" s="470"/>
      <c r="E182" s="38"/>
      <c r="F182" s="38"/>
      <c r="G182" s="38"/>
      <c r="H182" s="38"/>
      <c r="I182" s="38"/>
      <c r="J182" s="38"/>
      <c r="K182" s="38"/>
      <c r="L182" s="38"/>
      <c r="N182" s="38"/>
      <c r="P182" s="38"/>
      <c r="Q182" s="38"/>
      <c r="R182" s="38"/>
    </row>
    <row r="183" spans="1:18" ht="19.5" customHeight="1" x14ac:dyDescent="0.25">
      <c r="A183" s="38"/>
      <c r="B183" s="38"/>
      <c r="C183" s="470"/>
      <c r="D183" s="470"/>
      <c r="E183" s="38"/>
      <c r="F183" s="38"/>
      <c r="G183" s="38"/>
      <c r="H183" s="38"/>
      <c r="I183" s="38"/>
      <c r="J183" s="38"/>
      <c r="K183" s="38"/>
      <c r="L183" s="38"/>
      <c r="N183" s="38"/>
      <c r="P183" s="38"/>
      <c r="Q183" s="38"/>
      <c r="R183" s="38"/>
    </row>
    <row r="184" spans="1:18" ht="19.5" customHeight="1" x14ac:dyDescent="0.25">
      <c r="A184" s="38"/>
      <c r="B184" s="38"/>
      <c r="C184" s="470"/>
      <c r="D184" s="470"/>
      <c r="E184" s="38"/>
      <c r="F184" s="38"/>
      <c r="G184" s="38"/>
      <c r="H184" s="38"/>
      <c r="I184" s="38"/>
      <c r="J184" s="38"/>
      <c r="K184" s="38"/>
      <c r="L184" s="38"/>
      <c r="N184" s="38"/>
      <c r="P184" s="38"/>
      <c r="Q184" s="38"/>
      <c r="R184" s="38"/>
    </row>
    <row r="185" spans="1:18" ht="19.5" customHeight="1" x14ac:dyDescent="0.25">
      <c r="A185" s="38"/>
      <c r="B185" s="38"/>
      <c r="C185" s="470"/>
      <c r="D185" s="470"/>
      <c r="E185" s="38"/>
      <c r="F185" s="38"/>
      <c r="G185" s="38"/>
      <c r="H185" s="38"/>
      <c r="I185" s="38"/>
      <c r="J185" s="38"/>
      <c r="K185" s="38"/>
      <c r="L185" s="38"/>
      <c r="N185" s="38"/>
      <c r="P185" s="38"/>
      <c r="Q185" s="38"/>
      <c r="R185" s="38"/>
    </row>
    <row r="186" spans="1:18" ht="19.5" customHeight="1" x14ac:dyDescent="0.25">
      <c r="A186" s="38"/>
      <c r="B186" s="38"/>
      <c r="C186" s="470"/>
      <c r="D186" s="470"/>
      <c r="E186" s="38"/>
      <c r="F186" s="38"/>
      <c r="G186" s="38"/>
      <c r="H186" s="38"/>
      <c r="I186" s="38"/>
      <c r="J186" s="38"/>
      <c r="K186" s="38"/>
      <c r="L186" s="38"/>
      <c r="N186" s="38"/>
      <c r="P186" s="38"/>
      <c r="Q186" s="38"/>
      <c r="R186" s="38"/>
    </row>
    <row r="187" spans="1:18" ht="19.5" customHeight="1" x14ac:dyDescent="0.25">
      <c r="A187" s="38"/>
      <c r="B187" s="38"/>
      <c r="C187" s="470"/>
      <c r="D187" s="470"/>
      <c r="E187" s="38"/>
      <c r="F187" s="38"/>
      <c r="G187" s="38"/>
      <c r="H187" s="38"/>
      <c r="I187" s="38"/>
      <c r="J187" s="38"/>
      <c r="K187" s="38"/>
      <c r="L187" s="38"/>
      <c r="N187" s="38"/>
      <c r="P187" s="38"/>
      <c r="Q187" s="38"/>
      <c r="R187" s="38"/>
    </row>
    <row r="188" spans="1:18" ht="19.5" customHeight="1" x14ac:dyDescent="0.25">
      <c r="A188" s="38"/>
      <c r="B188" s="38"/>
      <c r="C188" s="470"/>
      <c r="D188" s="470"/>
      <c r="E188" s="38"/>
      <c r="F188" s="38"/>
      <c r="G188" s="38"/>
      <c r="H188" s="38"/>
      <c r="I188" s="38"/>
      <c r="J188" s="38"/>
      <c r="K188" s="38"/>
      <c r="L188" s="38"/>
      <c r="N188" s="38"/>
      <c r="P188" s="38"/>
      <c r="Q188" s="38"/>
      <c r="R188" s="38"/>
    </row>
    <row r="189" spans="1:18" ht="19.5" customHeight="1" x14ac:dyDescent="0.25">
      <c r="A189" s="38"/>
      <c r="B189" s="38"/>
      <c r="C189" s="470"/>
      <c r="D189" s="470"/>
      <c r="E189" s="38"/>
      <c r="F189" s="38"/>
      <c r="G189" s="38"/>
      <c r="H189" s="38"/>
      <c r="I189" s="38"/>
      <c r="J189" s="38"/>
      <c r="K189" s="38"/>
      <c r="L189" s="38"/>
      <c r="N189" s="38"/>
      <c r="P189" s="38"/>
      <c r="Q189" s="38"/>
      <c r="R189" s="38"/>
    </row>
    <row r="190" spans="1:18" ht="19.5" customHeight="1" x14ac:dyDescent="0.25">
      <c r="A190" s="38"/>
      <c r="B190" s="38"/>
      <c r="C190" s="470"/>
      <c r="D190" s="470"/>
      <c r="E190" s="38"/>
      <c r="F190" s="38"/>
      <c r="G190" s="38"/>
      <c r="H190" s="38"/>
      <c r="I190" s="38"/>
      <c r="J190" s="38"/>
      <c r="K190" s="38"/>
      <c r="L190" s="38"/>
      <c r="N190" s="38"/>
      <c r="P190" s="38"/>
      <c r="Q190" s="38"/>
      <c r="R190" s="38"/>
    </row>
    <row r="191" spans="1:18" ht="19.5" customHeight="1" x14ac:dyDescent="0.25">
      <c r="A191" s="38"/>
      <c r="B191" s="38"/>
      <c r="C191" s="470"/>
      <c r="D191" s="470"/>
      <c r="E191" s="38"/>
      <c r="F191" s="38"/>
      <c r="G191" s="38"/>
      <c r="H191" s="38"/>
      <c r="I191" s="38"/>
      <c r="J191" s="38"/>
      <c r="K191" s="38"/>
      <c r="L191" s="38"/>
      <c r="N191" s="38"/>
      <c r="P191" s="38"/>
      <c r="Q191" s="38"/>
      <c r="R191" s="38"/>
    </row>
    <row r="192" spans="1:18" ht="19.5" customHeight="1" x14ac:dyDescent="0.25">
      <c r="A192" s="38"/>
      <c r="B192" s="38"/>
      <c r="C192" s="470"/>
      <c r="D192" s="470"/>
      <c r="E192" s="38"/>
      <c r="F192" s="38"/>
      <c r="G192" s="38"/>
      <c r="H192" s="38"/>
      <c r="I192" s="38"/>
      <c r="J192" s="38"/>
      <c r="K192" s="38"/>
      <c r="L192" s="38"/>
      <c r="N192" s="38"/>
      <c r="P192" s="38"/>
      <c r="Q192" s="38"/>
      <c r="R192" s="38"/>
    </row>
    <row r="193" spans="1:18" ht="19.5" customHeight="1" x14ac:dyDescent="0.25">
      <c r="A193" s="38"/>
      <c r="B193" s="38"/>
      <c r="C193" s="470"/>
      <c r="D193" s="470"/>
      <c r="E193" s="38"/>
      <c r="F193" s="38"/>
      <c r="G193" s="38"/>
      <c r="H193" s="38"/>
      <c r="I193" s="38"/>
      <c r="J193" s="38"/>
      <c r="K193" s="38"/>
      <c r="L193" s="38"/>
      <c r="N193" s="38"/>
      <c r="P193" s="38"/>
      <c r="Q193" s="38"/>
      <c r="R193" s="38"/>
    </row>
    <row r="194" spans="1:18" ht="19.5" customHeight="1" x14ac:dyDescent="0.25">
      <c r="A194" s="38"/>
      <c r="B194" s="38"/>
      <c r="C194" s="470"/>
      <c r="D194" s="470"/>
      <c r="E194" s="38"/>
      <c r="F194" s="38"/>
      <c r="G194" s="38"/>
      <c r="H194" s="38"/>
      <c r="I194" s="38"/>
      <c r="J194" s="38"/>
      <c r="K194" s="38"/>
      <c r="L194" s="38"/>
      <c r="N194" s="38"/>
      <c r="P194" s="38"/>
      <c r="Q194" s="38"/>
      <c r="R194" s="38"/>
    </row>
    <row r="195" spans="1:18" ht="19.5" customHeight="1" x14ac:dyDescent="0.25">
      <c r="A195" s="38"/>
      <c r="B195" s="38"/>
      <c r="C195" s="470"/>
      <c r="D195" s="470"/>
      <c r="E195" s="38"/>
      <c r="F195" s="38"/>
      <c r="G195" s="38"/>
      <c r="H195" s="38"/>
      <c r="I195" s="38"/>
      <c r="J195" s="38"/>
      <c r="K195" s="38"/>
      <c r="L195" s="38"/>
      <c r="N195" s="38"/>
      <c r="P195" s="38"/>
      <c r="Q195" s="38"/>
      <c r="R195" s="38"/>
    </row>
    <row r="196" spans="1:18" ht="19.5" customHeight="1" x14ac:dyDescent="0.25">
      <c r="A196" s="38"/>
      <c r="B196" s="38"/>
      <c r="C196" s="470"/>
      <c r="D196" s="470"/>
      <c r="E196" s="38"/>
      <c r="F196" s="38"/>
      <c r="G196" s="38"/>
      <c r="H196" s="38"/>
      <c r="I196" s="38"/>
      <c r="J196" s="38"/>
      <c r="K196" s="38"/>
      <c r="L196" s="38"/>
      <c r="N196" s="38"/>
      <c r="P196" s="38"/>
      <c r="Q196" s="38"/>
      <c r="R196" s="38"/>
    </row>
    <row r="197" spans="1:18" ht="19.5" customHeight="1" x14ac:dyDescent="0.25">
      <c r="A197" s="38"/>
      <c r="B197" s="38"/>
      <c r="C197" s="470"/>
      <c r="D197" s="470"/>
      <c r="E197" s="38"/>
      <c r="F197" s="38"/>
      <c r="G197" s="38"/>
      <c r="H197" s="38"/>
      <c r="I197" s="38"/>
      <c r="J197" s="38"/>
      <c r="K197" s="38"/>
      <c r="L197" s="38"/>
      <c r="N197" s="38"/>
      <c r="P197" s="38"/>
      <c r="Q197" s="38"/>
      <c r="R197" s="38"/>
    </row>
    <row r="198" spans="1:18" ht="19.5" customHeight="1" x14ac:dyDescent="0.25">
      <c r="A198" s="38"/>
      <c r="B198" s="38"/>
      <c r="C198" s="470"/>
      <c r="D198" s="470"/>
      <c r="E198" s="38"/>
      <c r="F198" s="38"/>
      <c r="G198" s="38"/>
      <c r="H198" s="38"/>
      <c r="I198" s="38"/>
      <c r="J198" s="38"/>
      <c r="K198" s="38"/>
      <c r="L198" s="38"/>
      <c r="N198" s="38"/>
      <c r="P198" s="38"/>
      <c r="Q198" s="38"/>
      <c r="R198" s="38"/>
    </row>
    <row r="199" spans="1:18" ht="19.5" customHeight="1" x14ac:dyDescent="0.25">
      <c r="A199" s="38"/>
      <c r="B199" s="38"/>
      <c r="C199" s="470"/>
      <c r="D199" s="470"/>
      <c r="E199" s="38"/>
      <c r="F199" s="38"/>
      <c r="G199" s="38"/>
      <c r="H199" s="38"/>
      <c r="I199" s="38"/>
      <c r="J199" s="38"/>
      <c r="K199" s="38"/>
      <c r="L199" s="38"/>
      <c r="N199" s="38"/>
      <c r="P199" s="38"/>
      <c r="Q199" s="38"/>
      <c r="R199" s="38"/>
    </row>
    <row r="200" spans="1:18" ht="19.5" customHeight="1" x14ac:dyDescent="0.25">
      <c r="A200" s="38"/>
      <c r="B200" s="38"/>
      <c r="C200" s="470"/>
      <c r="D200" s="470"/>
      <c r="E200" s="38"/>
      <c r="F200" s="38"/>
      <c r="G200" s="38"/>
      <c r="H200" s="38"/>
      <c r="I200" s="38"/>
      <c r="J200" s="38"/>
      <c r="K200" s="38"/>
      <c r="L200" s="38"/>
      <c r="N200" s="38"/>
      <c r="P200" s="38"/>
      <c r="Q200" s="38"/>
      <c r="R200" s="38"/>
    </row>
    <row r="201" spans="1:18" ht="19.5" customHeight="1" x14ac:dyDescent="0.25">
      <c r="A201" s="38"/>
      <c r="B201" s="38"/>
      <c r="C201" s="470"/>
      <c r="D201" s="470"/>
      <c r="E201" s="38"/>
      <c r="F201" s="38"/>
      <c r="G201" s="38"/>
      <c r="H201" s="38"/>
      <c r="I201" s="38"/>
      <c r="J201" s="38"/>
      <c r="K201" s="38"/>
      <c r="L201" s="38"/>
      <c r="N201" s="38"/>
      <c r="P201" s="38"/>
      <c r="Q201" s="38"/>
      <c r="R201" s="38"/>
    </row>
    <row r="202" spans="1:18" ht="19.5" customHeight="1" x14ac:dyDescent="0.25">
      <c r="A202" s="38"/>
      <c r="B202" s="38"/>
      <c r="C202" s="470"/>
      <c r="D202" s="470"/>
      <c r="E202" s="38"/>
      <c r="F202" s="38"/>
      <c r="G202" s="38"/>
      <c r="H202" s="38"/>
      <c r="I202" s="38"/>
      <c r="J202" s="38"/>
      <c r="K202" s="38"/>
      <c r="L202" s="38"/>
      <c r="N202" s="38"/>
      <c r="P202" s="38"/>
      <c r="Q202" s="38"/>
      <c r="R202" s="38"/>
    </row>
    <row r="203" spans="1:18" ht="19.5" customHeight="1" x14ac:dyDescent="0.25">
      <c r="A203" s="38"/>
      <c r="B203" s="38"/>
      <c r="C203" s="470"/>
      <c r="D203" s="470"/>
      <c r="E203" s="38"/>
      <c r="F203" s="38"/>
      <c r="G203" s="38"/>
      <c r="H203" s="38"/>
      <c r="I203" s="38"/>
      <c r="J203" s="38"/>
      <c r="K203" s="38"/>
      <c r="L203" s="38"/>
      <c r="N203" s="38"/>
      <c r="P203" s="38"/>
      <c r="Q203" s="38"/>
      <c r="R203" s="38"/>
    </row>
    <row r="204" spans="1:18" ht="19.5" customHeight="1" x14ac:dyDescent="0.25">
      <c r="A204" s="38"/>
      <c r="B204" s="38"/>
      <c r="C204" s="470"/>
      <c r="D204" s="470"/>
      <c r="E204" s="38"/>
      <c r="F204" s="38"/>
      <c r="G204" s="38"/>
      <c r="H204" s="38"/>
      <c r="I204" s="38"/>
      <c r="J204" s="38"/>
      <c r="K204" s="38"/>
      <c r="L204" s="38"/>
      <c r="N204" s="38"/>
      <c r="P204" s="38"/>
      <c r="Q204" s="38"/>
      <c r="R204" s="38"/>
    </row>
    <row r="205" spans="1:18" ht="19.5" customHeight="1" x14ac:dyDescent="0.25">
      <c r="A205" s="38"/>
      <c r="B205" s="38"/>
      <c r="C205" s="470"/>
      <c r="D205" s="470"/>
      <c r="E205" s="38"/>
      <c r="F205" s="38"/>
      <c r="G205" s="38"/>
      <c r="H205" s="38"/>
      <c r="I205" s="38"/>
      <c r="J205" s="38"/>
      <c r="K205" s="38"/>
      <c r="L205" s="38"/>
      <c r="N205" s="38"/>
      <c r="P205" s="38"/>
      <c r="Q205" s="38"/>
      <c r="R205" s="38"/>
    </row>
    <row r="206" spans="1:18" ht="19.5" customHeight="1" x14ac:dyDescent="0.25">
      <c r="A206" s="38"/>
      <c r="B206" s="38"/>
      <c r="C206" s="470"/>
      <c r="D206" s="470"/>
      <c r="E206" s="38"/>
      <c r="F206" s="38"/>
      <c r="G206" s="38"/>
      <c r="H206" s="38"/>
      <c r="I206" s="38"/>
      <c r="J206" s="38"/>
      <c r="K206" s="38"/>
      <c r="L206" s="38"/>
      <c r="N206" s="38"/>
      <c r="P206" s="38"/>
      <c r="Q206" s="38"/>
      <c r="R206" s="38"/>
    </row>
    <row r="207" spans="1:18" ht="19.5" customHeight="1" x14ac:dyDescent="0.25">
      <c r="A207" s="38"/>
      <c r="B207" s="38"/>
      <c r="C207" s="470"/>
      <c r="D207" s="470"/>
      <c r="E207" s="38"/>
      <c r="F207" s="38"/>
      <c r="G207" s="38"/>
      <c r="H207" s="38"/>
      <c r="I207" s="38"/>
      <c r="J207" s="38"/>
      <c r="K207" s="38"/>
      <c r="L207" s="38"/>
      <c r="N207" s="38"/>
      <c r="P207" s="38"/>
      <c r="Q207" s="38"/>
      <c r="R207" s="38"/>
    </row>
    <row r="208" spans="1:18" ht="19.5" customHeight="1" x14ac:dyDescent="0.25">
      <c r="A208" s="38"/>
      <c r="B208" s="38"/>
      <c r="C208" s="470"/>
      <c r="D208" s="470"/>
      <c r="E208" s="38"/>
      <c r="F208" s="38"/>
      <c r="G208" s="38"/>
      <c r="H208" s="38"/>
      <c r="I208" s="38"/>
      <c r="J208" s="38"/>
      <c r="K208" s="38"/>
      <c r="L208" s="38"/>
      <c r="N208" s="38"/>
      <c r="P208" s="38"/>
      <c r="Q208" s="38"/>
      <c r="R208" s="38"/>
    </row>
    <row r="209" spans="1:18" ht="19.5" customHeight="1" x14ac:dyDescent="0.25">
      <c r="A209" s="38"/>
      <c r="B209" s="38"/>
      <c r="C209" s="470"/>
      <c r="D209" s="470"/>
      <c r="E209" s="38"/>
      <c r="F209" s="38"/>
      <c r="G209" s="38"/>
      <c r="H209" s="38"/>
      <c r="I209" s="38"/>
      <c r="J209" s="38"/>
      <c r="K209" s="38"/>
      <c r="L209" s="38"/>
      <c r="N209" s="38"/>
      <c r="P209" s="38"/>
      <c r="Q209" s="38"/>
      <c r="R209" s="38"/>
    </row>
    <row r="210" spans="1:18" ht="19.5" customHeight="1" x14ac:dyDescent="0.25">
      <c r="A210" s="38"/>
      <c r="B210" s="38"/>
      <c r="C210" s="470"/>
      <c r="D210" s="470"/>
      <c r="E210" s="38"/>
      <c r="F210" s="38"/>
      <c r="G210" s="38"/>
      <c r="H210" s="38"/>
      <c r="I210" s="38"/>
      <c r="J210" s="38"/>
      <c r="K210" s="38"/>
      <c r="L210" s="38"/>
      <c r="N210" s="38"/>
      <c r="P210" s="38"/>
      <c r="Q210" s="38"/>
      <c r="R210" s="38"/>
    </row>
    <row r="211" spans="1:18" ht="19.5" customHeight="1" x14ac:dyDescent="0.25">
      <c r="A211" s="38"/>
      <c r="B211" s="38"/>
      <c r="C211" s="470"/>
      <c r="D211" s="470"/>
      <c r="E211" s="38"/>
      <c r="F211" s="38"/>
      <c r="G211" s="38"/>
      <c r="H211" s="38"/>
      <c r="I211" s="38"/>
      <c r="J211" s="38"/>
      <c r="K211" s="38"/>
      <c r="L211" s="38"/>
      <c r="N211" s="38"/>
      <c r="P211" s="38"/>
      <c r="Q211" s="38"/>
      <c r="R211" s="38"/>
    </row>
    <row r="212" spans="1:18" ht="19.5" customHeight="1" x14ac:dyDescent="0.25">
      <c r="A212" s="38"/>
      <c r="B212" s="38"/>
      <c r="C212" s="470"/>
      <c r="D212" s="470"/>
      <c r="E212" s="38"/>
      <c r="F212" s="38"/>
      <c r="G212" s="38"/>
      <c r="H212" s="38"/>
      <c r="I212" s="38"/>
      <c r="J212" s="38"/>
      <c r="K212" s="38"/>
      <c r="L212" s="38"/>
      <c r="N212" s="38"/>
      <c r="P212" s="38"/>
      <c r="Q212" s="38"/>
      <c r="R212" s="38"/>
    </row>
    <row r="213" spans="1:18" ht="19.5" customHeight="1" x14ac:dyDescent="0.25">
      <c r="A213" s="38"/>
      <c r="B213" s="38"/>
      <c r="C213" s="470"/>
      <c r="D213" s="470"/>
      <c r="E213" s="38"/>
      <c r="F213" s="38"/>
      <c r="G213" s="38"/>
      <c r="H213" s="38"/>
      <c r="I213" s="38"/>
      <c r="J213" s="38"/>
      <c r="K213" s="38"/>
      <c r="L213" s="38"/>
      <c r="N213" s="38"/>
      <c r="P213" s="38"/>
      <c r="Q213" s="38"/>
      <c r="R213" s="38"/>
    </row>
    <row r="214" spans="1:18" ht="19.5" customHeight="1" x14ac:dyDescent="0.25">
      <c r="A214" s="38"/>
      <c r="B214" s="38"/>
      <c r="C214" s="470"/>
      <c r="D214" s="470"/>
      <c r="E214" s="38"/>
      <c r="F214" s="38"/>
      <c r="G214" s="38"/>
      <c r="H214" s="38"/>
      <c r="I214" s="38"/>
      <c r="J214" s="38"/>
      <c r="K214" s="38"/>
      <c r="L214" s="38"/>
      <c r="N214" s="38"/>
      <c r="P214" s="38"/>
      <c r="Q214" s="38"/>
      <c r="R214" s="38"/>
    </row>
    <row r="215" spans="1:18" ht="19.5" customHeight="1" x14ac:dyDescent="0.25">
      <c r="A215" s="38"/>
      <c r="B215" s="38"/>
      <c r="C215" s="470"/>
      <c r="D215" s="470"/>
      <c r="E215" s="38"/>
      <c r="F215" s="38"/>
      <c r="G215" s="38"/>
      <c r="H215" s="38"/>
      <c r="I215" s="38"/>
      <c r="J215" s="38"/>
      <c r="K215" s="38"/>
      <c r="L215" s="38"/>
      <c r="N215" s="38"/>
      <c r="P215" s="38"/>
      <c r="Q215" s="38"/>
      <c r="R215" s="38"/>
    </row>
    <row r="216" spans="1:18" ht="19.5" customHeight="1" x14ac:dyDescent="0.25">
      <c r="A216" s="38"/>
      <c r="B216" s="38"/>
      <c r="C216" s="470"/>
      <c r="D216" s="470"/>
      <c r="E216" s="38"/>
      <c r="F216" s="38"/>
      <c r="G216" s="38"/>
      <c r="H216" s="38"/>
      <c r="I216" s="38"/>
      <c r="J216" s="38"/>
      <c r="K216" s="38"/>
      <c r="L216" s="38"/>
      <c r="N216" s="38"/>
      <c r="P216" s="38"/>
      <c r="Q216" s="38"/>
      <c r="R216" s="38"/>
    </row>
    <row r="217" spans="1:18" ht="19.5" customHeight="1" x14ac:dyDescent="0.25">
      <c r="A217" s="38"/>
      <c r="B217" s="38"/>
      <c r="C217" s="470"/>
      <c r="D217" s="470"/>
      <c r="E217" s="38"/>
      <c r="F217" s="38"/>
      <c r="G217" s="38"/>
      <c r="H217" s="38"/>
      <c r="I217" s="38"/>
      <c r="J217" s="38"/>
      <c r="K217" s="38"/>
      <c r="L217" s="38"/>
      <c r="N217" s="38"/>
      <c r="P217" s="38"/>
      <c r="Q217" s="38"/>
      <c r="R217" s="38"/>
    </row>
    <row r="218" spans="1:18" ht="19.5" customHeight="1" x14ac:dyDescent="0.25">
      <c r="A218" s="38"/>
      <c r="B218" s="38"/>
      <c r="C218" s="470"/>
      <c r="D218" s="470"/>
      <c r="E218" s="38"/>
      <c r="F218" s="38"/>
      <c r="G218" s="38"/>
      <c r="H218" s="38"/>
      <c r="I218" s="38"/>
      <c r="J218" s="38"/>
      <c r="K218" s="38"/>
      <c r="L218" s="38"/>
      <c r="N218" s="38"/>
      <c r="P218" s="38"/>
      <c r="Q218" s="38"/>
      <c r="R218" s="38"/>
    </row>
    <row r="219" spans="1:18" ht="19.5" customHeight="1" x14ac:dyDescent="0.25">
      <c r="A219" s="38"/>
      <c r="B219" s="38"/>
      <c r="C219" s="470"/>
      <c r="D219" s="470"/>
      <c r="E219" s="38"/>
      <c r="F219" s="38"/>
      <c r="G219" s="38"/>
      <c r="H219" s="38"/>
      <c r="I219" s="38"/>
      <c r="J219" s="38"/>
      <c r="K219" s="38"/>
      <c r="L219" s="38"/>
      <c r="N219" s="38"/>
      <c r="P219" s="38"/>
      <c r="Q219" s="38"/>
      <c r="R219" s="38"/>
    </row>
    <row r="220" spans="1:18" ht="19.5" customHeight="1" x14ac:dyDescent="0.25">
      <c r="A220" s="38"/>
      <c r="B220" s="38"/>
      <c r="C220" s="470"/>
      <c r="D220" s="470"/>
      <c r="E220" s="38"/>
      <c r="F220" s="38"/>
      <c r="G220" s="38"/>
      <c r="H220" s="38"/>
      <c r="I220" s="38"/>
      <c r="J220" s="38"/>
      <c r="K220" s="38"/>
      <c r="L220" s="38"/>
      <c r="N220" s="38"/>
      <c r="P220" s="38"/>
      <c r="Q220" s="38"/>
      <c r="R220" s="38"/>
    </row>
    <row r="221" spans="1:18" ht="19.5" customHeight="1" x14ac:dyDescent="0.25">
      <c r="A221" s="38"/>
      <c r="B221" s="38"/>
      <c r="C221" s="470"/>
      <c r="D221" s="470"/>
      <c r="E221" s="38"/>
      <c r="F221" s="38"/>
      <c r="G221" s="38"/>
      <c r="H221" s="38"/>
      <c r="I221" s="38"/>
      <c r="J221" s="38"/>
      <c r="K221" s="38"/>
      <c r="L221" s="38"/>
      <c r="N221" s="38"/>
      <c r="P221" s="38"/>
      <c r="Q221" s="38"/>
      <c r="R221" s="38"/>
    </row>
    <row r="222" spans="1:18" ht="19.5" customHeight="1" x14ac:dyDescent="0.25">
      <c r="A222" s="38"/>
      <c r="B222" s="38"/>
      <c r="C222" s="470"/>
      <c r="D222" s="470"/>
      <c r="E222" s="38"/>
      <c r="F222" s="38"/>
      <c r="G222" s="38"/>
      <c r="H222" s="38"/>
      <c r="I222" s="38"/>
      <c r="J222" s="38"/>
      <c r="K222" s="38"/>
      <c r="L222" s="38"/>
      <c r="N222" s="38"/>
      <c r="P222" s="38"/>
      <c r="Q222" s="38"/>
      <c r="R222" s="38"/>
    </row>
    <row r="223" spans="1:18" ht="19.5" customHeight="1" x14ac:dyDescent="0.25">
      <c r="A223" s="38"/>
      <c r="B223" s="38"/>
      <c r="C223" s="470"/>
      <c r="D223" s="470"/>
      <c r="E223" s="38"/>
      <c r="F223" s="38"/>
      <c r="G223" s="38"/>
      <c r="H223" s="38"/>
      <c r="I223" s="38"/>
      <c r="J223" s="38"/>
      <c r="K223" s="38"/>
      <c r="L223" s="38"/>
      <c r="N223" s="38"/>
      <c r="P223" s="38"/>
      <c r="Q223" s="38"/>
      <c r="R223" s="38"/>
    </row>
    <row r="224" spans="1:18" ht="19.5" customHeight="1" x14ac:dyDescent="0.25">
      <c r="A224" s="38"/>
      <c r="B224" s="38"/>
      <c r="C224" s="470"/>
      <c r="D224" s="470"/>
      <c r="E224" s="38"/>
      <c r="F224" s="38"/>
      <c r="G224" s="38"/>
      <c r="H224" s="38"/>
      <c r="I224" s="38"/>
      <c r="J224" s="38"/>
      <c r="K224" s="38"/>
      <c r="L224" s="38"/>
      <c r="N224" s="38"/>
      <c r="P224" s="38"/>
      <c r="Q224" s="38"/>
      <c r="R224" s="38"/>
    </row>
    <row r="225" spans="1:18" ht="19.5" customHeight="1" x14ac:dyDescent="0.25">
      <c r="A225" s="38"/>
      <c r="B225" s="38"/>
      <c r="C225" s="470"/>
      <c r="D225" s="470"/>
      <c r="E225" s="38"/>
      <c r="F225" s="38"/>
      <c r="G225" s="38"/>
      <c r="H225" s="38"/>
      <c r="I225" s="38"/>
      <c r="J225" s="38"/>
      <c r="K225" s="38"/>
      <c r="L225" s="38"/>
      <c r="N225" s="38"/>
      <c r="P225" s="38"/>
      <c r="Q225" s="38"/>
      <c r="R225" s="38"/>
    </row>
    <row r="226" spans="1:18" ht="19.5" customHeight="1" x14ac:dyDescent="0.25">
      <c r="A226" s="38"/>
      <c r="B226" s="38"/>
      <c r="C226" s="470"/>
      <c r="D226" s="470"/>
      <c r="E226" s="38"/>
      <c r="F226" s="38"/>
      <c r="G226" s="38"/>
      <c r="H226" s="38"/>
      <c r="I226" s="38"/>
      <c r="J226" s="38"/>
      <c r="K226" s="38"/>
      <c r="L226" s="38"/>
      <c r="N226" s="38"/>
      <c r="P226" s="38"/>
      <c r="Q226" s="38"/>
      <c r="R226" s="38"/>
    </row>
    <row r="227" spans="1:18" ht="19.5" customHeight="1" x14ac:dyDescent="0.25">
      <c r="A227" s="38"/>
      <c r="B227" s="38"/>
      <c r="C227" s="470"/>
      <c r="D227" s="470"/>
      <c r="E227" s="38"/>
      <c r="F227" s="38"/>
      <c r="G227" s="38"/>
      <c r="H227" s="38"/>
      <c r="I227" s="38"/>
      <c r="J227" s="38"/>
      <c r="K227" s="38"/>
      <c r="L227" s="38"/>
      <c r="N227" s="38"/>
      <c r="P227" s="38"/>
      <c r="Q227" s="38"/>
      <c r="R227" s="38"/>
    </row>
    <row r="228" spans="1:18" ht="19.5" customHeight="1" x14ac:dyDescent="0.25">
      <c r="A228" s="38"/>
      <c r="B228" s="38"/>
      <c r="C228" s="470"/>
      <c r="D228" s="470"/>
      <c r="E228" s="38"/>
      <c r="F228" s="38"/>
      <c r="G228" s="38"/>
      <c r="H228" s="38"/>
      <c r="I228" s="38"/>
      <c r="J228" s="38"/>
      <c r="K228" s="38"/>
      <c r="L228" s="38"/>
      <c r="N228" s="38"/>
      <c r="P228" s="38"/>
      <c r="Q228" s="38"/>
      <c r="R228" s="38"/>
    </row>
    <row r="229" spans="1:18" ht="19.5" customHeight="1" x14ac:dyDescent="0.25">
      <c r="A229" s="38"/>
      <c r="B229" s="38"/>
      <c r="C229" s="470"/>
      <c r="D229" s="470"/>
      <c r="E229" s="38"/>
      <c r="F229" s="38"/>
      <c r="G229" s="38"/>
      <c r="H229" s="38"/>
      <c r="I229" s="38"/>
      <c r="J229" s="38"/>
      <c r="K229" s="38"/>
      <c r="L229" s="38"/>
      <c r="N229" s="38"/>
      <c r="P229" s="38"/>
      <c r="Q229" s="38"/>
      <c r="R229" s="38"/>
    </row>
    <row r="230" spans="1:18" ht="19.5" customHeight="1" x14ac:dyDescent="0.25">
      <c r="A230" s="38"/>
      <c r="B230" s="38"/>
      <c r="C230" s="470"/>
      <c r="D230" s="470"/>
      <c r="E230" s="38"/>
      <c r="F230" s="38"/>
      <c r="G230" s="38"/>
      <c r="H230" s="38"/>
      <c r="I230" s="38"/>
      <c r="J230" s="38"/>
      <c r="K230" s="38"/>
      <c r="L230" s="38"/>
      <c r="N230" s="38"/>
      <c r="P230" s="38"/>
      <c r="Q230" s="38"/>
      <c r="R230" s="38"/>
    </row>
    <row r="231" spans="1:18" ht="19.5" customHeight="1" x14ac:dyDescent="0.25">
      <c r="A231" s="38"/>
      <c r="B231" s="38"/>
      <c r="C231" s="470"/>
      <c r="D231" s="470"/>
      <c r="E231" s="38"/>
      <c r="F231" s="38"/>
      <c r="G231" s="38"/>
      <c r="H231" s="38"/>
      <c r="I231" s="38"/>
      <c r="J231" s="38"/>
      <c r="K231" s="38"/>
      <c r="L231" s="38"/>
      <c r="N231" s="38"/>
      <c r="P231" s="38"/>
      <c r="Q231" s="38"/>
      <c r="R231" s="38"/>
    </row>
    <row r="232" spans="1:18" ht="19.5" customHeight="1" x14ac:dyDescent="0.25">
      <c r="A232" s="38"/>
      <c r="B232" s="38"/>
      <c r="C232" s="470"/>
      <c r="D232" s="470"/>
      <c r="E232" s="38"/>
      <c r="F232" s="38"/>
      <c r="G232" s="38"/>
      <c r="H232" s="38"/>
      <c r="I232" s="38"/>
      <c r="J232" s="38"/>
      <c r="K232" s="38"/>
      <c r="L232" s="38"/>
      <c r="N232" s="38"/>
      <c r="P232" s="38"/>
      <c r="Q232" s="38"/>
      <c r="R232" s="38"/>
    </row>
    <row r="233" spans="1:18" ht="19.5" customHeight="1" x14ac:dyDescent="0.25">
      <c r="A233" s="38"/>
      <c r="B233" s="38"/>
      <c r="C233" s="470"/>
      <c r="D233" s="470"/>
      <c r="E233" s="38"/>
      <c r="F233" s="38"/>
      <c r="G233" s="38"/>
      <c r="H233" s="38"/>
      <c r="I233" s="38"/>
      <c r="J233" s="38"/>
      <c r="K233" s="38"/>
      <c r="L233" s="38"/>
      <c r="N233" s="38"/>
      <c r="P233" s="38"/>
      <c r="Q233" s="38"/>
      <c r="R233" s="38"/>
    </row>
    <row r="234" spans="1:18" ht="19.5" customHeight="1" x14ac:dyDescent="0.25">
      <c r="A234" s="38"/>
      <c r="B234" s="38"/>
      <c r="C234" s="470"/>
      <c r="D234" s="470"/>
      <c r="E234" s="38"/>
      <c r="F234" s="38"/>
      <c r="G234" s="38"/>
      <c r="H234" s="38"/>
      <c r="I234" s="38"/>
      <c r="J234" s="38"/>
      <c r="K234" s="38"/>
      <c r="L234" s="38"/>
      <c r="N234" s="38"/>
      <c r="P234" s="38"/>
      <c r="Q234" s="38"/>
      <c r="R234" s="38"/>
    </row>
    <row r="235" spans="1:18" ht="19.5" customHeight="1" x14ac:dyDescent="0.25">
      <c r="A235" s="38"/>
      <c r="B235" s="38"/>
      <c r="C235" s="470"/>
      <c r="D235" s="470"/>
      <c r="E235" s="38"/>
      <c r="F235" s="38"/>
      <c r="G235" s="38"/>
      <c r="H235" s="38"/>
      <c r="I235" s="38"/>
      <c r="J235" s="38"/>
      <c r="K235" s="38"/>
      <c r="L235" s="38"/>
      <c r="N235" s="38"/>
      <c r="P235" s="38"/>
      <c r="Q235" s="38"/>
      <c r="R235" s="38"/>
    </row>
    <row r="236" spans="1:18" ht="19.5" customHeight="1" x14ac:dyDescent="0.25">
      <c r="A236" s="38"/>
      <c r="B236" s="38"/>
      <c r="C236" s="470"/>
      <c r="D236" s="470"/>
      <c r="E236" s="38"/>
      <c r="F236" s="38"/>
      <c r="G236" s="38"/>
      <c r="H236" s="38"/>
      <c r="I236" s="38"/>
      <c r="J236" s="38"/>
      <c r="K236" s="38"/>
      <c r="L236" s="38"/>
      <c r="N236" s="38"/>
      <c r="P236" s="38"/>
      <c r="Q236" s="38"/>
      <c r="R236" s="38"/>
    </row>
    <row r="237" spans="1:18" ht="19.5" customHeight="1" x14ac:dyDescent="0.25">
      <c r="A237" s="38"/>
      <c r="B237" s="38"/>
      <c r="C237" s="470"/>
      <c r="D237" s="470"/>
      <c r="E237" s="38"/>
      <c r="F237" s="38"/>
      <c r="G237" s="38"/>
      <c r="H237" s="38"/>
      <c r="I237" s="38"/>
      <c r="J237" s="38"/>
      <c r="K237" s="38"/>
      <c r="L237" s="38"/>
      <c r="N237" s="38"/>
      <c r="P237" s="38"/>
      <c r="Q237" s="38"/>
      <c r="R237" s="38"/>
    </row>
    <row r="238" spans="1:18" ht="19.5" customHeight="1" x14ac:dyDescent="0.25">
      <c r="A238" s="38"/>
      <c r="B238" s="38"/>
      <c r="C238" s="470"/>
      <c r="D238" s="470"/>
      <c r="E238" s="38"/>
      <c r="F238" s="38"/>
      <c r="G238" s="38"/>
      <c r="H238" s="38"/>
      <c r="I238" s="38"/>
      <c r="J238" s="38"/>
      <c r="K238" s="38"/>
      <c r="L238" s="38"/>
      <c r="N238" s="38"/>
      <c r="P238" s="38"/>
      <c r="Q238" s="38"/>
      <c r="R238" s="38"/>
    </row>
    <row r="239" spans="1:18" ht="19.5" customHeight="1" x14ac:dyDescent="0.25">
      <c r="A239" s="38"/>
      <c r="B239" s="38"/>
      <c r="C239" s="470"/>
      <c r="D239" s="470"/>
      <c r="E239" s="38"/>
      <c r="F239" s="38"/>
      <c r="G239" s="38"/>
      <c r="H239" s="38"/>
      <c r="I239" s="38"/>
      <c r="J239" s="38"/>
      <c r="K239" s="38"/>
      <c r="L239" s="38"/>
      <c r="N239" s="38"/>
      <c r="P239" s="38"/>
      <c r="Q239" s="38"/>
      <c r="R239" s="38"/>
    </row>
    <row r="240" spans="1:18" ht="19.5" customHeight="1" x14ac:dyDescent="0.25">
      <c r="A240" s="38"/>
      <c r="B240" s="38"/>
      <c r="C240" s="470"/>
      <c r="D240" s="470"/>
      <c r="E240" s="38"/>
      <c r="F240" s="38"/>
      <c r="G240" s="38"/>
      <c r="H240" s="38"/>
      <c r="I240" s="38"/>
      <c r="J240" s="38"/>
      <c r="K240" s="38"/>
      <c r="L240" s="38"/>
      <c r="N240" s="38"/>
      <c r="P240" s="38"/>
      <c r="Q240" s="38"/>
      <c r="R240" s="38"/>
    </row>
    <row r="241" spans="1:18" ht="19.5" customHeight="1" x14ac:dyDescent="0.25">
      <c r="A241" s="38"/>
      <c r="B241" s="38"/>
      <c r="C241" s="470"/>
      <c r="D241" s="470"/>
      <c r="E241" s="38"/>
      <c r="F241" s="38"/>
      <c r="G241" s="38"/>
      <c r="H241" s="38"/>
      <c r="I241" s="38"/>
      <c r="J241" s="38"/>
      <c r="K241" s="38"/>
      <c r="L241" s="38"/>
      <c r="N241" s="38"/>
      <c r="P241" s="38"/>
      <c r="Q241" s="38"/>
      <c r="R241" s="38"/>
    </row>
    <row r="242" spans="1:18" ht="19.5" customHeight="1" x14ac:dyDescent="0.25">
      <c r="A242" s="38"/>
      <c r="B242" s="38"/>
      <c r="C242" s="470"/>
      <c r="D242" s="470"/>
      <c r="E242" s="38"/>
      <c r="F242" s="38"/>
      <c r="G242" s="38"/>
      <c r="H242" s="38"/>
      <c r="I242" s="38"/>
      <c r="J242" s="38"/>
      <c r="K242" s="38"/>
      <c r="L242" s="38"/>
      <c r="N242" s="38"/>
      <c r="P242" s="38"/>
      <c r="Q242" s="38"/>
      <c r="R242" s="38"/>
    </row>
    <row r="243" spans="1:18" ht="19.5" customHeight="1" x14ac:dyDescent="0.25">
      <c r="A243" s="38"/>
      <c r="B243" s="38"/>
      <c r="C243" s="470"/>
      <c r="D243" s="470"/>
      <c r="E243" s="38"/>
      <c r="F243" s="38"/>
      <c r="G243" s="38"/>
      <c r="H243" s="38"/>
      <c r="I243" s="38"/>
      <c r="J243" s="38"/>
      <c r="K243" s="38"/>
      <c r="L243" s="38"/>
      <c r="N243" s="38"/>
      <c r="P243" s="38"/>
      <c r="Q243" s="38"/>
      <c r="R243" s="38"/>
    </row>
    <row r="244" spans="1:18" ht="19.5" customHeight="1" x14ac:dyDescent="0.25">
      <c r="A244" s="38"/>
      <c r="B244" s="38"/>
      <c r="C244" s="470"/>
      <c r="D244" s="470"/>
      <c r="E244" s="38"/>
      <c r="F244" s="38"/>
      <c r="G244" s="38"/>
      <c r="H244" s="38"/>
      <c r="I244" s="38"/>
      <c r="J244" s="38"/>
      <c r="K244" s="38"/>
      <c r="L244" s="38"/>
      <c r="N244" s="38"/>
      <c r="P244" s="38"/>
      <c r="Q244" s="38"/>
      <c r="R244" s="38"/>
    </row>
    <row r="245" spans="1:18" ht="19.5" customHeight="1" x14ac:dyDescent="0.25">
      <c r="A245" s="38"/>
      <c r="B245" s="38"/>
      <c r="C245" s="470"/>
      <c r="D245" s="470"/>
      <c r="E245" s="38"/>
      <c r="F245" s="38"/>
      <c r="G245" s="38"/>
      <c r="H245" s="38"/>
      <c r="I245" s="38"/>
      <c r="J245" s="38"/>
      <c r="K245" s="38"/>
      <c r="L245" s="38"/>
      <c r="N245" s="38"/>
      <c r="P245" s="38"/>
      <c r="Q245" s="38"/>
      <c r="R245" s="38"/>
    </row>
    <row r="246" spans="1:18" ht="19.5" customHeight="1" x14ac:dyDescent="0.25">
      <c r="A246" s="38"/>
      <c r="B246" s="38"/>
      <c r="C246" s="470"/>
      <c r="D246" s="470"/>
      <c r="E246" s="38"/>
      <c r="F246" s="38"/>
      <c r="G246" s="38"/>
      <c r="H246" s="38"/>
      <c r="I246" s="38"/>
      <c r="J246" s="38"/>
      <c r="K246" s="38"/>
      <c r="L246" s="38"/>
      <c r="N246" s="38"/>
      <c r="P246" s="38"/>
      <c r="Q246" s="38"/>
      <c r="R246" s="38"/>
    </row>
    <row r="247" spans="1:18" ht="19.5" customHeight="1" x14ac:dyDescent="0.25">
      <c r="A247" s="38"/>
      <c r="B247" s="38"/>
      <c r="C247" s="470"/>
      <c r="D247" s="470"/>
      <c r="E247" s="38"/>
      <c r="F247" s="38"/>
      <c r="G247" s="38"/>
      <c r="H247" s="38"/>
      <c r="I247" s="38"/>
      <c r="J247" s="38"/>
      <c r="K247" s="38"/>
      <c r="L247" s="38"/>
      <c r="N247" s="38"/>
      <c r="P247" s="38"/>
      <c r="Q247" s="38"/>
      <c r="R247" s="38"/>
    </row>
    <row r="248" spans="1:18" ht="19.5" customHeight="1" x14ac:dyDescent="0.25">
      <c r="A248" s="38"/>
      <c r="B248" s="38"/>
      <c r="C248" s="470"/>
      <c r="D248" s="470"/>
      <c r="E248" s="38"/>
      <c r="F248" s="38"/>
      <c r="G248" s="38"/>
      <c r="H248" s="38"/>
      <c r="I248" s="38"/>
      <c r="J248" s="38"/>
      <c r="K248" s="38"/>
      <c r="L248" s="38"/>
      <c r="N248" s="38"/>
      <c r="P248" s="38"/>
      <c r="Q248" s="38"/>
      <c r="R248" s="38"/>
    </row>
    <row r="249" spans="1:18" ht="19.5" customHeight="1" x14ac:dyDescent="0.25">
      <c r="A249" s="38"/>
      <c r="B249" s="38"/>
      <c r="C249" s="470"/>
      <c r="D249" s="470"/>
      <c r="E249" s="38"/>
      <c r="F249" s="38"/>
      <c r="G249" s="38"/>
      <c r="H249" s="38"/>
      <c r="I249" s="38"/>
      <c r="J249" s="38"/>
      <c r="K249" s="38"/>
      <c r="L249" s="38"/>
      <c r="N249" s="38"/>
      <c r="P249" s="38"/>
      <c r="Q249" s="38"/>
      <c r="R249" s="38"/>
    </row>
    <row r="250" spans="1:18" ht="19.5" customHeight="1" x14ac:dyDescent="0.25">
      <c r="A250" s="38"/>
      <c r="B250" s="38"/>
      <c r="C250" s="470"/>
      <c r="D250" s="470"/>
      <c r="E250" s="38"/>
      <c r="F250" s="38"/>
      <c r="G250" s="38"/>
      <c r="H250" s="38"/>
      <c r="I250" s="38"/>
      <c r="J250" s="38"/>
      <c r="K250" s="38"/>
      <c r="L250" s="38"/>
      <c r="N250" s="38"/>
      <c r="P250" s="38"/>
      <c r="Q250" s="38"/>
      <c r="R250" s="38"/>
    </row>
    <row r="251" spans="1:18" ht="19.5" customHeight="1" x14ac:dyDescent="0.25">
      <c r="A251" s="38"/>
      <c r="B251" s="38"/>
      <c r="C251" s="470"/>
      <c r="D251" s="470"/>
      <c r="E251" s="38"/>
      <c r="F251" s="38"/>
      <c r="G251" s="38"/>
      <c r="H251" s="38"/>
      <c r="I251" s="38"/>
      <c r="J251" s="38"/>
      <c r="K251" s="38"/>
      <c r="L251" s="38"/>
      <c r="N251" s="38"/>
      <c r="P251" s="38"/>
      <c r="Q251" s="38"/>
      <c r="R251" s="38"/>
    </row>
    <row r="252" spans="1:18" ht="19.5" customHeight="1" x14ac:dyDescent="0.25">
      <c r="A252" s="38"/>
      <c r="B252" s="38"/>
      <c r="C252" s="470"/>
      <c r="D252" s="470"/>
      <c r="E252" s="38"/>
      <c r="F252" s="38"/>
      <c r="G252" s="38"/>
      <c r="H252" s="38"/>
      <c r="I252" s="38"/>
      <c r="J252" s="38"/>
      <c r="K252" s="38"/>
      <c r="L252" s="38"/>
      <c r="N252" s="38"/>
      <c r="P252" s="38"/>
      <c r="Q252" s="38"/>
      <c r="R252" s="38"/>
    </row>
    <row r="253" spans="1:18" ht="19.5" customHeight="1" x14ac:dyDescent="0.25">
      <c r="A253" s="38"/>
      <c r="B253" s="38"/>
      <c r="C253" s="470"/>
      <c r="D253" s="470"/>
      <c r="E253" s="38"/>
      <c r="F253" s="38"/>
      <c r="G253" s="38"/>
      <c r="H253" s="38"/>
      <c r="I253" s="38"/>
      <c r="J253" s="38"/>
      <c r="K253" s="38"/>
      <c r="L253" s="38"/>
      <c r="N253" s="38"/>
      <c r="P253" s="38"/>
      <c r="Q253" s="38"/>
      <c r="R253" s="38"/>
    </row>
    <row r="254" spans="1:18" ht="19.5" customHeight="1" x14ac:dyDescent="0.25">
      <c r="A254" s="38"/>
      <c r="B254" s="38"/>
      <c r="C254" s="470"/>
      <c r="D254" s="470"/>
      <c r="E254" s="38"/>
      <c r="F254" s="38"/>
      <c r="G254" s="38"/>
      <c r="H254" s="38"/>
      <c r="I254" s="38"/>
      <c r="J254" s="38"/>
      <c r="K254" s="38"/>
      <c r="L254" s="38"/>
      <c r="N254" s="38"/>
      <c r="P254" s="38"/>
      <c r="Q254" s="38"/>
      <c r="R254" s="38"/>
    </row>
    <row r="255" spans="1:18" ht="19.5" customHeight="1" x14ac:dyDescent="0.25">
      <c r="A255" s="38"/>
      <c r="B255" s="38"/>
      <c r="C255" s="470"/>
      <c r="D255" s="470"/>
      <c r="E255" s="38"/>
      <c r="F255" s="38"/>
      <c r="G255" s="38"/>
      <c r="H255" s="38"/>
      <c r="I255" s="38"/>
      <c r="J255" s="38"/>
      <c r="K255" s="38"/>
      <c r="L255" s="38"/>
      <c r="N255" s="38"/>
      <c r="P255" s="38"/>
      <c r="Q255" s="38"/>
      <c r="R255" s="38"/>
    </row>
    <row r="256" spans="1:18" ht="19.5" customHeight="1" x14ac:dyDescent="0.25">
      <c r="A256" s="38"/>
      <c r="B256" s="38"/>
      <c r="C256" s="470"/>
      <c r="D256" s="470"/>
      <c r="E256" s="38"/>
      <c r="F256" s="38"/>
      <c r="G256" s="38"/>
      <c r="H256" s="38"/>
      <c r="I256" s="38"/>
      <c r="J256" s="38"/>
      <c r="K256" s="38"/>
      <c r="L256" s="38"/>
      <c r="N256" s="38"/>
      <c r="P256" s="38"/>
      <c r="Q256" s="38"/>
      <c r="R256" s="38"/>
    </row>
    <row r="257" spans="1:18" ht="19.5" customHeight="1" x14ac:dyDescent="0.25">
      <c r="A257" s="38"/>
      <c r="B257" s="38"/>
      <c r="C257" s="470"/>
      <c r="D257" s="470"/>
      <c r="E257" s="38"/>
      <c r="F257" s="38"/>
      <c r="G257" s="38"/>
      <c r="H257" s="38"/>
      <c r="I257" s="38"/>
      <c r="J257" s="38"/>
      <c r="K257" s="38"/>
      <c r="L257" s="38"/>
      <c r="N257" s="38"/>
      <c r="P257" s="38"/>
      <c r="Q257" s="38"/>
      <c r="R257" s="38"/>
    </row>
    <row r="258" spans="1:18" ht="19.5" customHeight="1" x14ac:dyDescent="0.25">
      <c r="A258" s="38"/>
      <c r="B258" s="38"/>
      <c r="C258" s="470"/>
      <c r="D258" s="470"/>
      <c r="E258" s="38"/>
      <c r="F258" s="38"/>
      <c r="G258" s="38"/>
      <c r="H258" s="38"/>
      <c r="I258" s="38"/>
      <c r="J258" s="38"/>
      <c r="K258" s="38"/>
      <c r="L258" s="38"/>
      <c r="N258" s="38"/>
      <c r="P258" s="38"/>
      <c r="Q258" s="38"/>
      <c r="R258" s="38"/>
    </row>
    <row r="259" spans="1:18" ht="19.5" customHeight="1" x14ac:dyDescent="0.25">
      <c r="A259" s="38"/>
      <c r="B259" s="38"/>
      <c r="C259" s="470"/>
      <c r="D259" s="470"/>
      <c r="E259" s="38"/>
      <c r="F259" s="38"/>
      <c r="G259" s="38"/>
      <c r="H259" s="38"/>
      <c r="I259" s="38"/>
      <c r="J259" s="38"/>
      <c r="K259" s="38"/>
      <c r="L259" s="38"/>
      <c r="N259" s="38"/>
      <c r="P259" s="38"/>
      <c r="Q259" s="38"/>
      <c r="R259" s="38"/>
    </row>
    <row r="260" spans="1:18" ht="19.5" customHeight="1" x14ac:dyDescent="0.25">
      <c r="A260" s="38"/>
      <c r="B260" s="38"/>
      <c r="C260" s="470"/>
      <c r="D260" s="470"/>
      <c r="E260" s="38"/>
      <c r="F260" s="38"/>
      <c r="G260" s="38"/>
      <c r="H260" s="38"/>
      <c r="I260" s="38"/>
      <c r="J260" s="38"/>
      <c r="K260" s="38"/>
      <c r="L260" s="38"/>
      <c r="N260" s="38"/>
      <c r="P260" s="38"/>
      <c r="Q260" s="38"/>
      <c r="R260" s="38"/>
    </row>
    <row r="261" spans="1:18" ht="19.5" customHeight="1" x14ac:dyDescent="0.25">
      <c r="A261" s="38"/>
      <c r="B261" s="38"/>
      <c r="C261" s="470"/>
      <c r="D261" s="470"/>
      <c r="E261" s="38"/>
      <c r="F261" s="38"/>
      <c r="G261" s="38"/>
      <c r="H261" s="38"/>
      <c r="I261" s="38"/>
      <c r="J261" s="38"/>
      <c r="K261" s="38"/>
      <c r="L261" s="38"/>
      <c r="N261" s="38"/>
      <c r="P261" s="38"/>
      <c r="Q261" s="38"/>
      <c r="R261" s="38"/>
    </row>
    <row r="262" spans="1:18" ht="19.5" customHeight="1" x14ac:dyDescent="0.25">
      <c r="A262" s="38"/>
      <c r="B262" s="38"/>
      <c r="C262" s="470"/>
      <c r="D262" s="470"/>
      <c r="E262" s="38"/>
      <c r="F262" s="38"/>
      <c r="G262" s="38"/>
      <c r="H262" s="38"/>
      <c r="I262" s="38"/>
      <c r="J262" s="38"/>
      <c r="K262" s="38"/>
      <c r="L262" s="38"/>
      <c r="N262" s="38"/>
      <c r="P262" s="38"/>
      <c r="Q262" s="38"/>
      <c r="R262" s="38"/>
    </row>
    <row r="263" spans="1:18" ht="19.5" customHeight="1" x14ac:dyDescent="0.25">
      <c r="A263" s="38"/>
      <c r="B263" s="38"/>
      <c r="C263" s="470"/>
      <c r="D263" s="470"/>
      <c r="E263" s="38"/>
      <c r="F263" s="38"/>
      <c r="G263" s="38"/>
      <c r="H263" s="38"/>
      <c r="I263" s="38"/>
      <c r="J263" s="38"/>
      <c r="K263" s="38"/>
      <c r="L263" s="38"/>
      <c r="N263" s="38"/>
      <c r="P263" s="38"/>
      <c r="Q263" s="38"/>
      <c r="R263" s="38"/>
    </row>
    <row r="264" spans="1:18" ht="19.5" customHeight="1" x14ac:dyDescent="0.25">
      <c r="A264" s="38"/>
      <c r="B264" s="38"/>
      <c r="C264" s="470"/>
      <c r="D264" s="470"/>
      <c r="E264" s="38"/>
      <c r="F264" s="38"/>
      <c r="G264" s="38"/>
      <c r="H264" s="38"/>
      <c r="I264" s="38"/>
      <c r="J264" s="38"/>
      <c r="K264" s="38"/>
      <c r="L264" s="38"/>
      <c r="N264" s="38"/>
      <c r="P264" s="38"/>
      <c r="Q264" s="38"/>
      <c r="R264" s="38"/>
    </row>
    <row r="265" spans="1:18" ht="19.5" customHeight="1" x14ac:dyDescent="0.25">
      <c r="A265" s="38"/>
      <c r="B265" s="38"/>
      <c r="C265" s="470"/>
      <c r="D265" s="470"/>
      <c r="E265" s="38"/>
      <c r="F265" s="38"/>
      <c r="G265" s="38"/>
      <c r="H265" s="38"/>
      <c r="I265" s="38"/>
      <c r="J265" s="38"/>
      <c r="K265" s="38"/>
      <c r="L265" s="38"/>
      <c r="N265" s="38"/>
      <c r="P265" s="38"/>
      <c r="Q265" s="38"/>
      <c r="R265" s="38"/>
    </row>
    <row r="266" spans="1:18" ht="19.5" customHeight="1" x14ac:dyDescent="0.25">
      <c r="A266" s="38"/>
      <c r="B266" s="38"/>
      <c r="C266" s="470"/>
      <c r="D266" s="470"/>
      <c r="E266" s="38"/>
      <c r="F266" s="38"/>
      <c r="G266" s="38"/>
      <c r="H266" s="38"/>
      <c r="I266" s="38"/>
      <c r="J266" s="38"/>
      <c r="K266" s="38"/>
      <c r="L266" s="38"/>
      <c r="N266" s="38"/>
      <c r="P266" s="38"/>
      <c r="Q266" s="38"/>
      <c r="R266" s="38"/>
    </row>
    <row r="267" spans="1:18" ht="19.5" customHeight="1" x14ac:dyDescent="0.25">
      <c r="A267" s="38"/>
      <c r="B267" s="38"/>
      <c r="C267" s="470"/>
      <c r="D267" s="470"/>
      <c r="E267" s="38"/>
      <c r="F267" s="38"/>
      <c r="G267" s="38"/>
      <c r="H267" s="38"/>
      <c r="I267" s="38"/>
      <c r="J267" s="38"/>
      <c r="K267" s="38"/>
      <c r="L267" s="38"/>
      <c r="N267" s="38"/>
      <c r="P267" s="38"/>
      <c r="Q267" s="38"/>
      <c r="R267" s="38"/>
    </row>
    <row r="268" spans="1:18" ht="19.5" customHeight="1" x14ac:dyDescent="0.25">
      <c r="A268" s="38"/>
      <c r="B268" s="38"/>
      <c r="C268" s="470"/>
      <c r="D268" s="470"/>
      <c r="E268" s="38"/>
      <c r="F268" s="38"/>
      <c r="G268" s="38"/>
      <c r="H268" s="38"/>
      <c r="I268" s="38"/>
      <c r="J268" s="38"/>
      <c r="K268" s="38"/>
      <c r="L268" s="38"/>
      <c r="N268" s="38"/>
      <c r="P268" s="38"/>
      <c r="Q268" s="38"/>
      <c r="R268" s="38"/>
    </row>
    <row r="269" spans="1:18" ht="19.5" customHeight="1" x14ac:dyDescent="0.25">
      <c r="A269" s="38"/>
      <c r="B269" s="38"/>
      <c r="C269" s="470"/>
      <c r="D269" s="470"/>
      <c r="E269" s="38"/>
      <c r="F269" s="38"/>
      <c r="G269" s="38"/>
      <c r="H269" s="38"/>
      <c r="I269" s="38"/>
      <c r="J269" s="38"/>
      <c r="K269" s="38"/>
      <c r="L269" s="38"/>
      <c r="N269" s="38"/>
      <c r="P269" s="38"/>
      <c r="Q269" s="38"/>
      <c r="R269" s="38"/>
    </row>
    <row r="270" spans="1:18" ht="19.5" customHeight="1" x14ac:dyDescent="0.25">
      <c r="A270" s="38"/>
      <c r="B270" s="38"/>
      <c r="C270" s="470"/>
      <c r="D270" s="470"/>
      <c r="E270" s="38"/>
      <c r="F270" s="38"/>
      <c r="G270" s="38"/>
      <c r="H270" s="38"/>
      <c r="I270" s="38"/>
      <c r="J270" s="38"/>
      <c r="K270" s="38"/>
      <c r="L270" s="38"/>
      <c r="N270" s="38"/>
      <c r="P270" s="38"/>
      <c r="Q270" s="38"/>
      <c r="R270" s="38"/>
    </row>
    <row r="271" spans="1:18" ht="19.5" customHeight="1" x14ac:dyDescent="0.25">
      <c r="A271" s="38"/>
      <c r="B271" s="38"/>
      <c r="C271" s="470"/>
      <c r="D271" s="470"/>
      <c r="E271" s="38"/>
      <c r="F271" s="38"/>
      <c r="G271" s="38"/>
      <c r="H271" s="38"/>
      <c r="I271" s="38"/>
      <c r="J271" s="38"/>
      <c r="K271" s="38"/>
      <c r="L271" s="38"/>
      <c r="N271" s="38"/>
      <c r="P271" s="38"/>
      <c r="Q271" s="38"/>
      <c r="R271" s="38"/>
    </row>
    <row r="272" spans="1:18" ht="19.5" customHeight="1" x14ac:dyDescent="0.25">
      <c r="A272" s="38"/>
      <c r="B272" s="38"/>
      <c r="C272" s="470"/>
      <c r="D272" s="470"/>
      <c r="E272" s="38"/>
      <c r="F272" s="38"/>
      <c r="G272" s="38"/>
      <c r="H272" s="38"/>
      <c r="I272" s="38"/>
      <c r="J272" s="38"/>
      <c r="K272" s="38"/>
      <c r="L272" s="38"/>
      <c r="N272" s="38"/>
      <c r="P272" s="38"/>
      <c r="Q272" s="38"/>
      <c r="R272" s="38"/>
    </row>
    <row r="273" spans="1:18" ht="19.5" customHeight="1" x14ac:dyDescent="0.25">
      <c r="A273" s="38"/>
      <c r="B273" s="38"/>
      <c r="C273" s="470"/>
      <c r="D273" s="470"/>
      <c r="E273" s="38"/>
      <c r="F273" s="38"/>
      <c r="G273" s="38"/>
      <c r="H273" s="38"/>
      <c r="I273" s="38"/>
      <c r="J273" s="38"/>
      <c r="K273" s="38"/>
      <c r="L273" s="38"/>
      <c r="N273" s="38"/>
      <c r="P273" s="38"/>
      <c r="Q273" s="38"/>
      <c r="R273" s="38"/>
    </row>
    <row r="274" spans="1:18" ht="19.5" customHeight="1" x14ac:dyDescent="0.25">
      <c r="A274" s="38"/>
      <c r="B274" s="38"/>
      <c r="C274" s="470"/>
      <c r="D274" s="470"/>
      <c r="E274" s="38"/>
      <c r="F274" s="38"/>
      <c r="G274" s="38"/>
      <c r="H274" s="38"/>
      <c r="I274" s="38"/>
      <c r="J274" s="38"/>
      <c r="K274" s="38"/>
      <c r="L274" s="38"/>
      <c r="N274" s="38"/>
      <c r="P274" s="38"/>
      <c r="Q274" s="38"/>
      <c r="R274" s="38"/>
    </row>
    <row r="275" spans="1:18" ht="19.5" customHeight="1" x14ac:dyDescent="0.25">
      <c r="A275" s="38"/>
      <c r="B275" s="38"/>
      <c r="C275" s="470"/>
      <c r="D275" s="470"/>
      <c r="E275" s="38"/>
      <c r="F275" s="38"/>
      <c r="G275" s="38"/>
      <c r="H275" s="38"/>
      <c r="I275" s="38"/>
      <c r="J275" s="38"/>
      <c r="K275" s="38"/>
      <c r="L275" s="38"/>
      <c r="N275" s="38"/>
      <c r="P275" s="38"/>
      <c r="Q275" s="38"/>
      <c r="R275" s="38"/>
    </row>
    <row r="276" spans="1:18" ht="19.5" customHeight="1" x14ac:dyDescent="0.25">
      <c r="A276" s="38"/>
      <c r="B276" s="38"/>
      <c r="C276" s="470"/>
      <c r="D276" s="470"/>
      <c r="E276" s="38"/>
      <c r="F276" s="38"/>
      <c r="G276" s="38"/>
      <c r="H276" s="38"/>
      <c r="I276" s="38"/>
      <c r="J276" s="38"/>
      <c r="K276" s="38"/>
      <c r="L276" s="38"/>
      <c r="N276" s="38"/>
      <c r="P276" s="38"/>
      <c r="Q276" s="38"/>
      <c r="R276" s="38"/>
    </row>
    <row r="277" spans="1:18" ht="19.5" customHeight="1" x14ac:dyDescent="0.25">
      <c r="A277" s="38"/>
      <c r="B277" s="38"/>
      <c r="C277" s="470"/>
      <c r="D277" s="470"/>
      <c r="E277" s="38"/>
      <c r="F277" s="38"/>
      <c r="G277" s="38"/>
      <c r="H277" s="38"/>
      <c r="I277" s="38"/>
      <c r="J277" s="38"/>
      <c r="K277" s="38"/>
      <c r="L277" s="38"/>
      <c r="N277" s="38"/>
      <c r="P277" s="38"/>
      <c r="Q277" s="38"/>
      <c r="R277" s="38"/>
    </row>
    <row r="278" spans="1:18" ht="19.5" customHeight="1" x14ac:dyDescent="0.25">
      <c r="A278" s="38"/>
      <c r="B278" s="38"/>
      <c r="C278" s="470"/>
      <c r="D278" s="470"/>
      <c r="E278" s="38"/>
      <c r="F278" s="38"/>
      <c r="G278" s="38"/>
      <c r="H278" s="38"/>
      <c r="I278" s="38"/>
      <c r="J278" s="38"/>
      <c r="K278" s="38"/>
      <c r="L278" s="38"/>
      <c r="N278" s="38"/>
      <c r="P278" s="38"/>
      <c r="Q278" s="38"/>
      <c r="R278" s="38"/>
    </row>
    <row r="279" spans="1:18" ht="19.5" customHeight="1" x14ac:dyDescent="0.25">
      <c r="A279" s="38"/>
      <c r="B279" s="38"/>
      <c r="C279" s="470"/>
      <c r="D279" s="470"/>
      <c r="E279" s="38"/>
      <c r="F279" s="38"/>
      <c r="G279" s="38"/>
      <c r="H279" s="38"/>
      <c r="I279" s="38"/>
      <c r="J279" s="38"/>
      <c r="K279" s="38"/>
      <c r="L279" s="38"/>
      <c r="N279" s="38"/>
      <c r="P279" s="38"/>
      <c r="Q279" s="38"/>
      <c r="R279" s="38"/>
    </row>
    <row r="280" spans="1:18" ht="19.5" customHeight="1" x14ac:dyDescent="0.25">
      <c r="A280" s="38"/>
      <c r="B280" s="38"/>
      <c r="C280" s="470"/>
      <c r="D280" s="470"/>
      <c r="E280" s="38"/>
      <c r="F280" s="38"/>
      <c r="G280" s="38"/>
      <c r="H280" s="38"/>
      <c r="I280" s="38"/>
      <c r="J280" s="38"/>
      <c r="K280" s="38"/>
      <c r="L280" s="38"/>
      <c r="N280" s="38"/>
      <c r="P280" s="38"/>
      <c r="Q280" s="38"/>
      <c r="R280" s="38"/>
    </row>
    <row r="281" spans="1:18" ht="19.5" customHeight="1" x14ac:dyDescent="0.25">
      <c r="A281" s="38"/>
      <c r="B281" s="38"/>
      <c r="C281" s="470"/>
      <c r="D281" s="470"/>
      <c r="E281" s="38"/>
      <c r="F281" s="38"/>
      <c r="G281" s="38"/>
      <c r="H281" s="38"/>
      <c r="I281" s="38"/>
      <c r="J281" s="38"/>
      <c r="K281" s="38"/>
      <c r="L281" s="38"/>
      <c r="N281" s="38"/>
      <c r="P281" s="38"/>
      <c r="Q281" s="38"/>
      <c r="R281" s="38"/>
    </row>
    <row r="282" spans="1:18" ht="19.5" customHeight="1" x14ac:dyDescent="0.25">
      <c r="A282" s="38"/>
      <c r="B282" s="38"/>
      <c r="C282" s="470"/>
      <c r="D282" s="470"/>
      <c r="E282" s="38"/>
      <c r="F282" s="38"/>
      <c r="G282" s="38"/>
      <c r="H282" s="38"/>
      <c r="I282" s="38"/>
      <c r="J282" s="38"/>
      <c r="K282" s="38"/>
      <c r="L282" s="38"/>
      <c r="N282" s="38"/>
      <c r="P282" s="38"/>
      <c r="Q282" s="38"/>
      <c r="R282" s="38"/>
    </row>
    <row r="283" spans="1:18" ht="19.5" customHeight="1" x14ac:dyDescent="0.25">
      <c r="A283" s="38"/>
      <c r="B283" s="38"/>
      <c r="C283" s="470"/>
      <c r="D283" s="470"/>
      <c r="E283" s="38"/>
      <c r="F283" s="38"/>
      <c r="G283" s="38"/>
      <c r="H283" s="38"/>
      <c r="I283" s="38"/>
      <c r="J283" s="38"/>
      <c r="K283" s="38"/>
      <c r="L283" s="38"/>
      <c r="N283" s="38"/>
      <c r="P283" s="38"/>
      <c r="Q283" s="38"/>
      <c r="R283" s="38"/>
    </row>
    <row r="284" spans="1:18" ht="19.5" customHeight="1" x14ac:dyDescent="0.25">
      <c r="A284" s="38"/>
      <c r="B284" s="38"/>
      <c r="C284" s="470"/>
      <c r="D284" s="470"/>
      <c r="E284" s="38"/>
      <c r="F284" s="38"/>
      <c r="G284" s="38"/>
      <c r="H284" s="38"/>
      <c r="I284" s="38"/>
      <c r="J284" s="38"/>
      <c r="K284" s="38"/>
      <c r="L284" s="38"/>
      <c r="N284" s="38"/>
      <c r="P284" s="38"/>
      <c r="Q284" s="38"/>
      <c r="R284" s="38"/>
    </row>
    <row r="285" spans="1:18" ht="19.5" customHeight="1" x14ac:dyDescent="0.25">
      <c r="A285" s="38"/>
      <c r="B285" s="38"/>
      <c r="C285" s="470"/>
      <c r="D285" s="470"/>
      <c r="E285" s="38"/>
      <c r="F285" s="38"/>
      <c r="G285" s="38"/>
      <c r="H285" s="38"/>
      <c r="I285" s="38"/>
      <c r="J285" s="38"/>
      <c r="K285" s="38"/>
      <c r="L285" s="38"/>
      <c r="N285" s="38"/>
      <c r="P285" s="38"/>
      <c r="Q285" s="38"/>
      <c r="R285" s="38"/>
    </row>
    <row r="286" spans="1:18" ht="19.5" customHeight="1" x14ac:dyDescent="0.25">
      <c r="A286" s="38"/>
      <c r="B286" s="38"/>
      <c r="C286" s="470"/>
      <c r="D286" s="470"/>
      <c r="E286" s="38"/>
      <c r="F286" s="38"/>
      <c r="G286" s="38"/>
      <c r="H286" s="38"/>
      <c r="I286" s="38"/>
      <c r="J286" s="38"/>
      <c r="K286" s="38"/>
      <c r="L286" s="38"/>
      <c r="N286" s="38"/>
      <c r="P286" s="38"/>
      <c r="Q286" s="38"/>
      <c r="R286" s="38"/>
    </row>
    <row r="287" spans="1:18" ht="19.5" customHeight="1" x14ac:dyDescent="0.25">
      <c r="A287" s="38"/>
      <c r="B287" s="38"/>
      <c r="C287" s="470"/>
      <c r="D287" s="470"/>
      <c r="E287" s="38"/>
      <c r="F287" s="38"/>
      <c r="G287" s="38"/>
      <c r="H287" s="38"/>
      <c r="I287" s="38"/>
      <c r="J287" s="38"/>
      <c r="K287" s="38"/>
      <c r="L287" s="38"/>
      <c r="N287" s="38"/>
      <c r="P287" s="38"/>
      <c r="Q287" s="38"/>
      <c r="R287" s="38"/>
    </row>
    <row r="288" spans="1:18" ht="19.5" customHeight="1" x14ac:dyDescent="0.25">
      <c r="A288" s="38"/>
      <c r="B288" s="38"/>
      <c r="C288" s="470"/>
      <c r="D288" s="470"/>
      <c r="E288" s="38"/>
      <c r="F288" s="38"/>
      <c r="G288" s="38"/>
      <c r="H288" s="38"/>
      <c r="I288" s="38"/>
      <c r="J288" s="38"/>
      <c r="K288" s="38"/>
      <c r="L288" s="38"/>
      <c r="N288" s="38"/>
      <c r="P288" s="38"/>
      <c r="Q288" s="38"/>
      <c r="R288" s="38"/>
    </row>
    <row r="289" spans="1:18" ht="19.5" customHeight="1" x14ac:dyDescent="0.25">
      <c r="A289" s="38"/>
      <c r="B289" s="38"/>
      <c r="C289" s="470"/>
      <c r="D289" s="470"/>
      <c r="E289" s="38"/>
      <c r="F289" s="38"/>
      <c r="G289" s="38"/>
      <c r="H289" s="38"/>
      <c r="I289" s="38"/>
      <c r="J289" s="38"/>
      <c r="K289" s="38"/>
      <c r="L289" s="38"/>
      <c r="N289" s="38"/>
      <c r="P289" s="38"/>
      <c r="Q289" s="38"/>
      <c r="R289" s="38"/>
    </row>
    <row r="290" spans="1:18" ht="19.5" customHeight="1" x14ac:dyDescent="0.25">
      <c r="A290" s="38"/>
      <c r="B290" s="38"/>
      <c r="C290" s="470"/>
      <c r="D290" s="470"/>
      <c r="E290" s="38"/>
      <c r="F290" s="38"/>
      <c r="G290" s="38"/>
      <c r="H290" s="38"/>
      <c r="I290" s="38"/>
      <c r="J290" s="38"/>
      <c r="K290" s="38"/>
      <c r="L290" s="38"/>
      <c r="N290" s="38"/>
      <c r="P290" s="38"/>
      <c r="Q290" s="38"/>
      <c r="R290" s="38"/>
    </row>
    <row r="291" spans="1:18" ht="19.5" customHeight="1" x14ac:dyDescent="0.25">
      <c r="A291" s="38"/>
      <c r="B291" s="38"/>
      <c r="C291" s="470"/>
      <c r="D291" s="470"/>
      <c r="E291" s="38"/>
      <c r="F291" s="38"/>
      <c r="G291" s="38"/>
      <c r="H291" s="38"/>
      <c r="I291" s="38"/>
      <c r="J291" s="38"/>
      <c r="K291" s="38"/>
      <c r="L291" s="38"/>
      <c r="N291" s="38"/>
      <c r="P291" s="38"/>
      <c r="Q291" s="38"/>
      <c r="R291" s="38"/>
    </row>
    <row r="292" spans="1:18" ht="19.5" customHeight="1" x14ac:dyDescent="0.25">
      <c r="A292" s="38"/>
      <c r="B292" s="38"/>
      <c r="C292" s="470"/>
      <c r="D292" s="470"/>
      <c r="E292" s="38"/>
      <c r="F292" s="38"/>
      <c r="G292" s="38"/>
      <c r="H292" s="38"/>
      <c r="I292" s="38"/>
      <c r="J292" s="38"/>
      <c r="K292" s="38"/>
      <c r="L292" s="38"/>
      <c r="N292" s="38"/>
      <c r="P292" s="38"/>
      <c r="Q292" s="38"/>
      <c r="R292" s="38"/>
    </row>
    <row r="293" spans="1:18" ht="19.5" customHeight="1" x14ac:dyDescent="0.25">
      <c r="A293" s="38"/>
      <c r="B293" s="38"/>
      <c r="C293" s="470"/>
      <c r="D293" s="470"/>
      <c r="E293" s="38"/>
      <c r="F293" s="38"/>
      <c r="G293" s="38"/>
      <c r="H293" s="38"/>
      <c r="I293" s="38"/>
      <c r="J293" s="38"/>
      <c r="K293" s="38"/>
      <c r="L293" s="38"/>
      <c r="N293" s="38"/>
      <c r="P293" s="38"/>
      <c r="Q293" s="38"/>
      <c r="R293" s="38"/>
    </row>
    <row r="294" spans="1:18" ht="19.5" customHeight="1" x14ac:dyDescent="0.25">
      <c r="A294" s="38"/>
      <c r="B294" s="38"/>
      <c r="C294" s="470"/>
      <c r="D294" s="470"/>
      <c r="E294" s="38"/>
      <c r="F294" s="38"/>
      <c r="G294" s="38"/>
      <c r="H294" s="38"/>
      <c r="I294" s="38"/>
      <c r="J294" s="38"/>
      <c r="K294" s="38"/>
      <c r="L294" s="38"/>
      <c r="N294" s="38"/>
      <c r="P294" s="38"/>
      <c r="Q294" s="38"/>
      <c r="R294" s="38"/>
    </row>
    <row r="295" spans="1:18" ht="19.5" customHeight="1" x14ac:dyDescent="0.25">
      <c r="A295" s="38"/>
      <c r="B295" s="38"/>
      <c r="C295" s="470"/>
      <c r="D295" s="470"/>
      <c r="E295" s="38"/>
      <c r="F295" s="38"/>
      <c r="G295" s="38"/>
      <c r="H295" s="38"/>
      <c r="I295" s="38"/>
      <c r="J295" s="38"/>
      <c r="K295" s="38"/>
      <c r="L295" s="38"/>
      <c r="N295" s="38"/>
      <c r="P295" s="38"/>
      <c r="Q295" s="38"/>
      <c r="R295" s="38"/>
    </row>
    <row r="296" spans="1:18" ht="19.5" customHeight="1" x14ac:dyDescent="0.25">
      <c r="A296" s="38"/>
      <c r="B296" s="38"/>
      <c r="C296" s="470"/>
      <c r="D296" s="470"/>
      <c r="E296" s="38"/>
      <c r="F296" s="38"/>
      <c r="G296" s="38"/>
      <c r="H296" s="38"/>
      <c r="I296" s="38"/>
      <c r="J296" s="38"/>
      <c r="K296" s="38"/>
      <c r="L296" s="38"/>
      <c r="N296" s="38"/>
      <c r="P296" s="38"/>
      <c r="Q296" s="38"/>
      <c r="R296" s="38"/>
    </row>
    <row r="297" spans="1:18" ht="19.5" customHeight="1" x14ac:dyDescent="0.25">
      <c r="A297" s="38"/>
      <c r="B297" s="38"/>
      <c r="C297" s="470"/>
      <c r="D297" s="470"/>
      <c r="E297" s="38"/>
      <c r="F297" s="38"/>
      <c r="G297" s="38"/>
      <c r="H297" s="38"/>
      <c r="I297" s="38"/>
      <c r="J297" s="38"/>
      <c r="K297" s="38"/>
      <c r="L297" s="38"/>
      <c r="N297" s="38"/>
      <c r="P297" s="38"/>
      <c r="Q297" s="38"/>
      <c r="R297" s="38"/>
    </row>
    <row r="298" spans="1:18" ht="19.5" customHeight="1" x14ac:dyDescent="0.25">
      <c r="A298" s="38"/>
      <c r="B298" s="38"/>
      <c r="C298" s="470"/>
      <c r="D298" s="470"/>
      <c r="E298" s="38"/>
      <c r="F298" s="38"/>
      <c r="G298" s="38"/>
      <c r="H298" s="38"/>
      <c r="I298" s="38"/>
      <c r="J298" s="38"/>
      <c r="K298" s="38"/>
      <c r="L298" s="38"/>
      <c r="N298" s="38"/>
      <c r="P298" s="38"/>
      <c r="Q298" s="38"/>
      <c r="R298" s="38"/>
    </row>
    <row r="299" spans="1:18" ht="19.5" customHeight="1" x14ac:dyDescent="0.25">
      <c r="A299" s="38"/>
      <c r="B299" s="38"/>
      <c r="C299" s="470"/>
      <c r="D299" s="470"/>
      <c r="E299" s="38"/>
      <c r="F299" s="38"/>
      <c r="G299" s="38"/>
      <c r="H299" s="38"/>
      <c r="I299" s="38"/>
      <c r="J299" s="38"/>
      <c r="K299" s="38"/>
      <c r="L299" s="38"/>
      <c r="N299" s="38"/>
      <c r="P299" s="38"/>
      <c r="Q299" s="38"/>
      <c r="R299" s="38"/>
    </row>
    <row r="300" spans="1:18" ht="19.5" customHeight="1" x14ac:dyDescent="0.25">
      <c r="A300" s="38"/>
      <c r="B300" s="38"/>
      <c r="C300" s="470"/>
      <c r="D300" s="470"/>
      <c r="E300" s="38"/>
      <c r="F300" s="38"/>
      <c r="G300" s="38"/>
      <c r="H300" s="38"/>
      <c r="I300" s="38"/>
      <c r="J300" s="38"/>
      <c r="K300" s="38"/>
      <c r="L300" s="38"/>
      <c r="N300" s="38"/>
      <c r="P300" s="38"/>
      <c r="Q300" s="38"/>
      <c r="R300" s="38"/>
    </row>
    <row r="301" spans="1:18" ht="19.5" customHeight="1" x14ac:dyDescent="0.25">
      <c r="A301" s="38"/>
      <c r="B301" s="38"/>
      <c r="C301" s="470"/>
      <c r="D301" s="470"/>
      <c r="E301" s="38"/>
      <c r="F301" s="38"/>
      <c r="G301" s="38"/>
      <c r="H301" s="38"/>
      <c r="I301" s="38"/>
      <c r="J301" s="38"/>
      <c r="K301" s="38"/>
      <c r="L301" s="38"/>
      <c r="N301" s="38"/>
      <c r="P301" s="38"/>
      <c r="Q301" s="38"/>
      <c r="R301" s="38"/>
    </row>
    <row r="302" spans="1:18" ht="19.5" customHeight="1" x14ac:dyDescent="0.25">
      <c r="A302" s="38"/>
      <c r="B302" s="38"/>
      <c r="C302" s="470"/>
      <c r="D302" s="470"/>
      <c r="E302" s="38"/>
      <c r="F302" s="38"/>
      <c r="G302" s="38"/>
      <c r="H302" s="38"/>
      <c r="I302" s="38"/>
      <c r="J302" s="38"/>
      <c r="K302" s="38"/>
      <c r="L302" s="38"/>
      <c r="N302" s="38"/>
      <c r="P302" s="38"/>
      <c r="Q302" s="38"/>
      <c r="R302" s="38"/>
    </row>
    <row r="303" spans="1:18" ht="19.5" customHeight="1" x14ac:dyDescent="0.25">
      <c r="A303" s="38"/>
      <c r="B303" s="38"/>
      <c r="C303" s="470"/>
      <c r="D303" s="470"/>
      <c r="E303" s="38"/>
      <c r="F303" s="38"/>
      <c r="G303" s="38"/>
      <c r="H303" s="38"/>
      <c r="I303" s="38"/>
      <c r="J303" s="38"/>
      <c r="K303" s="38"/>
      <c r="L303" s="38"/>
      <c r="N303" s="38"/>
      <c r="P303" s="38"/>
      <c r="Q303" s="38"/>
      <c r="R303" s="38"/>
    </row>
    <row r="304" spans="1:18" ht="19.5" customHeight="1" x14ac:dyDescent="0.25">
      <c r="A304" s="38"/>
      <c r="B304" s="38"/>
      <c r="C304" s="470"/>
      <c r="D304" s="470"/>
      <c r="E304" s="38"/>
      <c r="F304" s="38"/>
      <c r="G304" s="38"/>
      <c r="H304" s="38"/>
      <c r="I304" s="38"/>
      <c r="J304" s="38"/>
      <c r="K304" s="38"/>
      <c r="L304" s="38"/>
      <c r="N304" s="38"/>
      <c r="P304" s="38"/>
      <c r="Q304" s="38"/>
      <c r="R304" s="38"/>
    </row>
    <row r="305" spans="1:18" ht="19.5" customHeight="1" x14ac:dyDescent="0.25">
      <c r="A305" s="38"/>
      <c r="B305" s="38"/>
      <c r="C305" s="470"/>
      <c r="D305" s="470"/>
      <c r="E305" s="38"/>
      <c r="F305" s="38"/>
      <c r="G305" s="38"/>
      <c r="H305" s="38"/>
      <c r="I305" s="38"/>
      <c r="J305" s="38"/>
      <c r="K305" s="38"/>
      <c r="L305" s="38"/>
      <c r="N305" s="38"/>
      <c r="P305" s="38"/>
      <c r="Q305" s="38"/>
      <c r="R305" s="38"/>
    </row>
    <row r="306" spans="1:18" ht="19.5" customHeight="1" x14ac:dyDescent="0.25">
      <c r="A306" s="38"/>
      <c r="B306" s="38"/>
      <c r="C306" s="470"/>
      <c r="D306" s="470"/>
      <c r="E306" s="38"/>
      <c r="F306" s="38"/>
      <c r="G306" s="38"/>
      <c r="H306" s="38"/>
      <c r="I306" s="38"/>
      <c r="J306" s="38"/>
      <c r="K306" s="38"/>
      <c r="L306" s="38"/>
      <c r="N306" s="38"/>
      <c r="P306" s="38"/>
      <c r="Q306" s="38"/>
      <c r="R306" s="38"/>
    </row>
    <row r="307" spans="1:18" ht="19.5" customHeight="1" x14ac:dyDescent="0.25">
      <c r="A307" s="38"/>
      <c r="B307" s="38"/>
      <c r="C307" s="470"/>
      <c r="D307" s="470"/>
      <c r="E307" s="38"/>
      <c r="F307" s="38"/>
      <c r="G307" s="38"/>
      <c r="H307" s="38"/>
      <c r="I307" s="38"/>
      <c r="J307" s="38"/>
      <c r="K307" s="38"/>
      <c r="L307" s="38"/>
      <c r="N307" s="38"/>
      <c r="P307" s="38"/>
      <c r="Q307" s="38"/>
      <c r="R307" s="38"/>
    </row>
    <row r="308" spans="1:18" ht="19.5" customHeight="1" x14ac:dyDescent="0.25">
      <c r="A308" s="38"/>
      <c r="B308" s="38"/>
      <c r="C308" s="470"/>
      <c r="D308" s="470"/>
      <c r="E308" s="38"/>
      <c r="F308" s="38"/>
      <c r="G308" s="38"/>
      <c r="H308" s="38"/>
      <c r="I308" s="38"/>
      <c r="J308" s="38"/>
      <c r="K308" s="38"/>
      <c r="L308" s="38"/>
      <c r="N308" s="38"/>
      <c r="P308" s="38"/>
      <c r="Q308" s="38"/>
      <c r="R308" s="38"/>
    </row>
    <row r="309" spans="1:18" ht="19.5" customHeight="1" x14ac:dyDescent="0.25">
      <c r="A309" s="38"/>
      <c r="B309" s="38"/>
      <c r="C309" s="470"/>
      <c r="D309" s="470"/>
      <c r="E309" s="38"/>
      <c r="F309" s="38"/>
      <c r="G309" s="38"/>
      <c r="H309" s="38"/>
      <c r="I309" s="38"/>
      <c r="J309" s="38"/>
      <c r="K309" s="38"/>
      <c r="L309" s="38"/>
      <c r="N309" s="38"/>
      <c r="P309" s="38"/>
      <c r="Q309" s="38"/>
      <c r="R309" s="38"/>
    </row>
    <row r="310" spans="1:18" ht="19.5" customHeight="1" x14ac:dyDescent="0.25">
      <c r="A310" s="38"/>
      <c r="B310" s="38"/>
      <c r="C310" s="470"/>
      <c r="D310" s="470"/>
      <c r="E310" s="38"/>
      <c r="F310" s="38"/>
      <c r="G310" s="38"/>
      <c r="H310" s="38"/>
      <c r="I310" s="38"/>
      <c r="J310" s="38"/>
      <c r="K310" s="38"/>
      <c r="L310" s="38"/>
      <c r="N310" s="38"/>
      <c r="P310" s="38"/>
      <c r="Q310" s="38"/>
      <c r="R310" s="38"/>
    </row>
    <row r="311" spans="1:18" ht="19.5" customHeight="1" x14ac:dyDescent="0.25">
      <c r="A311" s="38"/>
      <c r="B311" s="38"/>
      <c r="C311" s="470"/>
      <c r="D311" s="470"/>
      <c r="E311" s="38"/>
      <c r="F311" s="38"/>
      <c r="G311" s="38"/>
      <c r="H311" s="38"/>
      <c r="I311" s="38"/>
      <c r="J311" s="38"/>
      <c r="K311" s="38"/>
      <c r="L311" s="38"/>
      <c r="N311" s="38"/>
      <c r="P311" s="38"/>
      <c r="Q311" s="38"/>
      <c r="R311" s="38"/>
    </row>
    <row r="312" spans="1:18" ht="19.5" customHeight="1" x14ac:dyDescent="0.25">
      <c r="A312" s="38"/>
      <c r="B312" s="38"/>
      <c r="C312" s="470"/>
      <c r="D312" s="470"/>
      <c r="E312" s="38"/>
      <c r="F312" s="38"/>
      <c r="G312" s="38"/>
      <c r="H312" s="38"/>
      <c r="I312" s="38"/>
      <c r="J312" s="38"/>
      <c r="K312" s="38"/>
      <c r="L312" s="38"/>
      <c r="N312" s="38"/>
      <c r="P312" s="38"/>
      <c r="Q312" s="38"/>
      <c r="R312" s="38"/>
    </row>
    <row r="313" spans="1:18" ht="19.5" customHeight="1" x14ac:dyDescent="0.25">
      <c r="A313" s="38"/>
      <c r="B313" s="38"/>
      <c r="C313" s="470"/>
      <c r="D313" s="470"/>
      <c r="E313" s="38"/>
      <c r="F313" s="38"/>
      <c r="G313" s="38"/>
      <c r="H313" s="38"/>
      <c r="I313" s="38"/>
      <c r="J313" s="38"/>
      <c r="K313" s="38"/>
      <c r="L313" s="38"/>
      <c r="N313" s="38"/>
      <c r="P313" s="38"/>
      <c r="Q313" s="38"/>
      <c r="R313" s="38"/>
    </row>
    <row r="314" spans="1:18" ht="19.5" customHeight="1" x14ac:dyDescent="0.25">
      <c r="A314" s="38"/>
      <c r="B314" s="38"/>
      <c r="C314" s="470"/>
      <c r="D314" s="470"/>
      <c r="E314" s="38"/>
      <c r="F314" s="38"/>
      <c r="G314" s="38"/>
      <c r="H314" s="38"/>
      <c r="I314" s="38"/>
      <c r="J314" s="38"/>
      <c r="K314" s="38"/>
      <c r="L314" s="38"/>
      <c r="N314" s="38"/>
      <c r="P314" s="38"/>
      <c r="Q314" s="38"/>
      <c r="R314" s="38"/>
    </row>
    <row r="315" spans="1:18" ht="19.5" customHeight="1" x14ac:dyDescent="0.25">
      <c r="A315" s="38"/>
      <c r="B315" s="38"/>
      <c r="C315" s="470"/>
      <c r="D315" s="470"/>
      <c r="E315" s="38"/>
      <c r="F315" s="38"/>
      <c r="G315" s="38"/>
      <c r="H315" s="38"/>
      <c r="I315" s="38"/>
      <c r="J315" s="38"/>
      <c r="K315" s="38"/>
      <c r="L315" s="38"/>
      <c r="N315" s="38"/>
      <c r="P315" s="38"/>
      <c r="Q315" s="38"/>
      <c r="R315" s="38"/>
    </row>
    <row r="316" spans="1:18" ht="19.5" customHeight="1" x14ac:dyDescent="0.25">
      <c r="A316" s="38"/>
      <c r="B316" s="38"/>
      <c r="C316" s="470"/>
      <c r="D316" s="470"/>
      <c r="E316" s="38"/>
      <c r="F316" s="38"/>
      <c r="G316" s="38"/>
      <c r="H316" s="38"/>
      <c r="I316" s="38"/>
      <c r="J316" s="38"/>
      <c r="K316" s="38"/>
      <c r="L316" s="38"/>
      <c r="N316" s="38"/>
      <c r="P316" s="38"/>
      <c r="Q316" s="38"/>
      <c r="R316" s="38"/>
    </row>
    <row r="317" spans="1:18" ht="19.5" customHeight="1" x14ac:dyDescent="0.25">
      <c r="A317" s="38"/>
      <c r="B317" s="38"/>
      <c r="C317" s="470"/>
      <c r="D317" s="470"/>
      <c r="E317" s="38"/>
      <c r="F317" s="38"/>
      <c r="G317" s="38"/>
      <c r="H317" s="38"/>
      <c r="I317" s="38"/>
      <c r="J317" s="38"/>
      <c r="K317" s="38"/>
      <c r="L317" s="38"/>
      <c r="N317" s="38"/>
      <c r="P317" s="38"/>
      <c r="Q317" s="38"/>
      <c r="R317" s="38"/>
    </row>
    <row r="318" spans="1:18" ht="19.5" customHeight="1" x14ac:dyDescent="0.25">
      <c r="A318" s="38"/>
      <c r="B318" s="38"/>
      <c r="C318" s="470"/>
      <c r="D318" s="470"/>
      <c r="E318" s="38"/>
      <c r="F318" s="38"/>
      <c r="G318" s="38"/>
      <c r="H318" s="38"/>
      <c r="I318" s="38"/>
      <c r="J318" s="38"/>
      <c r="K318" s="38"/>
      <c r="L318" s="38"/>
      <c r="N318" s="38"/>
      <c r="P318" s="38"/>
      <c r="Q318" s="38"/>
      <c r="R318" s="38"/>
    </row>
    <row r="319" spans="1:18" ht="19.5" customHeight="1" x14ac:dyDescent="0.25">
      <c r="A319" s="38"/>
      <c r="B319" s="38"/>
      <c r="C319" s="470"/>
      <c r="D319" s="470"/>
      <c r="E319" s="38"/>
      <c r="F319" s="38"/>
      <c r="G319" s="38"/>
      <c r="H319" s="38"/>
      <c r="I319" s="38"/>
      <c r="J319" s="38"/>
      <c r="K319" s="38"/>
      <c r="L319" s="38"/>
      <c r="N319" s="38"/>
      <c r="P319" s="38"/>
      <c r="Q319" s="38"/>
      <c r="R319" s="38"/>
    </row>
    <row r="320" spans="1:18" ht="19.5" customHeight="1" x14ac:dyDescent="0.25">
      <c r="A320" s="38"/>
      <c r="B320" s="38"/>
      <c r="C320" s="470"/>
      <c r="D320" s="470"/>
      <c r="E320" s="38"/>
      <c r="F320" s="38"/>
      <c r="G320" s="38"/>
      <c r="H320" s="38"/>
      <c r="I320" s="38"/>
      <c r="J320" s="38"/>
      <c r="K320" s="38"/>
      <c r="L320" s="38"/>
      <c r="N320" s="38"/>
      <c r="P320" s="38"/>
      <c r="Q320" s="38"/>
      <c r="R320" s="38"/>
    </row>
    <row r="321" spans="1:18" ht="19.5" customHeight="1" x14ac:dyDescent="0.25">
      <c r="A321" s="38"/>
      <c r="B321" s="38"/>
      <c r="C321" s="470"/>
      <c r="D321" s="470"/>
      <c r="E321" s="38"/>
      <c r="F321" s="38"/>
      <c r="G321" s="38"/>
      <c r="H321" s="38"/>
      <c r="I321" s="38"/>
      <c r="J321" s="38"/>
      <c r="K321" s="38"/>
      <c r="L321" s="38"/>
      <c r="N321" s="38"/>
      <c r="P321" s="38"/>
      <c r="Q321" s="38"/>
      <c r="R321" s="38"/>
    </row>
    <row r="322" spans="1:18" ht="19.5" customHeight="1" x14ac:dyDescent="0.25">
      <c r="A322" s="38"/>
      <c r="B322" s="38"/>
      <c r="C322" s="470"/>
      <c r="D322" s="470"/>
      <c r="E322" s="38"/>
      <c r="F322" s="38"/>
      <c r="G322" s="38"/>
      <c r="H322" s="38"/>
      <c r="I322" s="38"/>
      <c r="J322" s="38"/>
      <c r="K322" s="38"/>
      <c r="L322" s="38"/>
      <c r="N322" s="38"/>
      <c r="P322" s="38"/>
      <c r="Q322" s="38"/>
      <c r="R322" s="38"/>
    </row>
    <row r="323" spans="1:18" ht="19.5" customHeight="1" x14ac:dyDescent="0.25">
      <c r="A323" s="38"/>
      <c r="B323" s="38"/>
      <c r="C323" s="470"/>
      <c r="D323" s="470"/>
      <c r="E323" s="38"/>
      <c r="F323" s="38"/>
      <c r="G323" s="38"/>
      <c r="H323" s="38"/>
      <c r="I323" s="38"/>
      <c r="J323" s="38"/>
      <c r="K323" s="38"/>
      <c r="L323" s="38"/>
      <c r="N323" s="38"/>
      <c r="P323" s="38"/>
      <c r="Q323" s="38"/>
      <c r="R323" s="38"/>
    </row>
    <row r="324" spans="1:18" ht="19.5" customHeight="1" x14ac:dyDescent="0.25">
      <c r="A324" s="38"/>
      <c r="B324" s="38"/>
      <c r="C324" s="470"/>
      <c r="D324" s="470"/>
      <c r="E324" s="38"/>
      <c r="F324" s="38"/>
      <c r="G324" s="38"/>
      <c r="H324" s="38"/>
      <c r="I324" s="38"/>
      <c r="J324" s="38"/>
      <c r="K324" s="38"/>
      <c r="L324" s="38"/>
      <c r="N324" s="38"/>
      <c r="P324" s="38"/>
      <c r="Q324" s="38"/>
      <c r="R324" s="38"/>
    </row>
    <row r="325" spans="1:18" ht="19.5" customHeight="1" x14ac:dyDescent="0.25">
      <c r="A325" s="38"/>
      <c r="B325" s="38"/>
      <c r="C325" s="470"/>
      <c r="D325" s="470"/>
      <c r="E325" s="38"/>
      <c r="F325" s="38"/>
      <c r="G325" s="38"/>
      <c r="H325" s="38"/>
      <c r="I325" s="38"/>
      <c r="J325" s="38"/>
      <c r="K325" s="38"/>
      <c r="L325" s="38"/>
      <c r="N325" s="38"/>
      <c r="P325" s="38"/>
      <c r="Q325" s="38"/>
      <c r="R325" s="38"/>
    </row>
    <row r="326" spans="1:18" ht="19.5" customHeight="1" x14ac:dyDescent="0.25">
      <c r="A326" s="38"/>
      <c r="B326" s="38"/>
      <c r="C326" s="470"/>
      <c r="D326" s="470"/>
      <c r="E326" s="38"/>
      <c r="F326" s="38"/>
      <c r="G326" s="38"/>
      <c r="H326" s="38"/>
      <c r="I326" s="38"/>
      <c r="J326" s="38"/>
      <c r="K326" s="38"/>
      <c r="L326" s="38"/>
      <c r="N326" s="38"/>
      <c r="P326" s="38"/>
      <c r="Q326" s="38"/>
      <c r="R326" s="38"/>
    </row>
    <row r="327" spans="1:18" ht="19.5" customHeight="1" x14ac:dyDescent="0.25">
      <c r="A327" s="38"/>
      <c r="B327" s="38"/>
      <c r="C327" s="470"/>
      <c r="D327" s="470"/>
      <c r="E327" s="38"/>
      <c r="F327" s="38"/>
      <c r="G327" s="38"/>
      <c r="H327" s="38"/>
      <c r="I327" s="38"/>
      <c r="J327" s="38"/>
      <c r="K327" s="38"/>
      <c r="L327" s="38"/>
      <c r="N327" s="38"/>
      <c r="P327" s="38"/>
      <c r="Q327" s="38"/>
      <c r="R327" s="38"/>
    </row>
    <row r="328" spans="1:18" ht="19.5" customHeight="1" x14ac:dyDescent="0.25">
      <c r="A328" s="38"/>
      <c r="B328" s="38"/>
      <c r="C328" s="470"/>
      <c r="D328" s="470"/>
      <c r="E328" s="38"/>
      <c r="F328" s="38"/>
      <c r="G328" s="38"/>
      <c r="H328" s="38"/>
      <c r="I328" s="38"/>
      <c r="J328" s="38"/>
      <c r="K328" s="38"/>
      <c r="L328" s="38"/>
      <c r="N328" s="38"/>
      <c r="P328" s="38"/>
      <c r="Q328" s="38"/>
      <c r="R328" s="38"/>
    </row>
    <row r="329" spans="1:18" ht="19.5" customHeight="1" x14ac:dyDescent="0.25">
      <c r="A329" s="38"/>
      <c r="B329" s="38"/>
      <c r="C329" s="470"/>
      <c r="D329" s="470"/>
      <c r="E329" s="38"/>
      <c r="F329" s="38"/>
      <c r="G329" s="38"/>
      <c r="H329" s="38"/>
      <c r="I329" s="38"/>
      <c r="J329" s="38"/>
      <c r="K329" s="38"/>
      <c r="L329" s="38"/>
      <c r="N329" s="38"/>
      <c r="P329" s="38"/>
      <c r="Q329" s="38"/>
      <c r="R329" s="38"/>
    </row>
    <row r="330" spans="1:18" ht="19.5" customHeight="1" x14ac:dyDescent="0.25">
      <c r="A330" s="38"/>
      <c r="B330" s="38"/>
      <c r="C330" s="470"/>
      <c r="D330" s="470"/>
      <c r="E330" s="38"/>
      <c r="F330" s="38"/>
      <c r="G330" s="38"/>
      <c r="H330" s="38"/>
      <c r="I330" s="38"/>
      <c r="J330" s="38"/>
      <c r="K330" s="38"/>
      <c r="L330" s="38"/>
      <c r="N330" s="38"/>
      <c r="P330" s="38"/>
      <c r="Q330" s="38"/>
      <c r="R330" s="38"/>
    </row>
    <row r="331" spans="1:18" ht="19.5" customHeight="1" x14ac:dyDescent="0.25">
      <c r="A331" s="38"/>
      <c r="B331" s="38"/>
      <c r="C331" s="470"/>
      <c r="D331" s="470"/>
      <c r="E331" s="38"/>
      <c r="F331" s="38"/>
      <c r="G331" s="38"/>
      <c r="H331" s="38"/>
      <c r="I331" s="38"/>
      <c r="J331" s="38"/>
      <c r="K331" s="38"/>
      <c r="L331" s="38"/>
      <c r="N331" s="38"/>
      <c r="P331" s="38"/>
      <c r="Q331" s="38"/>
      <c r="R331" s="38"/>
    </row>
    <row r="332" spans="1:18" ht="19.5" customHeight="1" x14ac:dyDescent="0.25">
      <c r="A332" s="38"/>
      <c r="B332" s="38"/>
      <c r="C332" s="470"/>
      <c r="D332" s="470"/>
      <c r="E332" s="38"/>
      <c r="F332" s="38"/>
      <c r="G332" s="38"/>
      <c r="H332" s="38"/>
      <c r="I332" s="38"/>
      <c r="J332" s="38"/>
      <c r="K332" s="38"/>
      <c r="L332" s="38"/>
      <c r="N332" s="38"/>
      <c r="P332" s="38"/>
      <c r="Q332" s="38"/>
      <c r="R332" s="38"/>
    </row>
    <row r="333" spans="1:18" ht="19.5" customHeight="1" x14ac:dyDescent="0.25">
      <c r="A333" s="38"/>
      <c r="B333" s="38"/>
      <c r="C333" s="470"/>
      <c r="D333" s="470"/>
      <c r="E333" s="38"/>
      <c r="F333" s="38"/>
      <c r="G333" s="38"/>
      <c r="H333" s="38"/>
      <c r="I333" s="38"/>
      <c r="J333" s="38"/>
      <c r="K333" s="38"/>
      <c r="L333" s="38"/>
      <c r="N333" s="38"/>
      <c r="P333" s="38"/>
      <c r="Q333" s="38"/>
      <c r="R333" s="38"/>
    </row>
    <row r="334" spans="1:18" ht="19.5" customHeight="1" x14ac:dyDescent="0.25">
      <c r="A334" s="38"/>
      <c r="B334" s="38"/>
      <c r="C334" s="470"/>
      <c r="D334" s="470"/>
      <c r="E334" s="38"/>
      <c r="F334" s="38"/>
      <c r="G334" s="38"/>
      <c r="H334" s="38"/>
      <c r="I334" s="38"/>
      <c r="J334" s="38"/>
      <c r="K334" s="38"/>
      <c r="L334" s="38"/>
      <c r="N334" s="38"/>
      <c r="P334" s="38"/>
      <c r="Q334" s="38"/>
      <c r="R334" s="38"/>
    </row>
    <row r="335" spans="1:18" ht="19.5" customHeight="1" x14ac:dyDescent="0.25">
      <c r="A335" s="38"/>
      <c r="B335" s="38"/>
      <c r="C335" s="470"/>
      <c r="D335" s="470"/>
      <c r="E335" s="38"/>
      <c r="F335" s="38"/>
      <c r="G335" s="38"/>
      <c r="H335" s="38"/>
      <c r="I335" s="38"/>
      <c r="J335" s="38"/>
      <c r="K335" s="38"/>
      <c r="L335" s="38"/>
      <c r="N335" s="38"/>
      <c r="P335" s="38"/>
      <c r="Q335" s="38"/>
      <c r="R335" s="38"/>
    </row>
    <row r="336" spans="1:18" ht="19.5" customHeight="1" x14ac:dyDescent="0.25">
      <c r="A336" s="38"/>
      <c r="B336" s="38"/>
      <c r="C336" s="470"/>
      <c r="D336" s="470"/>
      <c r="E336" s="38"/>
      <c r="F336" s="38"/>
      <c r="G336" s="38"/>
      <c r="H336" s="38"/>
      <c r="I336" s="38"/>
      <c r="J336" s="38"/>
      <c r="K336" s="38"/>
      <c r="L336" s="38"/>
      <c r="N336" s="38"/>
      <c r="P336" s="38"/>
      <c r="Q336" s="38"/>
      <c r="R336" s="38"/>
    </row>
    <row r="337" spans="1:18" ht="19.5" customHeight="1" x14ac:dyDescent="0.25">
      <c r="A337" s="38"/>
      <c r="B337" s="38"/>
      <c r="C337" s="470"/>
      <c r="D337" s="470"/>
      <c r="E337" s="38"/>
      <c r="F337" s="38"/>
      <c r="G337" s="38"/>
      <c r="H337" s="38"/>
      <c r="I337" s="38"/>
      <c r="J337" s="38"/>
      <c r="K337" s="38"/>
      <c r="L337" s="38"/>
      <c r="N337" s="38"/>
      <c r="P337" s="38"/>
      <c r="Q337" s="38"/>
      <c r="R337" s="38"/>
    </row>
    <row r="338" spans="1:18" ht="19.5" customHeight="1" x14ac:dyDescent="0.25">
      <c r="A338" s="38"/>
      <c r="B338" s="38"/>
      <c r="C338" s="470"/>
      <c r="D338" s="470"/>
      <c r="E338" s="38"/>
      <c r="F338" s="38"/>
      <c r="G338" s="38"/>
      <c r="H338" s="38"/>
      <c r="I338" s="38"/>
      <c r="J338" s="38"/>
      <c r="K338" s="38"/>
      <c r="L338" s="38"/>
      <c r="N338" s="38"/>
      <c r="P338" s="38"/>
      <c r="Q338" s="38"/>
      <c r="R338" s="38"/>
    </row>
    <row r="339" spans="1:18" ht="19.5" customHeight="1" x14ac:dyDescent="0.25">
      <c r="A339" s="38"/>
      <c r="B339" s="38"/>
      <c r="C339" s="470"/>
      <c r="D339" s="470"/>
      <c r="E339" s="38"/>
      <c r="F339" s="38"/>
      <c r="G339" s="38"/>
      <c r="H339" s="38"/>
      <c r="I339" s="38"/>
      <c r="J339" s="38"/>
      <c r="K339" s="38"/>
      <c r="L339" s="38"/>
      <c r="N339" s="38"/>
      <c r="P339" s="38"/>
      <c r="Q339" s="38"/>
      <c r="R339" s="38"/>
    </row>
    <row r="340" spans="1:18" ht="19.5" customHeight="1" x14ac:dyDescent="0.25">
      <c r="A340" s="38"/>
      <c r="B340" s="38"/>
      <c r="C340" s="470"/>
      <c r="D340" s="470"/>
      <c r="E340" s="38"/>
      <c r="F340" s="38"/>
      <c r="G340" s="38"/>
      <c r="H340" s="38"/>
      <c r="I340" s="38"/>
      <c r="J340" s="38"/>
      <c r="K340" s="38"/>
      <c r="L340" s="38"/>
      <c r="N340" s="38"/>
      <c r="P340" s="38"/>
      <c r="Q340" s="38"/>
      <c r="R340" s="38"/>
    </row>
    <row r="341" spans="1:18" ht="19.5" customHeight="1" x14ac:dyDescent="0.25">
      <c r="A341" s="38"/>
      <c r="B341" s="38"/>
      <c r="C341" s="470"/>
      <c r="D341" s="470"/>
      <c r="E341" s="38"/>
      <c r="F341" s="38"/>
      <c r="G341" s="38"/>
      <c r="H341" s="38"/>
      <c r="I341" s="38"/>
      <c r="J341" s="38"/>
      <c r="K341" s="38"/>
      <c r="L341" s="38"/>
      <c r="N341" s="38"/>
      <c r="P341" s="38"/>
      <c r="Q341" s="38"/>
      <c r="R341" s="38"/>
    </row>
    <row r="342" spans="1:18" ht="19.5" customHeight="1" x14ac:dyDescent="0.25">
      <c r="A342" s="38"/>
      <c r="B342" s="38"/>
      <c r="C342" s="470"/>
      <c r="D342" s="470"/>
      <c r="E342" s="38"/>
      <c r="F342" s="38"/>
      <c r="G342" s="38"/>
      <c r="H342" s="38"/>
      <c r="I342" s="38"/>
      <c r="J342" s="38"/>
      <c r="K342" s="38"/>
      <c r="L342" s="38"/>
      <c r="N342" s="38"/>
      <c r="P342" s="38"/>
      <c r="Q342" s="38"/>
      <c r="R342" s="38"/>
    </row>
    <row r="343" spans="1:18" ht="19.5" customHeight="1" x14ac:dyDescent="0.25">
      <c r="A343" s="38"/>
      <c r="B343" s="38"/>
      <c r="C343" s="470"/>
      <c r="D343" s="470"/>
      <c r="E343" s="38"/>
      <c r="F343" s="38"/>
      <c r="G343" s="38"/>
      <c r="H343" s="38"/>
      <c r="I343" s="38"/>
      <c r="J343" s="38"/>
      <c r="K343" s="38"/>
      <c r="L343" s="38"/>
      <c r="N343" s="38"/>
      <c r="P343" s="38"/>
      <c r="Q343" s="38"/>
      <c r="R343" s="38"/>
    </row>
    <row r="344" spans="1:18" ht="19.5" customHeight="1" x14ac:dyDescent="0.25">
      <c r="A344" s="38"/>
      <c r="B344" s="38"/>
      <c r="C344" s="470"/>
      <c r="D344" s="470"/>
      <c r="E344" s="38"/>
      <c r="F344" s="38"/>
      <c r="G344" s="38"/>
      <c r="H344" s="38"/>
      <c r="I344" s="38"/>
      <c r="J344" s="38"/>
      <c r="K344" s="38"/>
      <c r="L344" s="38"/>
      <c r="N344" s="38"/>
      <c r="P344" s="38"/>
      <c r="Q344" s="38"/>
      <c r="R344" s="38"/>
    </row>
    <row r="345" spans="1:18" ht="19.5" customHeight="1" x14ac:dyDescent="0.25">
      <c r="A345" s="38"/>
      <c r="B345" s="38"/>
      <c r="C345" s="470"/>
      <c r="D345" s="470"/>
      <c r="E345" s="38"/>
      <c r="F345" s="38"/>
      <c r="G345" s="38"/>
      <c r="H345" s="38"/>
      <c r="I345" s="38"/>
      <c r="J345" s="38"/>
      <c r="K345" s="38"/>
      <c r="L345" s="38"/>
      <c r="N345" s="38"/>
      <c r="P345" s="38"/>
      <c r="Q345" s="38"/>
      <c r="R345" s="38"/>
    </row>
    <row r="346" spans="1:18" ht="19.5" customHeight="1" x14ac:dyDescent="0.25">
      <c r="A346" s="38"/>
      <c r="B346" s="38"/>
      <c r="C346" s="470"/>
      <c r="D346" s="470"/>
      <c r="E346" s="38"/>
      <c r="F346" s="38"/>
      <c r="G346" s="38"/>
      <c r="H346" s="38"/>
      <c r="I346" s="38"/>
      <c r="J346" s="38"/>
      <c r="K346" s="38"/>
      <c r="L346" s="38"/>
      <c r="N346" s="38"/>
      <c r="P346" s="38"/>
      <c r="Q346" s="38"/>
      <c r="R346" s="38"/>
    </row>
    <row r="347" spans="1:18" ht="19.5" customHeight="1" x14ac:dyDescent="0.25">
      <c r="A347" s="38"/>
      <c r="B347" s="38"/>
      <c r="C347" s="470"/>
      <c r="D347" s="470"/>
      <c r="E347" s="38"/>
      <c r="F347" s="38"/>
      <c r="G347" s="38"/>
      <c r="H347" s="38"/>
      <c r="I347" s="38"/>
      <c r="J347" s="38"/>
      <c r="K347" s="38"/>
      <c r="L347" s="38"/>
      <c r="N347" s="38"/>
      <c r="P347" s="38"/>
      <c r="Q347" s="38"/>
      <c r="R347" s="38"/>
    </row>
    <row r="348" spans="1:18" ht="19.5" customHeight="1" x14ac:dyDescent="0.25">
      <c r="A348" s="38"/>
      <c r="B348" s="38"/>
      <c r="C348" s="470"/>
      <c r="D348" s="470"/>
      <c r="E348" s="38"/>
      <c r="F348" s="38"/>
      <c r="G348" s="38"/>
      <c r="H348" s="38"/>
      <c r="I348" s="38"/>
      <c r="J348" s="38"/>
      <c r="K348" s="38"/>
      <c r="L348" s="38"/>
      <c r="N348" s="38"/>
      <c r="P348" s="38"/>
      <c r="Q348" s="38"/>
      <c r="R348" s="38"/>
    </row>
    <row r="349" spans="1:18" ht="19.5" customHeight="1" x14ac:dyDescent="0.25">
      <c r="A349" s="38"/>
      <c r="B349" s="38"/>
      <c r="C349" s="470"/>
      <c r="D349" s="470"/>
      <c r="E349" s="38"/>
      <c r="F349" s="38"/>
      <c r="G349" s="38"/>
      <c r="H349" s="38"/>
      <c r="I349" s="38"/>
      <c r="J349" s="38"/>
      <c r="K349" s="38"/>
      <c r="L349" s="38"/>
      <c r="N349" s="38"/>
      <c r="P349" s="38"/>
      <c r="Q349" s="38"/>
      <c r="R349" s="38"/>
    </row>
    <row r="350" spans="1:18" ht="19.5" customHeight="1" x14ac:dyDescent="0.25">
      <c r="A350" s="38"/>
      <c r="B350" s="38"/>
      <c r="C350" s="470"/>
      <c r="D350" s="470"/>
      <c r="E350" s="38"/>
      <c r="F350" s="38"/>
      <c r="G350" s="38"/>
      <c r="H350" s="38"/>
      <c r="I350" s="38"/>
      <c r="J350" s="38"/>
      <c r="K350" s="38"/>
      <c r="L350" s="38"/>
      <c r="N350" s="38"/>
      <c r="P350" s="38"/>
      <c r="Q350" s="38"/>
      <c r="R350" s="38"/>
    </row>
    <row r="351" spans="1:18" ht="19.5" customHeight="1" x14ac:dyDescent="0.25">
      <c r="A351" s="38"/>
      <c r="B351" s="38"/>
      <c r="C351" s="470"/>
      <c r="D351" s="470"/>
      <c r="E351" s="38"/>
      <c r="F351" s="38"/>
      <c r="G351" s="38"/>
      <c r="H351" s="38"/>
      <c r="I351" s="38"/>
      <c r="J351" s="38"/>
      <c r="K351" s="38"/>
      <c r="L351" s="38"/>
      <c r="N351" s="38"/>
      <c r="P351" s="38"/>
      <c r="Q351" s="38"/>
      <c r="R351" s="38"/>
    </row>
    <row r="352" spans="1:18" ht="19.5" customHeight="1" x14ac:dyDescent="0.25">
      <c r="A352" s="38"/>
      <c r="B352" s="38"/>
      <c r="C352" s="470"/>
      <c r="D352" s="470"/>
      <c r="E352" s="38"/>
      <c r="F352" s="38"/>
      <c r="G352" s="38"/>
      <c r="H352" s="38"/>
      <c r="I352" s="38"/>
      <c r="J352" s="38"/>
      <c r="K352" s="38"/>
      <c r="L352" s="38"/>
      <c r="N352" s="38"/>
      <c r="P352" s="38"/>
      <c r="Q352" s="38"/>
      <c r="R352" s="38"/>
    </row>
    <row r="353" spans="1:18" ht="19.5" customHeight="1" x14ac:dyDescent="0.25">
      <c r="A353" s="38"/>
      <c r="B353" s="38"/>
      <c r="C353" s="470"/>
      <c r="D353" s="470"/>
      <c r="E353" s="38"/>
      <c r="F353" s="38"/>
      <c r="G353" s="38"/>
      <c r="H353" s="38"/>
      <c r="I353" s="38"/>
      <c r="J353" s="38"/>
      <c r="K353" s="38"/>
      <c r="L353" s="38"/>
      <c r="N353" s="38"/>
      <c r="P353" s="38"/>
      <c r="Q353" s="38"/>
      <c r="R353" s="38"/>
    </row>
    <row r="354" spans="1:18" ht="19.5" customHeight="1" x14ac:dyDescent="0.25">
      <c r="A354" s="38"/>
      <c r="B354" s="38"/>
      <c r="C354" s="470"/>
      <c r="D354" s="470"/>
      <c r="E354" s="38"/>
      <c r="F354" s="38"/>
      <c r="G354" s="38"/>
      <c r="H354" s="38"/>
      <c r="I354" s="38"/>
      <c r="J354" s="38"/>
      <c r="K354" s="38"/>
      <c r="L354" s="38"/>
      <c r="N354" s="38"/>
      <c r="P354" s="38"/>
      <c r="Q354" s="38"/>
      <c r="R354" s="38"/>
    </row>
    <row r="355" spans="1:18" ht="19.5" customHeight="1" x14ac:dyDescent="0.25">
      <c r="A355" s="38"/>
      <c r="B355" s="38"/>
      <c r="C355" s="470"/>
      <c r="D355" s="470"/>
      <c r="E355" s="38"/>
      <c r="F355" s="38"/>
      <c r="G355" s="38"/>
      <c r="H355" s="38"/>
      <c r="I355" s="38"/>
      <c r="J355" s="38"/>
      <c r="K355" s="38"/>
      <c r="L355" s="38"/>
      <c r="N355" s="38"/>
      <c r="P355" s="38"/>
      <c r="Q355" s="38"/>
      <c r="R355" s="38"/>
    </row>
    <row r="356" spans="1:18" ht="19.5" customHeight="1" x14ac:dyDescent="0.25">
      <c r="A356" s="38"/>
      <c r="B356" s="38"/>
      <c r="C356" s="470"/>
      <c r="D356" s="470"/>
      <c r="E356" s="38"/>
      <c r="F356" s="38"/>
      <c r="G356" s="38"/>
      <c r="H356" s="38"/>
      <c r="I356" s="38"/>
      <c r="J356" s="38"/>
      <c r="K356" s="38"/>
      <c r="L356" s="38"/>
      <c r="N356" s="38"/>
      <c r="P356" s="38"/>
      <c r="Q356" s="38"/>
      <c r="R356" s="38"/>
    </row>
    <row r="357" spans="1:18" ht="19.5" customHeight="1" x14ac:dyDescent="0.25">
      <c r="A357" s="38"/>
      <c r="B357" s="38"/>
      <c r="C357" s="470"/>
      <c r="D357" s="470"/>
      <c r="E357" s="38"/>
      <c r="F357" s="38"/>
      <c r="G357" s="38"/>
      <c r="H357" s="38"/>
      <c r="I357" s="38"/>
      <c r="J357" s="38"/>
      <c r="K357" s="38"/>
      <c r="L357" s="38"/>
      <c r="N357" s="38"/>
      <c r="P357" s="38"/>
      <c r="Q357" s="38"/>
      <c r="R357" s="38"/>
    </row>
    <row r="358" spans="1:18" ht="19.5" customHeight="1" x14ac:dyDescent="0.25">
      <c r="A358" s="38"/>
      <c r="B358" s="38"/>
      <c r="C358" s="470"/>
      <c r="D358" s="470"/>
      <c r="E358" s="38"/>
      <c r="F358" s="38"/>
      <c r="G358" s="38"/>
      <c r="H358" s="38"/>
      <c r="I358" s="38"/>
      <c r="J358" s="38"/>
      <c r="K358" s="38"/>
      <c r="L358" s="38"/>
      <c r="N358" s="38"/>
      <c r="P358" s="38"/>
      <c r="Q358" s="38"/>
      <c r="R358" s="38"/>
    </row>
    <row r="359" spans="1:18" ht="19.5" customHeight="1" x14ac:dyDescent="0.25">
      <c r="A359" s="38"/>
      <c r="B359" s="38"/>
      <c r="C359" s="470"/>
      <c r="D359" s="470"/>
      <c r="E359" s="38"/>
      <c r="F359" s="38"/>
      <c r="G359" s="38"/>
      <c r="H359" s="38"/>
      <c r="I359" s="38"/>
      <c r="J359" s="38"/>
      <c r="K359" s="38"/>
      <c r="L359" s="38"/>
      <c r="N359" s="38"/>
      <c r="P359" s="38"/>
      <c r="Q359" s="38"/>
      <c r="R359" s="38"/>
    </row>
    <row r="360" spans="1:18" ht="19.5" customHeight="1" x14ac:dyDescent="0.25">
      <c r="A360" s="38"/>
      <c r="B360" s="38"/>
      <c r="C360" s="470"/>
      <c r="D360" s="470"/>
      <c r="E360" s="38"/>
      <c r="F360" s="38"/>
      <c r="G360" s="38"/>
      <c r="H360" s="38"/>
      <c r="I360" s="38"/>
      <c r="J360" s="38"/>
      <c r="K360" s="38"/>
      <c r="L360" s="38"/>
      <c r="N360" s="38"/>
      <c r="P360" s="38"/>
      <c r="Q360" s="38"/>
      <c r="R360" s="38"/>
    </row>
    <row r="361" spans="1:18" ht="19.5" customHeight="1" x14ac:dyDescent="0.25">
      <c r="A361" s="38"/>
      <c r="B361" s="38"/>
      <c r="C361" s="470"/>
      <c r="D361" s="470"/>
      <c r="E361" s="38"/>
      <c r="F361" s="38"/>
      <c r="G361" s="38"/>
      <c r="H361" s="38"/>
      <c r="I361" s="38"/>
      <c r="J361" s="38"/>
      <c r="K361" s="38"/>
      <c r="L361" s="38"/>
      <c r="N361" s="38"/>
      <c r="P361" s="38"/>
      <c r="Q361" s="38"/>
      <c r="R361" s="38"/>
    </row>
    <row r="362" spans="1:18" ht="19.5" customHeight="1" x14ac:dyDescent="0.25">
      <c r="A362" s="38"/>
      <c r="B362" s="38"/>
      <c r="C362" s="470"/>
      <c r="D362" s="470"/>
      <c r="E362" s="38"/>
      <c r="F362" s="38"/>
      <c r="G362" s="38"/>
      <c r="H362" s="38"/>
      <c r="I362" s="38"/>
      <c r="J362" s="38"/>
      <c r="K362" s="38"/>
      <c r="L362" s="38"/>
      <c r="N362" s="38"/>
      <c r="P362" s="38"/>
      <c r="Q362" s="38"/>
      <c r="R362" s="38"/>
    </row>
    <row r="363" spans="1:18" ht="19.5" customHeight="1" x14ac:dyDescent="0.25">
      <c r="A363" s="38"/>
      <c r="B363" s="38"/>
      <c r="C363" s="470"/>
      <c r="D363" s="470"/>
      <c r="E363" s="38"/>
      <c r="F363" s="38"/>
      <c r="G363" s="38"/>
      <c r="H363" s="38"/>
      <c r="I363" s="38"/>
      <c r="J363" s="38"/>
      <c r="K363" s="38"/>
      <c r="L363" s="38"/>
      <c r="N363" s="38"/>
      <c r="P363" s="38"/>
      <c r="Q363" s="38"/>
      <c r="R363" s="38"/>
    </row>
    <row r="364" spans="1:18" ht="19.5" customHeight="1" x14ac:dyDescent="0.25">
      <c r="A364" s="38"/>
      <c r="B364" s="38"/>
      <c r="C364" s="470"/>
      <c r="D364" s="470"/>
      <c r="E364" s="38"/>
      <c r="F364" s="38"/>
      <c r="G364" s="38"/>
      <c r="H364" s="38"/>
      <c r="I364" s="38"/>
      <c r="J364" s="38"/>
      <c r="K364" s="38"/>
      <c r="L364" s="38"/>
      <c r="N364" s="38"/>
      <c r="P364" s="38"/>
      <c r="Q364" s="38"/>
      <c r="R364" s="38"/>
    </row>
    <row r="365" spans="1:18" ht="19.5" customHeight="1" x14ac:dyDescent="0.25">
      <c r="A365" s="38"/>
      <c r="B365" s="38"/>
      <c r="C365" s="470"/>
      <c r="D365" s="470"/>
      <c r="E365" s="38"/>
      <c r="F365" s="38"/>
      <c r="G365" s="38"/>
      <c r="H365" s="38"/>
      <c r="I365" s="38"/>
      <c r="J365" s="38"/>
      <c r="K365" s="38"/>
      <c r="L365" s="38"/>
      <c r="N365" s="38"/>
      <c r="P365" s="38"/>
      <c r="Q365" s="38"/>
      <c r="R365" s="38"/>
    </row>
    <row r="366" spans="1:18" ht="19.5" customHeight="1" x14ac:dyDescent="0.25">
      <c r="A366" s="38"/>
      <c r="B366" s="38"/>
      <c r="C366" s="470"/>
      <c r="D366" s="470"/>
      <c r="E366" s="38"/>
      <c r="F366" s="38"/>
      <c r="G366" s="38"/>
      <c r="H366" s="38"/>
      <c r="I366" s="38"/>
      <c r="J366" s="38"/>
      <c r="K366" s="38"/>
      <c r="L366" s="38"/>
      <c r="N366" s="38"/>
      <c r="P366" s="38"/>
      <c r="Q366" s="38"/>
      <c r="R366" s="38"/>
    </row>
    <row r="367" spans="1:18" ht="19.5" customHeight="1" x14ac:dyDescent="0.25">
      <c r="A367" s="38"/>
      <c r="B367" s="38"/>
      <c r="C367" s="470"/>
      <c r="D367" s="470"/>
      <c r="E367" s="38"/>
      <c r="F367" s="38"/>
      <c r="G367" s="38"/>
      <c r="H367" s="38"/>
      <c r="I367" s="38"/>
      <c r="J367" s="38"/>
      <c r="K367" s="38"/>
      <c r="L367" s="38"/>
      <c r="N367" s="38"/>
      <c r="P367" s="38"/>
      <c r="Q367" s="38"/>
      <c r="R367" s="38"/>
    </row>
    <row r="368" spans="1:18" ht="19.5" customHeight="1" x14ac:dyDescent="0.25">
      <c r="A368" s="38"/>
      <c r="B368" s="38"/>
      <c r="C368" s="470"/>
      <c r="D368" s="470"/>
      <c r="E368" s="38"/>
      <c r="F368" s="38"/>
      <c r="G368" s="38"/>
      <c r="H368" s="38"/>
      <c r="I368" s="38"/>
      <c r="J368" s="38"/>
      <c r="K368" s="38"/>
      <c r="L368" s="38"/>
      <c r="N368" s="38"/>
      <c r="P368" s="38"/>
      <c r="Q368" s="38"/>
      <c r="R368" s="38"/>
    </row>
    <row r="369" spans="1:18" ht="19.5" customHeight="1" x14ac:dyDescent="0.25">
      <c r="A369" s="38"/>
      <c r="B369" s="38"/>
      <c r="C369" s="470"/>
      <c r="D369" s="470"/>
      <c r="E369" s="38"/>
      <c r="F369" s="38"/>
      <c r="G369" s="38"/>
      <c r="H369" s="38"/>
      <c r="I369" s="38"/>
      <c r="J369" s="38"/>
      <c r="K369" s="38"/>
      <c r="L369" s="38"/>
      <c r="N369" s="38"/>
      <c r="P369" s="38"/>
      <c r="Q369" s="38"/>
      <c r="R369" s="38"/>
    </row>
    <row r="370" spans="1:18" ht="19.5" customHeight="1" x14ac:dyDescent="0.25">
      <c r="A370" s="38"/>
      <c r="B370" s="38"/>
      <c r="C370" s="470"/>
      <c r="D370" s="470"/>
      <c r="E370" s="38"/>
      <c r="F370" s="38"/>
      <c r="G370" s="38"/>
      <c r="H370" s="38"/>
      <c r="I370" s="38"/>
      <c r="J370" s="38"/>
      <c r="K370" s="38"/>
      <c r="L370" s="38"/>
      <c r="N370" s="38"/>
      <c r="P370" s="38"/>
      <c r="Q370" s="38"/>
      <c r="R370" s="38"/>
    </row>
    <row r="371" spans="1:18" ht="19.5" customHeight="1" x14ac:dyDescent="0.25">
      <c r="A371" s="38"/>
      <c r="B371" s="38"/>
      <c r="C371" s="470"/>
      <c r="D371" s="470"/>
      <c r="E371" s="38"/>
      <c r="F371" s="38"/>
      <c r="G371" s="38"/>
      <c r="H371" s="38"/>
      <c r="I371" s="38"/>
      <c r="J371" s="38"/>
      <c r="K371" s="38"/>
      <c r="L371" s="38"/>
      <c r="N371" s="38"/>
      <c r="P371" s="38"/>
      <c r="Q371" s="38"/>
      <c r="R371" s="38"/>
    </row>
    <row r="372" spans="1:18" ht="19.5" customHeight="1" x14ac:dyDescent="0.25">
      <c r="A372" s="38"/>
      <c r="B372" s="38"/>
      <c r="C372" s="470"/>
      <c r="D372" s="470"/>
      <c r="E372" s="38"/>
      <c r="F372" s="38"/>
      <c r="G372" s="38"/>
      <c r="H372" s="38"/>
      <c r="I372" s="38"/>
      <c r="J372" s="38"/>
      <c r="K372" s="38"/>
      <c r="L372" s="38"/>
      <c r="N372" s="38"/>
      <c r="P372" s="38"/>
      <c r="Q372" s="38"/>
      <c r="R372" s="38"/>
    </row>
    <row r="373" spans="1:18" ht="19.5" customHeight="1" x14ac:dyDescent="0.25">
      <c r="A373" s="38"/>
      <c r="B373" s="38"/>
      <c r="C373" s="470"/>
      <c r="D373" s="470"/>
      <c r="E373" s="38"/>
      <c r="F373" s="38"/>
      <c r="G373" s="38"/>
      <c r="H373" s="38"/>
      <c r="I373" s="38"/>
      <c r="J373" s="38"/>
      <c r="K373" s="38"/>
      <c r="L373" s="38"/>
      <c r="N373" s="38"/>
      <c r="P373" s="38"/>
      <c r="Q373" s="38"/>
      <c r="R373" s="38"/>
    </row>
    <row r="374" spans="1:18" ht="19.5" customHeight="1" x14ac:dyDescent="0.25">
      <c r="A374" s="38"/>
      <c r="B374" s="38"/>
      <c r="C374" s="470"/>
      <c r="D374" s="470"/>
      <c r="E374" s="38"/>
      <c r="F374" s="38"/>
      <c r="G374" s="38"/>
      <c r="H374" s="38"/>
      <c r="I374" s="38"/>
      <c r="J374" s="38"/>
      <c r="K374" s="38"/>
      <c r="L374" s="38"/>
      <c r="N374" s="38"/>
      <c r="P374" s="38"/>
      <c r="Q374" s="38"/>
      <c r="R374" s="38"/>
    </row>
    <row r="375" spans="1:18" ht="19.5" customHeight="1" x14ac:dyDescent="0.25">
      <c r="A375" s="38"/>
      <c r="B375" s="38"/>
      <c r="C375" s="470"/>
      <c r="D375" s="470"/>
      <c r="E375" s="38"/>
      <c r="F375" s="38"/>
      <c r="G375" s="38"/>
      <c r="H375" s="38"/>
      <c r="I375" s="38"/>
      <c r="J375" s="38"/>
      <c r="K375" s="38"/>
      <c r="L375" s="38"/>
      <c r="N375" s="38"/>
      <c r="P375" s="38"/>
      <c r="Q375" s="38"/>
      <c r="R375" s="38"/>
    </row>
    <row r="376" spans="1:18" ht="19.5" customHeight="1" x14ac:dyDescent="0.25">
      <c r="A376" s="38"/>
      <c r="B376" s="38"/>
      <c r="C376" s="470"/>
      <c r="D376" s="470"/>
      <c r="E376" s="38"/>
      <c r="F376" s="38"/>
      <c r="G376" s="38"/>
      <c r="H376" s="38"/>
      <c r="I376" s="38"/>
      <c r="J376" s="38"/>
      <c r="K376" s="38"/>
      <c r="L376" s="38"/>
      <c r="N376" s="38"/>
      <c r="P376" s="38"/>
      <c r="Q376" s="38"/>
      <c r="R376" s="38"/>
    </row>
    <row r="377" spans="1:18" ht="19.5" customHeight="1" x14ac:dyDescent="0.25">
      <c r="A377" s="38"/>
      <c r="B377" s="38"/>
      <c r="C377" s="470"/>
      <c r="D377" s="470"/>
      <c r="E377" s="38"/>
      <c r="F377" s="38"/>
      <c r="G377" s="38"/>
      <c r="H377" s="38"/>
      <c r="I377" s="38"/>
      <c r="J377" s="38"/>
      <c r="K377" s="38"/>
      <c r="L377" s="38"/>
      <c r="N377" s="38"/>
      <c r="P377" s="38"/>
      <c r="Q377" s="38"/>
      <c r="R377" s="38"/>
    </row>
    <row r="378" spans="1:18" ht="19.5" customHeight="1" x14ac:dyDescent="0.25">
      <c r="A378" s="38"/>
      <c r="B378" s="38"/>
      <c r="C378" s="470"/>
      <c r="D378" s="470"/>
      <c r="E378" s="38"/>
      <c r="F378" s="38"/>
      <c r="G378" s="38"/>
      <c r="H378" s="38"/>
      <c r="I378" s="38"/>
      <c r="J378" s="38"/>
      <c r="K378" s="38"/>
      <c r="L378" s="38"/>
      <c r="N378" s="38"/>
      <c r="P378" s="38"/>
      <c r="Q378" s="38"/>
      <c r="R378" s="38"/>
    </row>
    <row r="379" spans="1:18" ht="19.5" customHeight="1" x14ac:dyDescent="0.25">
      <c r="A379" s="38"/>
      <c r="B379" s="38"/>
      <c r="C379" s="470"/>
      <c r="D379" s="470"/>
      <c r="E379" s="38"/>
      <c r="F379" s="38"/>
      <c r="G379" s="38"/>
      <c r="H379" s="38"/>
      <c r="I379" s="38"/>
      <c r="J379" s="38"/>
      <c r="K379" s="38"/>
      <c r="L379" s="38"/>
      <c r="N379" s="38"/>
      <c r="P379" s="38"/>
      <c r="Q379" s="38"/>
      <c r="R379" s="38"/>
    </row>
    <row r="380" spans="1:18" ht="19.5" customHeight="1" x14ac:dyDescent="0.25">
      <c r="A380" s="38"/>
      <c r="B380" s="38"/>
      <c r="C380" s="470"/>
      <c r="D380" s="470"/>
      <c r="E380" s="38"/>
      <c r="F380" s="38"/>
      <c r="G380" s="38"/>
      <c r="H380" s="38"/>
      <c r="I380" s="38"/>
      <c r="J380" s="38"/>
      <c r="K380" s="38"/>
      <c r="L380" s="38"/>
      <c r="N380" s="38"/>
      <c r="P380" s="38"/>
      <c r="Q380" s="38"/>
      <c r="R380" s="38"/>
    </row>
    <row r="381" spans="1:18" ht="19.5" customHeight="1" x14ac:dyDescent="0.25">
      <c r="A381" s="38"/>
      <c r="B381" s="38"/>
      <c r="C381" s="470"/>
      <c r="D381" s="470"/>
      <c r="E381" s="38"/>
      <c r="F381" s="38"/>
      <c r="G381" s="38"/>
      <c r="H381" s="38"/>
      <c r="I381" s="38"/>
      <c r="J381" s="38"/>
      <c r="K381" s="38"/>
      <c r="L381" s="38"/>
      <c r="N381" s="38"/>
      <c r="P381" s="38"/>
      <c r="Q381" s="38"/>
      <c r="R381" s="38"/>
    </row>
    <row r="382" spans="1:18" ht="19.5" customHeight="1" x14ac:dyDescent="0.25">
      <c r="A382" s="38"/>
      <c r="B382" s="38"/>
      <c r="C382" s="470"/>
      <c r="D382" s="470"/>
      <c r="E382" s="38"/>
      <c r="F382" s="38"/>
      <c r="G382" s="38"/>
      <c r="H382" s="38"/>
      <c r="I382" s="38"/>
      <c r="J382" s="38"/>
      <c r="K382" s="38"/>
      <c r="L382" s="38"/>
      <c r="N382" s="38"/>
      <c r="P382" s="38"/>
      <c r="Q382" s="38"/>
      <c r="R382" s="38"/>
    </row>
    <row r="383" spans="1:18" ht="19.5" customHeight="1" x14ac:dyDescent="0.25">
      <c r="A383" s="38"/>
      <c r="B383" s="38"/>
      <c r="C383" s="470"/>
      <c r="D383" s="470"/>
      <c r="E383" s="38"/>
      <c r="F383" s="38"/>
      <c r="G383" s="38"/>
      <c r="H383" s="38"/>
      <c r="I383" s="38"/>
      <c r="J383" s="38"/>
      <c r="K383" s="38"/>
      <c r="L383" s="38"/>
      <c r="N383" s="38"/>
      <c r="P383" s="38"/>
      <c r="Q383" s="38"/>
      <c r="R383" s="38"/>
    </row>
    <row r="384" spans="1:18" ht="19.5" customHeight="1" x14ac:dyDescent="0.25">
      <c r="A384" s="38"/>
      <c r="B384" s="38"/>
      <c r="C384" s="470"/>
      <c r="D384" s="470"/>
      <c r="E384" s="38"/>
      <c r="F384" s="38"/>
      <c r="G384" s="38"/>
      <c r="H384" s="38"/>
      <c r="I384" s="38"/>
      <c r="J384" s="38"/>
      <c r="K384" s="38"/>
      <c r="L384" s="38"/>
      <c r="N384" s="38"/>
      <c r="P384" s="38"/>
      <c r="Q384" s="38"/>
      <c r="R384" s="38"/>
    </row>
    <row r="385" spans="1:18" ht="19.5" customHeight="1" x14ac:dyDescent="0.25">
      <c r="A385" s="38"/>
      <c r="B385" s="38"/>
      <c r="C385" s="470"/>
      <c r="D385" s="470"/>
      <c r="E385" s="38"/>
      <c r="F385" s="38"/>
      <c r="G385" s="38"/>
      <c r="H385" s="38"/>
      <c r="I385" s="38"/>
      <c r="J385" s="38"/>
      <c r="K385" s="38"/>
      <c r="L385" s="38"/>
      <c r="N385" s="38"/>
      <c r="P385" s="38"/>
      <c r="Q385" s="38"/>
      <c r="R385" s="38"/>
    </row>
    <row r="386" spans="1:18" ht="19.5" customHeight="1" x14ac:dyDescent="0.25">
      <c r="A386" s="38"/>
      <c r="B386" s="38"/>
      <c r="C386" s="470"/>
      <c r="D386" s="470"/>
      <c r="E386" s="38"/>
      <c r="F386" s="38"/>
      <c r="G386" s="38"/>
      <c r="H386" s="38"/>
      <c r="I386" s="38"/>
      <c r="J386" s="38"/>
      <c r="K386" s="38"/>
      <c r="L386" s="38"/>
      <c r="N386" s="38"/>
      <c r="P386" s="38"/>
      <c r="Q386" s="38"/>
      <c r="R386" s="38"/>
    </row>
    <row r="387" spans="1:18" ht="19.5" customHeight="1" x14ac:dyDescent="0.25">
      <c r="A387" s="38"/>
      <c r="B387" s="38"/>
      <c r="C387" s="470"/>
      <c r="D387" s="470"/>
      <c r="E387" s="38"/>
      <c r="F387" s="38"/>
      <c r="G387" s="38"/>
      <c r="H387" s="38"/>
      <c r="I387" s="38"/>
      <c r="J387" s="38"/>
      <c r="K387" s="38"/>
      <c r="L387" s="38"/>
      <c r="N387" s="38"/>
      <c r="P387" s="38"/>
      <c r="Q387" s="38"/>
      <c r="R387" s="38"/>
    </row>
    <row r="388" spans="1:18" ht="19.5" customHeight="1" x14ac:dyDescent="0.25">
      <c r="A388" s="38"/>
      <c r="B388" s="38"/>
      <c r="C388" s="470"/>
      <c r="D388" s="470"/>
      <c r="E388" s="38"/>
      <c r="F388" s="38"/>
      <c r="G388" s="38"/>
      <c r="H388" s="38"/>
      <c r="I388" s="38"/>
      <c r="J388" s="38"/>
      <c r="K388" s="38"/>
      <c r="L388" s="38"/>
      <c r="N388" s="38"/>
      <c r="P388" s="38"/>
      <c r="Q388" s="38"/>
      <c r="R388" s="38"/>
    </row>
    <row r="389" spans="1:18" ht="19.5" customHeight="1" x14ac:dyDescent="0.25">
      <c r="A389" s="38"/>
      <c r="B389" s="38"/>
      <c r="C389" s="470"/>
      <c r="D389" s="470"/>
      <c r="E389" s="38"/>
      <c r="F389" s="38"/>
      <c r="G389" s="38"/>
      <c r="H389" s="38"/>
      <c r="I389" s="38"/>
      <c r="J389" s="38"/>
      <c r="K389" s="38"/>
      <c r="L389" s="38"/>
      <c r="N389" s="38"/>
      <c r="P389" s="38"/>
      <c r="Q389" s="38"/>
      <c r="R389" s="38"/>
    </row>
    <row r="390" spans="1:18" ht="19.5" customHeight="1" x14ac:dyDescent="0.25">
      <c r="A390" s="38"/>
      <c r="B390" s="38"/>
      <c r="C390" s="470"/>
      <c r="D390" s="470"/>
      <c r="E390" s="38"/>
      <c r="F390" s="38"/>
      <c r="G390" s="38"/>
      <c r="H390" s="38"/>
      <c r="I390" s="38"/>
      <c r="J390" s="38"/>
      <c r="K390" s="38"/>
      <c r="L390" s="38"/>
      <c r="N390" s="38"/>
      <c r="P390" s="38"/>
      <c r="Q390" s="38"/>
      <c r="R390" s="38"/>
    </row>
    <row r="391" spans="1:18" ht="19.5" customHeight="1" x14ac:dyDescent="0.25">
      <c r="A391" s="38"/>
      <c r="B391" s="38"/>
      <c r="C391" s="470"/>
      <c r="D391" s="470"/>
      <c r="E391" s="38"/>
      <c r="F391" s="38"/>
      <c r="G391" s="38"/>
      <c r="H391" s="38"/>
      <c r="I391" s="38"/>
      <c r="J391" s="38"/>
      <c r="K391" s="38"/>
      <c r="L391" s="38"/>
      <c r="N391" s="38"/>
      <c r="P391" s="38"/>
      <c r="Q391" s="38"/>
      <c r="R391" s="38"/>
    </row>
    <row r="392" spans="1:18" ht="19.5" customHeight="1" x14ac:dyDescent="0.25">
      <c r="A392" s="38"/>
      <c r="B392" s="38"/>
      <c r="C392" s="470"/>
      <c r="D392" s="470"/>
      <c r="E392" s="38"/>
      <c r="F392" s="38"/>
      <c r="G392" s="38"/>
      <c r="H392" s="38"/>
      <c r="I392" s="38"/>
      <c r="J392" s="38"/>
      <c r="K392" s="38"/>
      <c r="L392" s="38"/>
      <c r="N392" s="38"/>
      <c r="P392" s="38"/>
      <c r="Q392" s="38"/>
      <c r="R392" s="38"/>
    </row>
    <row r="393" spans="1:18" ht="19.5" customHeight="1" x14ac:dyDescent="0.25">
      <c r="A393" s="38"/>
      <c r="B393" s="38"/>
      <c r="C393" s="470"/>
      <c r="D393" s="470"/>
      <c r="E393" s="38"/>
      <c r="F393" s="38"/>
      <c r="G393" s="38"/>
      <c r="H393" s="38"/>
      <c r="I393" s="38"/>
      <c r="J393" s="38"/>
      <c r="K393" s="38"/>
      <c r="L393" s="38"/>
      <c r="N393" s="38"/>
      <c r="P393" s="38"/>
      <c r="Q393" s="38"/>
      <c r="R393" s="38"/>
    </row>
    <row r="394" spans="1:18" ht="19.5" customHeight="1" x14ac:dyDescent="0.25">
      <c r="A394" s="38"/>
      <c r="B394" s="38"/>
      <c r="C394" s="470"/>
      <c r="D394" s="470"/>
      <c r="E394" s="38"/>
      <c r="F394" s="38"/>
      <c r="G394" s="38"/>
      <c r="H394" s="38"/>
      <c r="I394" s="38"/>
      <c r="J394" s="38"/>
      <c r="K394" s="38"/>
      <c r="L394" s="38"/>
      <c r="N394" s="38"/>
      <c r="P394" s="38"/>
      <c r="Q394" s="38"/>
      <c r="R394" s="38"/>
    </row>
    <row r="395" spans="1:18" ht="19.5" customHeight="1" x14ac:dyDescent="0.25">
      <c r="A395" s="38"/>
      <c r="B395" s="38"/>
      <c r="C395" s="470"/>
      <c r="D395" s="470"/>
      <c r="E395" s="38"/>
      <c r="F395" s="38"/>
      <c r="G395" s="38"/>
      <c r="H395" s="38"/>
      <c r="I395" s="38"/>
      <c r="J395" s="38"/>
      <c r="K395" s="38"/>
      <c r="L395" s="38"/>
      <c r="N395" s="38"/>
      <c r="P395" s="38"/>
      <c r="Q395" s="38"/>
      <c r="R395" s="38"/>
    </row>
    <row r="396" spans="1:18" ht="19.5" customHeight="1" x14ac:dyDescent="0.25">
      <c r="A396" s="38"/>
      <c r="B396" s="38"/>
      <c r="C396" s="470"/>
      <c r="D396" s="470"/>
      <c r="E396" s="38"/>
      <c r="F396" s="38"/>
      <c r="G396" s="38"/>
      <c r="H396" s="38"/>
      <c r="I396" s="38"/>
      <c r="J396" s="38"/>
      <c r="K396" s="38"/>
      <c r="L396" s="38"/>
      <c r="N396" s="38"/>
      <c r="P396" s="38"/>
      <c r="Q396" s="38"/>
      <c r="R396" s="38"/>
    </row>
    <row r="397" spans="1:18" ht="19.5" customHeight="1" x14ac:dyDescent="0.25">
      <c r="A397" s="38"/>
      <c r="B397" s="38"/>
      <c r="C397" s="470"/>
      <c r="D397" s="470"/>
      <c r="E397" s="38"/>
      <c r="F397" s="38"/>
      <c r="G397" s="38"/>
      <c r="H397" s="38"/>
      <c r="I397" s="38"/>
      <c r="J397" s="38"/>
      <c r="K397" s="38"/>
      <c r="L397" s="38"/>
      <c r="N397" s="38"/>
      <c r="P397" s="38"/>
      <c r="Q397" s="38"/>
      <c r="R397" s="38"/>
    </row>
    <row r="398" spans="1:18" ht="19.5" customHeight="1" x14ac:dyDescent="0.25">
      <c r="A398" s="38"/>
      <c r="B398" s="38"/>
      <c r="C398" s="470"/>
      <c r="D398" s="470"/>
      <c r="E398" s="38"/>
      <c r="F398" s="38"/>
      <c r="G398" s="38"/>
      <c r="H398" s="38"/>
      <c r="I398" s="38"/>
      <c r="J398" s="38"/>
      <c r="K398" s="38"/>
      <c r="L398" s="38"/>
      <c r="N398" s="38"/>
      <c r="P398" s="38"/>
      <c r="Q398" s="38"/>
      <c r="R398" s="38"/>
    </row>
    <row r="399" spans="1:18" ht="19.5" customHeight="1" x14ac:dyDescent="0.25">
      <c r="A399" s="38"/>
      <c r="B399" s="38"/>
      <c r="C399" s="470"/>
      <c r="D399" s="470"/>
      <c r="E399" s="38"/>
      <c r="F399" s="38"/>
      <c r="G399" s="38"/>
      <c r="H399" s="38"/>
      <c r="I399" s="38"/>
      <c r="J399" s="38"/>
      <c r="K399" s="38"/>
      <c r="L399" s="38"/>
      <c r="N399" s="38"/>
      <c r="P399" s="38"/>
      <c r="Q399" s="38"/>
      <c r="R399" s="38"/>
    </row>
    <row r="400" spans="1:18" ht="19.5" customHeight="1" x14ac:dyDescent="0.25">
      <c r="A400" s="38"/>
      <c r="B400" s="38"/>
      <c r="C400" s="470"/>
      <c r="D400" s="470"/>
      <c r="E400" s="38"/>
      <c r="F400" s="38"/>
      <c r="G400" s="38"/>
      <c r="H400" s="38"/>
      <c r="I400" s="38"/>
      <c r="J400" s="38"/>
      <c r="K400" s="38"/>
      <c r="L400" s="38"/>
      <c r="N400" s="38"/>
      <c r="P400" s="38"/>
      <c r="Q400" s="38"/>
      <c r="R400" s="38"/>
    </row>
    <row r="401" spans="1:18" ht="19.5" customHeight="1" x14ac:dyDescent="0.25">
      <c r="A401" s="38"/>
      <c r="B401" s="38"/>
      <c r="C401" s="470"/>
      <c r="D401" s="470"/>
      <c r="E401" s="38"/>
      <c r="F401" s="38"/>
      <c r="G401" s="38"/>
      <c r="H401" s="38"/>
      <c r="I401" s="38"/>
      <c r="J401" s="38"/>
      <c r="K401" s="38"/>
      <c r="L401" s="38"/>
      <c r="N401" s="38"/>
      <c r="P401" s="38"/>
      <c r="Q401" s="38"/>
      <c r="R401" s="38"/>
    </row>
    <row r="402" spans="1:18" ht="19.5" customHeight="1" x14ac:dyDescent="0.25">
      <c r="A402" s="38"/>
      <c r="B402" s="38"/>
      <c r="C402" s="470"/>
      <c r="D402" s="470"/>
      <c r="E402" s="38"/>
      <c r="F402" s="38"/>
      <c r="G402" s="38"/>
      <c r="H402" s="38"/>
      <c r="I402" s="38"/>
      <c r="J402" s="38"/>
      <c r="K402" s="38"/>
      <c r="L402" s="38"/>
      <c r="N402" s="38"/>
      <c r="P402" s="38"/>
      <c r="Q402" s="38"/>
      <c r="R402" s="38"/>
    </row>
    <row r="403" spans="1:18" ht="19.5" customHeight="1" x14ac:dyDescent="0.25">
      <c r="A403" s="38"/>
      <c r="B403" s="38"/>
      <c r="C403" s="470"/>
      <c r="D403" s="470"/>
      <c r="E403" s="38"/>
      <c r="F403" s="38"/>
      <c r="G403" s="38"/>
      <c r="H403" s="38"/>
      <c r="I403" s="38"/>
      <c r="J403" s="38"/>
      <c r="K403" s="38"/>
      <c r="L403" s="38"/>
      <c r="N403" s="38"/>
      <c r="P403" s="38"/>
      <c r="Q403" s="38"/>
      <c r="R403" s="38"/>
    </row>
    <row r="404" spans="1:18" ht="19.5" customHeight="1" x14ac:dyDescent="0.25">
      <c r="A404" s="38"/>
      <c r="B404" s="38"/>
      <c r="C404" s="470"/>
      <c r="D404" s="470"/>
      <c r="E404" s="38"/>
      <c r="F404" s="38"/>
      <c r="G404" s="38"/>
      <c r="H404" s="38"/>
      <c r="I404" s="38"/>
      <c r="J404" s="38"/>
      <c r="K404" s="38"/>
      <c r="L404" s="38"/>
      <c r="N404" s="38"/>
      <c r="P404" s="38"/>
      <c r="Q404" s="38"/>
      <c r="R404" s="38"/>
    </row>
    <row r="405" spans="1:18" ht="19.5" customHeight="1" x14ac:dyDescent="0.25">
      <c r="A405" s="38"/>
      <c r="B405" s="38"/>
      <c r="C405" s="470"/>
      <c r="D405" s="470"/>
      <c r="E405" s="38"/>
      <c r="F405" s="38"/>
      <c r="G405" s="38"/>
      <c r="H405" s="38"/>
      <c r="I405" s="38"/>
      <c r="J405" s="38"/>
      <c r="K405" s="38"/>
      <c r="L405" s="38"/>
      <c r="N405" s="38"/>
      <c r="P405" s="38"/>
      <c r="Q405" s="38"/>
      <c r="R405" s="38"/>
    </row>
    <row r="406" spans="1:18" ht="19.5" customHeight="1" x14ac:dyDescent="0.25">
      <c r="A406" s="38"/>
      <c r="B406" s="38"/>
      <c r="C406" s="470"/>
      <c r="D406" s="470"/>
      <c r="E406" s="38"/>
      <c r="F406" s="38"/>
      <c r="G406" s="38"/>
      <c r="H406" s="38"/>
      <c r="I406" s="38"/>
      <c r="J406" s="38"/>
      <c r="K406" s="38"/>
      <c r="L406" s="38"/>
      <c r="N406" s="38"/>
      <c r="P406" s="38"/>
      <c r="Q406" s="38"/>
      <c r="R406" s="38"/>
    </row>
    <row r="407" spans="1:18" ht="19.5" customHeight="1" x14ac:dyDescent="0.25">
      <c r="A407" s="38"/>
      <c r="B407" s="38"/>
      <c r="C407" s="470"/>
      <c r="D407" s="470"/>
      <c r="E407" s="38"/>
      <c r="F407" s="38"/>
      <c r="G407" s="38"/>
      <c r="H407" s="38"/>
      <c r="I407" s="38"/>
      <c r="J407" s="38"/>
      <c r="K407" s="38"/>
      <c r="L407" s="38"/>
      <c r="N407" s="38"/>
      <c r="P407" s="38"/>
      <c r="Q407" s="38"/>
      <c r="R407" s="38"/>
    </row>
    <row r="408" spans="1:18" ht="19.5" customHeight="1" x14ac:dyDescent="0.25">
      <c r="A408" s="38"/>
      <c r="B408" s="38"/>
      <c r="C408" s="470"/>
      <c r="D408" s="470"/>
      <c r="E408" s="38"/>
      <c r="F408" s="38"/>
      <c r="G408" s="38"/>
      <c r="H408" s="38"/>
      <c r="I408" s="38"/>
      <c r="J408" s="38"/>
      <c r="K408" s="38"/>
      <c r="L408" s="38"/>
      <c r="N408" s="38"/>
      <c r="P408" s="38"/>
      <c r="Q408" s="38"/>
      <c r="R408" s="38"/>
    </row>
    <row r="409" spans="1:18" ht="19.5" customHeight="1" x14ac:dyDescent="0.25">
      <c r="A409" s="38"/>
      <c r="B409" s="38"/>
      <c r="C409" s="470"/>
      <c r="D409" s="470"/>
      <c r="E409" s="38"/>
      <c r="F409" s="38"/>
      <c r="G409" s="38"/>
      <c r="H409" s="38"/>
      <c r="I409" s="38"/>
      <c r="J409" s="38"/>
      <c r="K409" s="38"/>
      <c r="L409" s="38"/>
      <c r="N409" s="38"/>
      <c r="P409" s="38"/>
      <c r="Q409" s="38"/>
      <c r="R409" s="38"/>
    </row>
    <row r="410" spans="1:18" ht="19.5" customHeight="1" x14ac:dyDescent="0.25">
      <c r="A410" s="38"/>
      <c r="B410" s="38"/>
      <c r="C410" s="470"/>
      <c r="D410" s="470"/>
      <c r="E410" s="38"/>
      <c r="F410" s="38"/>
      <c r="G410" s="38"/>
      <c r="H410" s="38"/>
      <c r="I410" s="38"/>
      <c r="J410" s="38"/>
      <c r="K410" s="38"/>
      <c r="L410" s="38"/>
      <c r="N410" s="38"/>
      <c r="P410" s="38"/>
      <c r="Q410" s="38"/>
      <c r="R410" s="38"/>
    </row>
    <row r="411" spans="1:18" ht="19.5" customHeight="1" x14ac:dyDescent="0.25">
      <c r="A411" s="38"/>
      <c r="B411" s="38"/>
      <c r="C411" s="470"/>
      <c r="D411" s="470"/>
      <c r="E411" s="38"/>
      <c r="F411" s="38"/>
      <c r="G411" s="38"/>
      <c r="H411" s="38"/>
      <c r="I411" s="38"/>
      <c r="J411" s="38"/>
      <c r="K411" s="38"/>
      <c r="L411" s="38"/>
      <c r="N411" s="38"/>
      <c r="P411" s="38"/>
      <c r="Q411" s="38"/>
      <c r="R411" s="38"/>
    </row>
    <row r="412" spans="1:18" ht="19.5" customHeight="1" x14ac:dyDescent="0.25">
      <c r="A412" s="38"/>
      <c r="B412" s="38"/>
      <c r="C412" s="470"/>
      <c r="D412" s="470"/>
      <c r="E412" s="38"/>
      <c r="F412" s="38"/>
      <c r="G412" s="38"/>
      <c r="H412" s="38"/>
      <c r="I412" s="38"/>
      <c r="J412" s="38"/>
      <c r="K412" s="38"/>
      <c r="L412" s="38"/>
      <c r="N412" s="38"/>
      <c r="P412" s="38"/>
      <c r="Q412" s="38"/>
      <c r="R412" s="38"/>
    </row>
    <row r="413" spans="1:18" ht="19.5" customHeight="1" x14ac:dyDescent="0.25">
      <c r="A413" s="38"/>
      <c r="B413" s="38"/>
      <c r="C413" s="470"/>
      <c r="D413" s="470"/>
      <c r="E413" s="38"/>
      <c r="F413" s="38"/>
      <c r="G413" s="38"/>
      <c r="H413" s="38"/>
      <c r="I413" s="38"/>
      <c r="J413" s="38"/>
      <c r="K413" s="38"/>
      <c r="L413" s="38"/>
      <c r="N413" s="38"/>
      <c r="P413" s="38"/>
      <c r="Q413" s="38"/>
      <c r="R413" s="38"/>
    </row>
    <row r="414" spans="1:18" ht="19.5" customHeight="1" x14ac:dyDescent="0.25">
      <c r="A414" s="38"/>
      <c r="B414" s="38"/>
      <c r="C414" s="470"/>
      <c r="D414" s="470"/>
      <c r="E414" s="38"/>
      <c r="F414" s="38"/>
      <c r="G414" s="38"/>
      <c r="H414" s="38"/>
      <c r="I414" s="38"/>
      <c r="J414" s="38"/>
      <c r="K414" s="38"/>
      <c r="L414" s="38"/>
      <c r="N414" s="38"/>
      <c r="P414" s="38"/>
      <c r="Q414" s="38"/>
      <c r="R414" s="38"/>
    </row>
    <row r="415" spans="1:18" ht="19.5" customHeight="1" x14ac:dyDescent="0.25">
      <c r="A415" s="38"/>
      <c r="B415" s="38"/>
      <c r="C415" s="470"/>
      <c r="D415" s="470"/>
      <c r="E415" s="38"/>
      <c r="F415" s="38"/>
      <c r="G415" s="38"/>
      <c r="H415" s="38"/>
      <c r="I415" s="38"/>
      <c r="J415" s="38"/>
      <c r="K415" s="38"/>
      <c r="L415" s="38"/>
      <c r="N415" s="38"/>
      <c r="P415" s="38"/>
      <c r="Q415" s="38"/>
      <c r="R415" s="38"/>
    </row>
    <row r="416" spans="1:18" ht="19.5" customHeight="1" x14ac:dyDescent="0.25">
      <c r="A416" s="38"/>
      <c r="B416" s="38"/>
      <c r="C416" s="470"/>
      <c r="D416" s="470"/>
      <c r="E416" s="38"/>
      <c r="F416" s="38"/>
      <c r="G416" s="38"/>
      <c r="H416" s="38"/>
      <c r="I416" s="38"/>
      <c r="J416" s="38"/>
      <c r="K416" s="38"/>
      <c r="L416" s="38"/>
      <c r="N416" s="38"/>
      <c r="P416" s="38"/>
      <c r="Q416" s="38"/>
      <c r="R416" s="38"/>
    </row>
    <row r="417" spans="1:18" ht="19.5" customHeight="1" x14ac:dyDescent="0.25">
      <c r="A417" s="38"/>
      <c r="B417" s="38"/>
      <c r="C417" s="470"/>
      <c r="D417" s="470"/>
      <c r="E417" s="38"/>
      <c r="F417" s="38"/>
      <c r="G417" s="38"/>
      <c r="H417" s="38"/>
      <c r="I417" s="38"/>
      <c r="J417" s="38"/>
      <c r="K417" s="38"/>
      <c r="L417" s="38"/>
      <c r="N417" s="38"/>
      <c r="P417" s="38"/>
      <c r="Q417" s="38"/>
      <c r="R417" s="38"/>
    </row>
    <row r="418" spans="1:18" ht="19.5" customHeight="1" x14ac:dyDescent="0.25">
      <c r="A418" s="38"/>
      <c r="B418" s="38"/>
      <c r="C418" s="470"/>
      <c r="D418" s="470"/>
      <c r="E418" s="38"/>
      <c r="F418" s="38"/>
      <c r="G418" s="38"/>
      <c r="H418" s="38"/>
      <c r="I418" s="38"/>
      <c r="J418" s="38"/>
      <c r="K418" s="38"/>
      <c r="L418" s="38"/>
      <c r="N418" s="38"/>
      <c r="P418" s="38"/>
      <c r="Q418" s="38"/>
      <c r="R418" s="38"/>
    </row>
    <row r="419" spans="1:18" ht="19.5" customHeight="1" x14ac:dyDescent="0.25">
      <c r="A419" s="38"/>
      <c r="B419" s="38"/>
      <c r="C419" s="470"/>
      <c r="D419" s="470"/>
      <c r="E419" s="38"/>
      <c r="F419" s="38"/>
      <c r="G419" s="38"/>
      <c r="H419" s="38"/>
      <c r="I419" s="38"/>
      <c r="J419" s="38"/>
      <c r="K419" s="38"/>
      <c r="L419" s="38"/>
      <c r="N419" s="38"/>
      <c r="P419" s="38"/>
      <c r="Q419" s="38"/>
      <c r="R419" s="38"/>
    </row>
    <row r="420" spans="1:18" ht="19.5" customHeight="1" x14ac:dyDescent="0.25">
      <c r="A420" s="38"/>
      <c r="B420" s="38"/>
      <c r="C420" s="470"/>
      <c r="D420" s="470"/>
      <c r="E420" s="38"/>
      <c r="F420" s="38"/>
      <c r="G420" s="38"/>
      <c r="H420" s="38"/>
      <c r="I420" s="38"/>
      <c r="J420" s="38"/>
      <c r="K420" s="38"/>
      <c r="L420" s="38"/>
      <c r="N420" s="38"/>
      <c r="P420" s="38"/>
      <c r="Q420" s="38"/>
      <c r="R420" s="38"/>
    </row>
    <row r="421" spans="1:18" ht="19.5" customHeight="1" x14ac:dyDescent="0.25">
      <c r="A421" s="38"/>
      <c r="B421" s="38"/>
      <c r="C421" s="470"/>
      <c r="D421" s="470"/>
      <c r="E421" s="38"/>
      <c r="F421" s="38"/>
      <c r="G421" s="38"/>
      <c r="H421" s="38"/>
      <c r="I421" s="38"/>
      <c r="J421" s="38"/>
      <c r="K421" s="38"/>
      <c r="L421" s="38"/>
      <c r="N421" s="38"/>
      <c r="P421" s="38"/>
      <c r="Q421" s="38"/>
      <c r="R421" s="38"/>
    </row>
    <row r="422" spans="1:18" ht="19.5" customHeight="1" x14ac:dyDescent="0.25">
      <c r="A422" s="38"/>
      <c r="B422" s="38"/>
      <c r="C422" s="470"/>
      <c r="D422" s="470"/>
      <c r="E422" s="38"/>
      <c r="F422" s="38"/>
      <c r="G422" s="38"/>
      <c r="H422" s="38"/>
      <c r="I422" s="38"/>
      <c r="J422" s="38"/>
      <c r="K422" s="38"/>
      <c r="L422" s="38"/>
      <c r="N422" s="38"/>
      <c r="P422" s="38"/>
      <c r="Q422" s="38"/>
      <c r="R422" s="38"/>
    </row>
    <row r="423" spans="1:18" ht="19.5" customHeight="1" x14ac:dyDescent="0.25">
      <c r="A423" s="38"/>
      <c r="B423" s="38"/>
      <c r="C423" s="470"/>
      <c r="D423" s="470"/>
      <c r="E423" s="38"/>
      <c r="F423" s="38"/>
      <c r="G423" s="38"/>
      <c r="H423" s="38"/>
      <c r="I423" s="38"/>
      <c r="J423" s="38"/>
      <c r="K423" s="38"/>
      <c r="L423" s="38"/>
      <c r="N423" s="38"/>
      <c r="P423" s="38"/>
      <c r="Q423" s="38"/>
      <c r="R423" s="38"/>
    </row>
    <row r="424" spans="1:18" ht="19.5" customHeight="1" x14ac:dyDescent="0.25">
      <c r="A424" s="38"/>
      <c r="B424" s="38"/>
      <c r="C424" s="470"/>
      <c r="D424" s="470"/>
      <c r="E424" s="38"/>
      <c r="F424" s="38"/>
      <c r="G424" s="38"/>
      <c r="H424" s="38"/>
      <c r="I424" s="38"/>
      <c r="J424" s="38"/>
      <c r="K424" s="38"/>
      <c r="L424" s="38"/>
      <c r="N424" s="38"/>
      <c r="P424" s="38"/>
      <c r="Q424" s="38"/>
      <c r="R424" s="38"/>
    </row>
    <row r="425" spans="1:18" ht="19.5" customHeight="1" x14ac:dyDescent="0.25">
      <c r="A425" s="38"/>
      <c r="B425" s="38"/>
      <c r="C425" s="470"/>
      <c r="D425" s="470"/>
      <c r="E425" s="38"/>
      <c r="F425" s="38"/>
      <c r="G425" s="38"/>
      <c r="H425" s="38"/>
      <c r="I425" s="38"/>
      <c r="J425" s="38"/>
      <c r="K425" s="38"/>
      <c r="L425" s="38"/>
      <c r="N425" s="38"/>
      <c r="P425" s="38"/>
      <c r="Q425" s="38"/>
      <c r="R425" s="38"/>
    </row>
    <row r="426" spans="1:18" ht="19.5" customHeight="1" x14ac:dyDescent="0.25">
      <c r="A426" s="38"/>
      <c r="B426" s="38"/>
      <c r="C426" s="470"/>
      <c r="D426" s="470"/>
      <c r="E426" s="38"/>
      <c r="F426" s="38"/>
      <c r="G426" s="38"/>
      <c r="H426" s="38"/>
      <c r="I426" s="38"/>
      <c r="J426" s="38"/>
      <c r="K426" s="38"/>
      <c r="L426" s="38"/>
      <c r="N426" s="38"/>
      <c r="P426" s="38"/>
      <c r="Q426" s="38"/>
      <c r="R426" s="38"/>
    </row>
    <row r="427" spans="1:18" ht="19.5" customHeight="1" x14ac:dyDescent="0.25">
      <c r="A427" s="38"/>
      <c r="B427" s="38"/>
      <c r="C427" s="470"/>
      <c r="D427" s="470"/>
      <c r="E427" s="38"/>
      <c r="F427" s="38"/>
      <c r="G427" s="38"/>
      <c r="H427" s="38"/>
      <c r="I427" s="38"/>
      <c r="J427" s="38"/>
      <c r="K427" s="38"/>
      <c r="L427" s="38"/>
      <c r="N427" s="38"/>
      <c r="P427" s="38"/>
      <c r="Q427" s="38"/>
      <c r="R427" s="38"/>
    </row>
    <row r="428" spans="1:18" ht="19.5" customHeight="1" x14ac:dyDescent="0.25">
      <c r="A428" s="38"/>
      <c r="B428" s="38"/>
      <c r="C428" s="470"/>
      <c r="D428" s="470"/>
      <c r="E428" s="38"/>
      <c r="F428" s="38"/>
      <c r="G428" s="38"/>
      <c r="H428" s="38"/>
      <c r="I428" s="38"/>
      <c r="J428" s="38"/>
      <c r="K428" s="38"/>
      <c r="L428" s="38"/>
      <c r="N428" s="38"/>
      <c r="P428" s="38"/>
      <c r="Q428" s="38"/>
      <c r="R428" s="38"/>
    </row>
    <row r="429" spans="1:18" ht="19.5" customHeight="1" x14ac:dyDescent="0.25">
      <c r="A429" s="38"/>
      <c r="B429" s="38"/>
      <c r="C429" s="470"/>
      <c r="D429" s="470"/>
      <c r="E429" s="38"/>
      <c r="F429" s="38"/>
      <c r="G429" s="38"/>
      <c r="H429" s="38"/>
      <c r="I429" s="38"/>
      <c r="J429" s="38"/>
      <c r="K429" s="38"/>
      <c r="L429" s="38"/>
      <c r="N429" s="38"/>
      <c r="P429" s="38"/>
      <c r="Q429" s="38"/>
      <c r="R429" s="38"/>
    </row>
    <row r="430" spans="1:18" ht="19.5" customHeight="1" x14ac:dyDescent="0.25">
      <c r="A430" s="38"/>
      <c r="B430" s="38"/>
      <c r="C430" s="470"/>
      <c r="D430" s="470"/>
      <c r="E430" s="38"/>
      <c r="F430" s="38"/>
      <c r="G430" s="38"/>
      <c r="H430" s="38"/>
      <c r="I430" s="38"/>
      <c r="J430" s="38"/>
      <c r="K430" s="38"/>
      <c r="L430" s="38"/>
      <c r="N430" s="38"/>
      <c r="P430" s="38"/>
      <c r="Q430" s="38"/>
      <c r="R430" s="38"/>
    </row>
    <row r="431" spans="1:18" ht="19.5" customHeight="1" x14ac:dyDescent="0.25">
      <c r="A431" s="38"/>
      <c r="B431" s="38"/>
      <c r="C431" s="470"/>
      <c r="D431" s="470"/>
      <c r="E431" s="38"/>
      <c r="F431" s="38"/>
      <c r="G431" s="38"/>
      <c r="H431" s="38"/>
      <c r="I431" s="38"/>
      <c r="J431" s="38"/>
      <c r="K431" s="38"/>
      <c r="L431" s="38"/>
      <c r="N431" s="38"/>
      <c r="P431" s="38"/>
      <c r="Q431" s="38"/>
      <c r="R431" s="38"/>
    </row>
    <row r="432" spans="1:18" ht="19.5" customHeight="1" x14ac:dyDescent="0.25">
      <c r="A432" s="38"/>
      <c r="B432" s="38"/>
      <c r="C432" s="470"/>
      <c r="D432" s="470"/>
      <c r="E432" s="38"/>
      <c r="F432" s="38"/>
      <c r="G432" s="38"/>
      <c r="H432" s="38"/>
      <c r="I432" s="38"/>
      <c r="J432" s="38"/>
      <c r="K432" s="38"/>
      <c r="L432" s="38"/>
      <c r="N432" s="38"/>
      <c r="P432" s="38"/>
      <c r="Q432" s="38"/>
      <c r="R432" s="38"/>
    </row>
    <row r="433" spans="1:18" ht="19.5" customHeight="1" x14ac:dyDescent="0.25">
      <c r="A433" s="38"/>
      <c r="B433" s="38"/>
      <c r="C433" s="470"/>
      <c r="D433" s="470"/>
      <c r="E433" s="38"/>
      <c r="F433" s="38"/>
      <c r="G433" s="38"/>
      <c r="H433" s="38"/>
      <c r="I433" s="38"/>
      <c r="J433" s="38"/>
      <c r="K433" s="38"/>
      <c r="L433" s="38"/>
      <c r="N433" s="38"/>
      <c r="P433" s="38"/>
      <c r="Q433" s="38"/>
      <c r="R433" s="38"/>
    </row>
    <row r="434" spans="1:18" ht="19.5" customHeight="1" x14ac:dyDescent="0.25">
      <c r="A434" s="38"/>
      <c r="B434" s="38"/>
      <c r="C434" s="470"/>
      <c r="D434" s="470"/>
      <c r="E434" s="38"/>
      <c r="F434" s="38"/>
      <c r="G434" s="38"/>
      <c r="H434" s="38"/>
      <c r="I434" s="38"/>
      <c r="J434" s="38"/>
      <c r="K434" s="38"/>
      <c r="L434" s="38"/>
      <c r="N434" s="38"/>
      <c r="P434" s="38"/>
      <c r="Q434" s="38"/>
      <c r="R434" s="38"/>
    </row>
    <row r="435" spans="1:18" ht="19.5" customHeight="1" x14ac:dyDescent="0.25">
      <c r="A435" s="38"/>
      <c r="B435" s="38"/>
      <c r="C435" s="470"/>
      <c r="D435" s="470"/>
      <c r="E435" s="38"/>
      <c r="F435" s="38"/>
      <c r="G435" s="38"/>
      <c r="H435" s="38"/>
      <c r="I435" s="38"/>
      <c r="J435" s="38"/>
      <c r="K435" s="38"/>
      <c r="L435" s="38"/>
      <c r="N435" s="38"/>
      <c r="P435" s="38"/>
      <c r="Q435" s="38"/>
      <c r="R435" s="38"/>
    </row>
    <row r="436" spans="1:18" ht="19.5" customHeight="1" x14ac:dyDescent="0.25">
      <c r="A436" s="38"/>
      <c r="B436" s="38"/>
      <c r="C436" s="470"/>
      <c r="D436" s="470"/>
      <c r="E436" s="38"/>
      <c r="F436" s="38"/>
      <c r="G436" s="38"/>
      <c r="H436" s="38"/>
      <c r="I436" s="38"/>
      <c r="J436" s="38"/>
      <c r="K436" s="38"/>
      <c r="L436" s="38"/>
      <c r="N436" s="38"/>
      <c r="P436" s="38"/>
      <c r="Q436" s="38"/>
      <c r="R436" s="38"/>
    </row>
    <row r="437" spans="1:18" ht="19.5" customHeight="1" x14ac:dyDescent="0.25">
      <c r="A437" s="38"/>
      <c r="B437" s="38"/>
      <c r="C437" s="470"/>
      <c r="D437" s="470"/>
      <c r="E437" s="38"/>
      <c r="F437" s="38"/>
      <c r="G437" s="38"/>
      <c r="H437" s="38"/>
      <c r="I437" s="38"/>
      <c r="J437" s="38"/>
      <c r="K437" s="38"/>
      <c r="L437" s="38"/>
      <c r="N437" s="38"/>
      <c r="P437" s="38"/>
      <c r="Q437" s="38"/>
      <c r="R437" s="38"/>
    </row>
    <row r="438" spans="1:18" ht="19.5" customHeight="1" x14ac:dyDescent="0.25">
      <c r="A438" s="38"/>
      <c r="B438" s="38"/>
      <c r="C438" s="470"/>
      <c r="D438" s="470"/>
      <c r="E438" s="38"/>
      <c r="F438" s="38"/>
      <c r="G438" s="38"/>
      <c r="H438" s="38"/>
      <c r="I438" s="38"/>
      <c r="J438" s="38"/>
      <c r="K438" s="38"/>
      <c r="L438" s="38"/>
      <c r="N438" s="38"/>
      <c r="P438" s="38"/>
      <c r="Q438" s="38"/>
      <c r="R438" s="38"/>
    </row>
    <row r="439" spans="1:18" ht="19.5" customHeight="1" x14ac:dyDescent="0.25">
      <c r="A439" s="38"/>
      <c r="B439" s="38"/>
      <c r="C439" s="470"/>
      <c r="D439" s="470"/>
      <c r="E439" s="38"/>
      <c r="F439" s="38"/>
      <c r="G439" s="38"/>
      <c r="H439" s="38"/>
      <c r="I439" s="38"/>
      <c r="J439" s="38"/>
      <c r="K439" s="38"/>
      <c r="L439" s="38"/>
      <c r="N439" s="38"/>
      <c r="P439" s="38"/>
      <c r="Q439" s="38"/>
      <c r="R439" s="38"/>
    </row>
    <row r="440" spans="1:18" ht="19.5" customHeight="1" x14ac:dyDescent="0.25">
      <c r="A440" s="38"/>
      <c r="B440" s="38"/>
      <c r="C440" s="470"/>
      <c r="D440" s="470"/>
      <c r="E440" s="38"/>
      <c r="F440" s="38"/>
      <c r="G440" s="38"/>
      <c r="H440" s="38"/>
      <c r="I440" s="38"/>
      <c r="J440" s="38"/>
      <c r="K440" s="38"/>
      <c r="L440" s="38"/>
      <c r="N440" s="38"/>
      <c r="P440" s="38"/>
      <c r="Q440" s="38"/>
      <c r="R440" s="38"/>
    </row>
    <row r="441" spans="1:18" ht="19.5" customHeight="1" x14ac:dyDescent="0.25">
      <c r="A441" s="38"/>
      <c r="B441" s="38"/>
      <c r="C441" s="470"/>
      <c r="D441" s="470"/>
      <c r="E441" s="38"/>
      <c r="F441" s="38"/>
      <c r="G441" s="38"/>
      <c r="H441" s="38"/>
      <c r="I441" s="38"/>
      <c r="J441" s="38"/>
      <c r="K441" s="38"/>
      <c r="L441" s="38"/>
      <c r="N441" s="38"/>
      <c r="P441" s="38"/>
      <c r="Q441" s="38"/>
      <c r="R441" s="38"/>
    </row>
    <row r="442" spans="1:18" ht="19.5" customHeight="1" x14ac:dyDescent="0.25">
      <c r="A442" s="38"/>
      <c r="B442" s="38"/>
      <c r="C442" s="470"/>
      <c r="D442" s="470"/>
      <c r="E442" s="38"/>
      <c r="F442" s="38"/>
      <c r="G442" s="38"/>
      <c r="H442" s="38"/>
      <c r="I442" s="38"/>
      <c r="J442" s="38"/>
      <c r="K442" s="38"/>
      <c r="L442" s="38"/>
      <c r="N442" s="38"/>
      <c r="P442" s="38"/>
      <c r="Q442" s="38"/>
      <c r="R442" s="38"/>
    </row>
    <row r="443" spans="1:18" ht="19.5" customHeight="1" x14ac:dyDescent="0.25">
      <c r="A443" s="38"/>
      <c r="B443" s="38"/>
      <c r="C443" s="470"/>
      <c r="D443" s="470"/>
      <c r="E443" s="38"/>
      <c r="F443" s="38"/>
      <c r="G443" s="38"/>
      <c r="H443" s="38"/>
      <c r="I443" s="38"/>
      <c r="J443" s="38"/>
      <c r="K443" s="38"/>
      <c r="L443" s="38"/>
      <c r="N443" s="38"/>
      <c r="P443" s="38"/>
      <c r="Q443" s="38"/>
      <c r="R443" s="38"/>
    </row>
    <row r="444" spans="1:18" ht="19.5" customHeight="1" x14ac:dyDescent="0.25">
      <c r="A444" s="38"/>
      <c r="B444" s="38"/>
      <c r="C444" s="470"/>
      <c r="D444" s="470"/>
      <c r="E444" s="38"/>
      <c r="F444" s="38"/>
      <c r="G444" s="38"/>
      <c r="H444" s="38"/>
      <c r="I444" s="38"/>
      <c r="J444" s="38"/>
      <c r="K444" s="38"/>
      <c r="L444" s="38"/>
      <c r="N444" s="38"/>
      <c r="P444" s="38"/>
      <c r="Q444" s="38"/>
      <c r="R444" s="38"/>
    </row>
    <row r="445" spans="1:18" ht="19.5" customHeight="1" x14ac:dyDescent="0.25">
      <c r="A445" s="38"/>
      <c r="B445" s="38"/>
      <c r="C445" s="470"/>
      <c r="D445" s="470"/>
      <c r="E445" s="38"/>
      <c r="F445" s="38"/>
      <c r="G445" s="38"/>
      <c r="H445" s="38"/>
      <c r="I445" s="38"/>
      <c r="J445" s="38"/>
      <c r="K445" s="38"/>
      <c r="L445" s="38"/>
      <c r="N445" s="38"/>
      <c r="P445" s="38"/>
      <c r="Q445" s="38"/>
      <c r="R445" s="38"/>
    </row>
    <row r="446" spans="1:18" ht="19.5" customHeight="1" x14ac:dyDescent="0.25">
      <c r="A446" s="38"/>
      <c r="B446" s="38"/>
      <c r="C446" s="470"/>
      <c r="D446" s="470"/>
      <c r="E446" s="38"/>
      <c r="F446" s="38"/>
      <c r="G446" s="38"/>
      <c r="H446" s="38"/>
      <c r="I446" s="38"/>
      <c r="J446" s="38"/>
      <c r="K446" s="38"/>
      <c r="L446" s="38"/>
      <c r="N446" s="38"/>
      <c r="P446" s="38"/>
      <c r="Q446" s="38"/>
      <c r="R446" s="38"/>
    </row>
    <row r="447" spans="1:18" ht="19.5" customHeight="1" x14ac:dyDescent="0.25">
      <c r="A447" s="38"/>
      <c r="B447" s="38"/>
      <c r="C447" s="470"/>
      <c r="D447" s="470"/>
      <c r="E447" s="38"/>
      <c r="F447" s="38"/>
      <c r="G447" s="38"/>
      <c r="H447" s="38"/>
      <c r="I447" s="38"/>
      <c r="J447" s="38"/>
      <c r="K447" s="38"/>
      <c r="L447" s="38"/>
      <c r="N447" s="38"/>
      <c r="P447" s="38"/>
      <c r="Q447" s="38"/>
      <c r="R447" s="38"/>
    </row>
    <row r="448" spans="1:18" ht="19.5" customHeight="1" x14ac:dyDescent="0.25">
      <c r="A448" s="38"/>
      <c r="B448" s="38"/>
      <c r="C448" s="470"/>
      <c r="D448" s="470"/>
      <c r="E448" s="38"/>
      <c r="F448" s="38"/>
      <c r="G448" s="38"/>
      <c r="H448" s="38"/>
      <c r="I448" s="38"/>
      <c r="J448" s="38"/>
      <c r="K448" s="38"/>
      <c r="L448" s="38"/>
      <c r="N448" s="38"/>
      <c r="P448" s="38"/>
      <c r="Q448" s="38"/>
      <c r="R448" s="38"/>
    </row>
    <row r="449" spans="1:18" ht="19.5" customHeight="1" x14ac:dyDescent="0.25">
      <c r="A449" s="38"/>
      <c r="B449" s="38"/>
      <c r="C449" s="470"/>
      <c r="D449" s="470"/>
      <c r="E449" s="38"/>
      <c r="F449" s="38"/>
      <c r="G449" s="38"/>
      <c r="H449" s="38"/>
      <c r="I449" s="38"/>
      <c r="J449" s="38"/>
      <c r="K449" s="38"/>
      <c r="L449" s="38"/>
      <c r="N449" s="38"/>
      <c r="P449" s="38"/>
      <c r="Q449" s="38"/>
      <c r="R449" s="38"/>
    </row>
    <row r="450" spans="1:18" ht="19.5" customHeight="1" x14ac:dyDescent="0.25">
      <c r="A450" s="38"/>
      <c r="B450" s="38"/>
      <c r="C450" s="470"/>
      <c r="D450" s="470"/>
      <c r="E450" s="38"/>
      <c r="F450" s="38"/>
      <c r="G450" s="38"/>
      <c r="H450" s="38"/>
      <c r="I450" s="38"/>
      <c r="J450" s="38"/>
      <c r="K450" s="38"/>
      <c r="L450" s="38"/>
      <c r="N450" s="38"/>
      <c r="P450" s="38"/>
      <c r="Q450" s="38"/>
      <c r="R450" s="38"/>
    </row>
    <row r="451" spans="1:18" ht="19.5" customHeight="1" x14ac:dyDescent="0.25">
      <c r="A451" s="38"/>
      <c r="B451" s="38"/>
      <c r="C451" s="470"/>
      <c r="D451" s="470"/>
      <c r="E451" s="38"/>
      <c r="F451" s="38"/>
      <c r="G451" s="38"/>
      <c r="H451" s="38"/>
      <c r="I451" s="38"/>
      <c r="J451" s="38"/>
      <c r="K451" s="38"/>
      <c r="L451" s="38"/>
      <c r="N451" s="38"/>
      <c r="P451" s="38"/>
      <c r="Q451" s="38"/>
      <c r="R451" s="38"/>
    </row>
    <row r="452" spans="1:18" ht="19.5" customHeight="1" x14ac:dyDescent="0.25">
      <c r="A452" s="38"/>
      <c r="B452" s="38"/>
      <c r="C452" s="470"/>
      <c r="D452" s="470"/>
      <c r="E452" s="38"/>
      <c r="F452" s="38"/>
      <c r="G452" s="38"/>
      <c r="H452" s="38"/>
      <c r="I452" s="38"/>
      <c r="J452" s="38"/>
      <c r="K452" s="38"/>
      <c r="L452" s="38"/>
      <c r="N452" s="38"/>
      <c r="P452" s="38"/>
      <c r="Q452" s="38"/>
      <c r="R452" s="38"/>
    </row>
    <row r="453" spans="1:18" ht="19.5" customHeight="1" x14ac:dyDescent="0.25">
      <c r="A453" s="38"/>
      <c r="B453" s="38"/>
      <c r="C453" s="470"/>
      <c r="D453" s="470"/>
      <c r="E453" s="38"/>
      <c r="F453" s="38"/>
      <c r="G453" s="38"/>
      <c r="H453" s="38"/>
      <c r="I453" s="38"/>
      <c r="J453" s="38"/>
      <c r="K453" s="38"/>
      <c r="L453" s="38"/>
      <c r="N453" s="38"/>
      <c r="P453" s="38"/>
      <c r="Q453" s="38"/>
      <c r="R453" s="38"/>
    </row>
    <row r="454" spans="1:18" ht="19.5" customHeight="1" x14ac:dyDescent="0.25">
      <c r="A454" s="38"/>
      <c r="B454" s="38"/>
      <c r="C454" s="470"/>
      <c r="D454" s="470"/>
      <c r="E454" s="38"/>
      <c r="F454" s="38"/>
      <c r="G454" s="38"/>
      <c r="H454" s="38"/>
      <c r="I454" s="38"/>
      <c r="J454" s="38"/>
      <c r="K454" s="38"/>
      <c r="L454" s="38"/>
      <c r="N454" s="38"/>
      <c r="P454" s="38"/>
      <c r="Q454" s="38"/>
      <c r="R454" s="38"/>
    </row>
    <row r="455" spans="1:18" ht="19.5" customHeight="1" x14ac:dyDescent="0.25">
      <c r="A455" s="38"/>
      <c r="B455" s="38"/>
      <c r="C455" s="470"/>
      <c r="D455" s="470"/>
      <c r="E455" s="38"/>
      <c r="F455" s="38"/>
      <c r="G455" s="38"/>
      <c r="H455" s="38"/>
      <c r="I455" s="38"/>
      <c r="J455" s="38"/>
      <c r="K455" s="38"/>
      <c r="L455" s="38"/>
      <c r="N455" s="38"/>
      <c r="P455" s="38"/>
      <c r="Q455" s="38"/>
      <c r="R455" s="38"/>
    </row>
    <row r="456" spans="1:18" ht="19.5" customHeight="1" x14ac:dyDescent="0.25">
      <c r="A456" s="38"/>
      <c r="B456" s="38"/>
      <c r="C456" s="470"/>
      <c r="D456" s="470"/>
      <c r="E456" s="38"/>
      <c r="F456" s="38"/>
      <c r="G456" s="38"/>
      <c r="H456" s="38"/>
      <c r="I456" s="38"/>
      <c r="J456" s="38"/>
      <c r="K456" s="38"/>
      <c r="L456" s="38"/>
      <c r="N456" s="38"/>
      <c r="P456" s="38"/>
      <c r="Q456" s="38"/>
      <c r="R456" s="38"/>
    </row>
    <row r="457" spans="1:18" ht="19.5" customHeight="1" x14ac:dyDescent="0.25">
      <c r="A457" s="38"/>
      <c r="B457" s="38"/>
      <c r="C457" s="470"/>
      <c r="D457" s="470"/>
      <c r="E457" s="38"/>
      <c r="F457" s="38"/>
      <c r="G457" s="38"/>
      <c r="H457" s="38"/>
      <c r="I457" s="38"/>
      <c r="J457" s="38"/>
      <c r="K457" s="38"/>
      <c r="L457" s="38"/>
      <c r="N457" s="38"/>
      <c r="P457" s="38"/>
      <c r="Q457" s="38"/>
      <c r="R457" s="38"/>
    </row>
    <row r="458" spans="1:18" ht="19.5" customHeight="1" x14ac:dyDescent="0.25">
      <c r="A458" s="38"/>
      <c r="B458" s="38"/>
      <c r="C458" s="470"/>
      <c r="D458" s="470"/>
      <c r="E458" s="38"/>
      <c r="F458" s="38"/>
      <c r="G458" s="38"/>
      <c r="H458" s="38"/>
      <c r="I458" s="38"/>
      <c r="J458" s="38"/>
      <c r="K458" s="38"/>
      <c r="L458" s="38"/>
      <c r="N458" s="38"/>
      <c r="P458" s="38"/>
      <c r="Q458" s="38"/>
      <c r="R458" s="38"/>
    </row>
    <row r="459" spans="1:18" ht="19.5" customHeight="1" x14ac:dyDescent="0.25">
      <c r="A459" s="38"/>
      <c r="B459" s="38"/>
      <c r="C459" s="470"/>
      <c r="D459" s="470"/>
      <c r="E459" s="38"/>
      <c r="F459" s="38"/>
      <c r="G459" s="38"/>
      <c r="H459" s="38"/>
      <c r="I459" s="38"/>
      <c r="J459" s="38"/>
      <c r="K459" s="38"/>
      <c r="L459" s="38"/>
      <c r="N459" s="38"/>
      <c r="P459" s="38"/>
      <c r="Q459" s="38"/>
      <c r="R459" s="38"/>
    </row>
    <row r="460" spans="1:18" ht="19.5" customHeight="1" x14ac:dyDescent="0.25">
      <c r="A460" s="38"/>
      <c r="B460" s="38"/>
      <c r="C460" s="470"/>
      <c r="D460" s="470"/>
      <c r="E460" s="38"/>
      <c r="F460" s="38"/>
      <c r="G460" s="38"/>
      <c r="H460" s="38"/>
      <c r="I460" s="38"/>
      <c r="J460" s="38"/>
      <c r="K460" s="38"/>
      <c r="L460" s="38"/>
      <c r="N460" s="38"/>
      <c r="P460" s="38"/>
      <c r="Q460" s="38"/>
      <c r="R460" s="38"/>
    </row>
    <row r="461" spans="1:18" ht="19.5" customHeight="1" x14ac:dyDescent="0.25">
      <c r="A461" s="38"/>
      <c r="B461" s="38"/>
      <c r="C461" s="470"/>
      <c r="D461" s="470"/>
      <c r="E461" s="38"/>
      <c r="F461" s="38"/>
      <c r="G461" s="38"/>
      <c r="H461" s="38"/>
      <c r="I461" s="38"/>
      <c r="J461" s="38"/>
      <c r="K461" s="38"/>
      <c r="L461" s="38"/>
      <c r="N461" s="38"/>
      <c r="P461" s="38"/>
      <c r="Q461" s="38"/>
      <c r="R461" s="38"/>
    </row>
    <row r="462" spans="1:18" ht="19.5" customHeight="1" x14ac:dyDescent="0.25">
      <c r="A462" s="38"/>
      <c r="B462" s="38"/>
      <c r="C462" s="470"/>
      <c r="D462" s="470"/>
      <c r="E462" s="38"/>
      <c r="F462" s="38"/>
      <c r="G462" s="38"/>
      <c r="H462" s="38"/>
      <c r="I462" s="38"/>
      <c r="J462" s="38"/>
      <c r="K462" s="38"/>
      <c r="L462" s="38"/>
      <c r="N462" s="38"/>
      <c r="P462" s="38"/>
      <c r="Q462" s="38"/>
      <c r="R462" s="38"/>
    </row>
    <row r="463" spans="1:18" ht="19.5" customHeight="1" x14ac:dyDescent="0.25">
      <c r="A463" s="38"/>
      <c r="B463" s="38"/>
      <c r="C463" s="470"/>
      <c r="D463" s="470"/>
      <c r="E463" s="38"/>
      <c r="F463" s="38"/>
      <c r="G463" s="38"/>
      <c r="H463" s="38"/>
      <c r="I463" s="38"/>
      <c r="J463" s="38"/>
      <c r="K463" s="38"/>
      <c r="L463" s="38"/>
      <c r="N463" s="38"/>
      <c r="P463" s="38"/>
      <c r="Q463" s="38"/>
      <c r="R463" s="38"/>
    </row>
    <row r="464" spans="1:18" ht="19.5" customHeight="1" x14ac:dyDescent="0.25">
      <c r="A464" s="38"/>
      <c r="B464" s="38"/>
      <c r="C464" s="470"/>
      <c r="D464" s="470"/>
      <c r="E464" s="38"/>
      <c r="F464" s="38"/>
      <c r="G464" s="38"/>
      <c r="H464" s="38"/>
      <c r="I464" s="38"/>
      <c r="J464" s="38"/>
      <c r="K464" s="38"/>
      <c r="L464" s="38"/>
      <c r="N464" s="38"/>
      <c r="P464" s="38"/>
      <c r="Q464" s="38"/>
      <c r="R464" s="38"/>
    </row>
    <row r="465" spans="1:18" ht="19.5" customHeight="1" x14ac:dyDescent="0.25">
      <c r="A465" s="38"/>
      <c r="B465" s="38"/>
      <c r="C465" s="470"/>
      <c r="D465" s="470"/>
      <c r="E465" s="38"/>
      <c r="F465" s="38"/>
      <c r="G465" s="38"/>
      <c r="H465" s="38"/>
      <c r="I465" s="38"/>
      <c r="J465" s="38"/>
      <c r="K465" s="38"/>
      <c r="L465" s="38"/>
      <c r="N465" s="38"/>
      <c r="P465" s="38"/>
      <c r="Q465" s="38"/>
      <c r="R465" s="38"/>
    </row>
    <row r="466" spans="1:18" ht="19.5" customHeight="1" x14ac:dyDescent="0.25">
      <c r="A466" s="38"/>
      <c r="B466" s="38"/>
      <c r="C466" s="470"/>
      <c r="D466" s="470"/>
      <c r="E466" s="38"/>
      <c r="F466" s="38"/>
      <c r="G466" s="38"/>
      <c r="H466" s="38"/>
      <c r="I466" s="38"/>
      <c r="J466" s="38"/>
      <c r="K466" s="38"/>
      <c r="L466" s="38"/>
      <c r="N466" s="38"/>
      <c r="P466" s="38"/>
      <c r="Q466" s="38"/>
      <c r="R466" s="38"/>
    </row>
    <row r="467" spans="1:18" ht="19.5" customHeight="1" x14ac:dyDescent="0.25">
      <c r="A467" s="38"/>
      <c r="B467" s="38"/>
      <c r="C467" s="470"/>
      <c r="D467" s="470"/>
      <c r="E467" s="38"/>
      <c r="F467" s="38"/>
      <c r="G467" s="38"/>
      <c r="H467" s="38"/>
      <c r="I467" s="38"/>
      <c r="J467" s="38"/>
      <c r="K467" s="38"/>
      <c r="L467" s="38"/>
      <c r="N467" s="38"/>
      <c r="P467" s="38"/>
      <c r="Q467" s="38"/>
      <c r="R467" s="38"/>
    </row>
    <row r="468" spans="1:18" ht="19.5" customHeight="1" x14ac:dyDescent="0.25">
      <c r="A468" s="38"/>
      <c r="B468" s="38"/>
      <c r="C468" s="470"/>
      <c r="D468" s="470"/>
      <c r="E468" s="38"/>
      <c r="F468" s="38"/>
      <c r="G468" s="38"/>
      <c r="H468" s="38"/>
      <c r="I468" s="38"/>
      <c r="J468" s="38"/>
      <c r="K468" s="38"/>
      <c r="L468" s="38"/>
      <c r="N468" s="38"/>
      <c r="P468" s="38"/>
      <c r="Q468" s="38"/>
      <c r="R468" s="38"/>
    </row>
    <row r="469" spans="1:18" ht="19.5" customHeight="1" x14ac:dyDescent="0.25">
      <c r="A469" s="38"/>
      <c r="B469" s="38"/>
      <c r="C469" s="470"/>
      <c r="D469" s="470"/>
      <c r="E469" s="38"/>
      <c r="F469" s="38"/>
      <c r="G469" s="38"/>
      <c r="H469" s="38"/>
      <c r="I469" s="38"/>
      <c r="J469" s="38"/>
      <c r="K469" s="38"/>
      <c r="L469" s="38"/>
      <c r="N469" s="38"/>
      <c r="P469" s="38"/>
      <c r="Q469" s="38"/>
      <c r="R469" s="38"/>
    </row>
    <row r="470" spans="1:18" ht="19.5" customHeight="1" x14ac:dyDescent="0.25">
      <c r="A470" s="38"/>
      <c r="B470" s="38"/>
      <c r="C470" s="470"/>
      <c r="D470" s="470"/>
      <c r="E470" s="38"/>
      <c r="F470" s="38"/>
      <c r="G470" s="38"/>
      <c r="H470" s="38"/>
      <c r="I470" s="38"/>
      <c r="J470" s="38"/>
      <c r="K470" s="38"/>
      <c r="L470" s="38"/>
      <c r="N470" s="38"/>
      <c r="P470" s="38"/>
      <c r="Q470" s="38"/>
      <c r="R470" s="38"/>
    </row>
    <row r="471" spans="1:18" ht="19.5" customHeight="1" x14ac:dyDescent="0.25">
      <c r="A471" s="38"/>
      <c r="B471" s="38"/>
      <c r="C471" s="470"/>
      <c r="D471" s="470"/>
      <c r="E471" s="38"/>
      <c r="F471" s="38"/>
      <c r="G471" s="38"/>
      <c r="H471" s="38"/>
      <c r="I471" s="38"/>
      <c r="J471" s="38"/>
      <c r="K471" s="38"/>
      <c r="L471" s="38"/>
      <c r="N471" s="38"/>
      <c r="P471" s="38"/>
      <c r="Q471" s="38"/>
      <c r="R471" s="38"/>
    </row>
    <row r="472" spans="1:18" ht="19.5" customHeight="1" x14ac:dyDescent="0.25">
      <c r="A472" s="38"/>
      <c r="B472" s="38"/>
      <c r="C472" s="470"/>
      <c r="D472" s="470"/>
      <c r="E472" s="38"/>
      <c r="F472" s="38"/>
      <c r="G472" s="38"/>
      <c r="H472" s="38"/>
      <c r="I472" s="38"/>
      <c r="J472" s="38"/>
      <c r="K472" s="38"/>
      <c r="L472" s="38"/>
      <c r="N472" s="38"/>
      <c r="P472" s="38"/>
      <c r="Q472" s="38"/>
      <c r="R472" s="38"/>
    </row>
    <row r="473" spans="1:18" ht="19.5" customHeight="1" x14ac:dyDescent="0.25">
      <c r="A473" s="38"/>
      <c r="B473" s="38"/>
      <c r="C473" s="470"/>
      <c r="D473" s="470"/>
      <c r="E473" s="38"/>
      <c r="F473" s="38"/>
      <c r="G473" s="38"/>
      <c r="H473" s="38"/>
      <c r="I473" s="38"/>
      <c r="J473" s="38"/>
      <c r="K473" s="38"/>
      <c r="L473" s="38"/>
      <c r="N473" s="38"/>
      <c r="P473" s="38"/>
      <c r="Q473" s="38"/>
      <c r="R473" s="38"/>
    </row>
    <row r="474" spans="1:18" ht="19.5" customHeight="1" x14ac:dyDescent="0.25">
      <c r="A474" s="38"/>
      <c r="B474" s="38"/>
      <c r="C474" s="470"/>
      <c r="D474" s="470"/>
      <c r="E474" s="38"/>
      <c r="F474" s="38"/>
      <c r="G474" s="38"/>
      <c r="H474" s="38"/>
      <c r="I474" s="38"/>
      <c r="J474" s="38"/>
      <c r="K474" s="38"/>
      <c r="L474" s="38"/>
      <c r="N474" s="38"/>
      <c r="P474" s="38"/>
      <c r="Q474" s="38"/>
      <c r="R474" s="38"/>
    </row>
    <row r="475" spans="1:18" ht="19.5" customHeight="1" x14ac:dyDescent="0.25">
      <c r="A475" s="38"/>
      <c r="B475" s="38"/>
      <c r="C475" s="470"/>
      <c r="D475" s="470"/>
      <c r="E475" s="38"/>
      <c r="F475" s="38"/>
      <c r="G475" s="38"/>
      <c r="H475" s="38"/>
      <c r="I475" s="38"/>
      <c r="J475" s="38"/>
      <c r="K475" s="38"/>
      <c r="L475" s="38"/>
      <c r="N475" s="38"/>
      <c r="P475" s="38"/>
      <c r="Q475" s="38"/>
      <c r="R475" s="38"/>
    </row>
    <row r="476" spans="1:18" ht="19.5" customHeight="1" x14ac:dyDescent="0.25">
      <c r="A476" s="38"/>
      <c r="B476" s="38"/>
      <c r="C476" s="470"/>
      <c r="D476" s="470"/>
      <c r="E476" s="38"/>
      <c r="F476" s="38"/>
      <c r="G476" s="38"/>
      <c r="H476" s="38"/>
      <c r="I476" s="38"/>
      <c r="J476" s="38"/>
      <c r="K476" s="38"/>
      <c r="L476" s="38"/>
      <c r="N476" s="38"/>
      <c r="P476" s="38"/>
      <c r="Q476" s="38"/>
      <c r="R476" s="38"/>
    </row>
    <row r="477" spans="1:18" ht="19.5" customHeight="1" x14ac:dyDescent="0.25">
      <c r="A477" s="38"/>
      <c r="B477" s="38"/>
      <c r="C477" s="470"/>
      <c r="D477" s="470"/>
      <c r="E477" s="38"/>
      <c r="F477" s="38"/>
      <c r="G477" s="38"/>
      <c r="H477" s="38"/>
      <c r="I477" s="38"/>
      <c r="J477" s="38"/>
      <c r="K477" s="38"/>
      <c r="L477" s="38"/>
      <c r="N477" s="38"/>
      <c r="P477" s="38"/>
      <c r="Q477" s="38"/>
      <c r="R477" s="38"/>
    </row>
    <row r="478" spans="1:18" ht="19.5" customHeight="1" x14ac:dyDescent="0.25">
      <c r="A478" s="38"/>
      <c r="B478" s="38"/>
      <c r="C478" s="470"/>
      <c r="D478" s="470"/>
      <c r="E478" s="38"/>
      <c r="F478" s="38"/>
      <c r="G478" s="38"/>
      <c r="H478" s="38"/>
      <c r="I478" s="38"/>
      <c r="J478" s="38"/>
      <c r="K478" s="38"/>
      <c r="L478" s="38"/>
      <c r="N478" s="38"/>
      <c r="P478" s="38"/>
      <c r="Q478" s="38"/>
      <c r="R478" s="38"/>
    </row>
    <row r="479" spans="1:18" ht="19.5" customHeight="1" x14ac:dyDescent="0.25">
      <c r="A479" s="38"/>
      <c r="B479" s="38"/>
      <c r="C479" s="470"/>
      <c r="D479" s="470"/>
      <c r="E479" s="38"/>
      <c r="F479" s="38"/>
      <c r="G479" s="38"/>
      <c r="H479" s="38"/>
      <c r="I479" s="38"/>
      <c r="J479" s="38"/>
      <c r="K479" s="38"/>
      <c r="L479" s="38"/>
      <c r="N479" s="38"/>
      <c r="P479" s="38"/>
      <c r="Q479" s="38"/>
      <c r="R479" s="38"/>
    </row>
    <row r="480" spans="1:18" ht="19.5" customHeight="1" x14ac:dyDescent="0.25">
      <c r="A480" s="38"/>
      <c r="B480" s="38"/>
      <c r="C480" s="470"/>
      <c r="D480" s="470"/>
      <c r="E480" s="38"/>
      <c r="F480" s="38"/>
      <c r="G480" s="38"/>
      <c r="H480" s="38"/>
      <c r="I480" s="38"/>
      <c r="J480" s="38"/>
      <c r="K480" s="38"/>
      <c r="L480" s="38"/>
      <c r="N480" s="38"/>
      <c r="P480" s="38"/>
      <c r="Q480" s="38"/>
      <c r="R480" s="38"/>
    </row>
    <row r="481" spans="1:18" ht="19.5" customHeight="1" x14ac:dyDescent="0.25">
      <c r="A481" s="38"/>
      <c r="B481" s="38"/>
      <c r="C481" s="470"/>
      <c r="D481" s="470"/>
      <c r="E481" s="38"/>
      <c r="F481" s="38"/>
      <c r="G481" s="38"/>
      <c r="H481" s="38"/>
      <c r="I481" s="38"/>
      <c r="J481" s="38"/>
      <c r="K481" s="38"/>
      <c r="L481" s="38"/>
      <c r="N481" s="38"/>
      <c r="P481" s="38"/>
      <c r="Q481" s="38"/>
      <c r="R481" s="38"/>
    </row>
    <row r="482" spans="1:18" ht="19.5" customHeight="1" x14ac:dyDescent="0.25">
      <c r="A482" s="38"/>
      <c r="B482" s="38"/>
      <c r="C482" s="470"/>
      <c r="D482" s="470"/>
      <c r="E482" s="38"/>
      <c r="F482" s="38"/>
      <c r="G482" s="38"/>
      <c r="H482" s="38"/>
      <c r="I482" s="38"/>
      <c r="J482" s="38"/>
      <c r="K482" s="38"/>
      <c r="L482" s="38"/>
      <c r="N482" s="38"/>
      <c r="O482" s="38"/>
      <c r="P482" s="38"/>
      <c r="Q482" s="38"/>
      <c r="R482" s="38"/>
    </row>
    <row r="483" spans="1:18" ht="19.5" customHeight="1" x14ac:dyDescent="0.25">
      <c r="A483" s="38"/>
      <c r="B483" s="38"/>
      <c r="C483" s="470"/>
      <c r="D483" s="470"/>
      <c r="E483" s="38"/>
      <c r="F483" s="38"/>
      <c r="G483" s="38"/>
      <c r="H483" s="38"/>
      <c r="I483" s="38"/>
      <c r="J483" s="38"/>
      <c r="K483" s="38"/>
      <c r="L483" s="38"/>
      <c r="N483" s="38"/>
      <c r="O483" s="38"/>
      <c r="P483" s="38"/>
      <c r="Q483" s="38"/>
      <c r="R483" s="38"/>
    </row>
    <row r="484" spans="1:18" ht="19.5" customHeight="1" x14ac:dyDescent="0.25">
      <c r="A484" s="38"/>
      <c r="B484" s="38"/>
      <c r="C484" s="470"/>
      <c r="D484" s="470"/>
      <c r="E484" s="38"/>
      <c r="F484" s="38"/>
      <c r="G484" s="38"/>
      <c r="H484" s="38"/>
      <c r="I484" s="38"/>
      <c r="J484" s="38"/>
      <c r="K484" s="38"/>
      <c r="L484" s="38"/>
      <c r="N484" s="38"/>
      <c r="O484" s="38"/>
      <c r="P484" s="38"/>
      <c r="Q484" s="38"/>
      <c r="R484" s="38"/>
    </row>
    <row r="485" spans="1:18" ht="19.5" customHeight="1" x14ac:dyDescent="0.25">
      <c r="A485" s="38"/>
      <c r="B485" s="38"/>
      <c r="C485" s="470"/>
      <c r="D485" s="470"/>
      <c r="E485" s="38"/>
      <c r="F485" s="38"/>
      <c r="G485" s="38"/>
      <c r="H485" s="38"/>
      <c r="I485" s="38"/>
      <c r="J485" s="38"/>
      <c r="K485" s="38"/>
      <c r="L485" s="38"/>
      <c r="N485" s="38"/>
      <c r="O485" s="38"/>
      <c r="P485" s="38"/>
      <c r="Q485" s="38"/>
      <c r="R485" s="38"/>
    </row>
    <row r="486" spans="1:18" ht="19.5" customHeight="1" x14ac:dyDescent="0.25">
      <c r="A486" s="38"/>
      <c r="B486" s="38"/>
      <c r="C486" s="470"/>
      <c r="D486" s="470"/>
      <c r="E486" s="38"/>
      <c r="F486" s="38"/>
      <c r="G486" s="38"/>
      <c r="H486" s="38"/>
      <c r="I486" s="38"/>
      <c r="J486" s="38"/>
      <c r="K486" s="38"/>
      <c r="L486" s="38"/>
      <c r="N486" s="38"/>
      <c r="O486" s="38"/>
      <c r="P486" s="38"/>
      <c r="Q486" s="38"/>
      <c r="R486" s="38"/>
    </row>
    <row r="487" spans="1:18" ht="19.5" customHeight="1" x14ac:dyDescent="0.25">
      <c r="A487" s="38"/>
      <c r="B487" s="38"/>
      <c r="C487" s="470"/>
      <c r="D487" s="470"/>
      <c r="E487" s="38"/>
      <c r="F487" s="38"/>
      <c r="G487" s="38"/>
      <c r="H487" s="38"/>
      <c r="I487" s="38"/>
      <c r="J487" s="38"/>
      <c r="K487" s="38"/>
      <c r="L487" s="38"/>
      <c r="N487" s="38"/>
      <c r="O487" s="38"/>
      <c r="P487" s="38"/>
      <c r="Q487" s="38"/>
      <c r="R487" s="38"/>
    </row>
    <row r="488" spans="1:18" ht="19.5" customHeight="1" x14ac:dyDescent="0.25">
      <c r="A488" s="38"/>
      <c r="B488" s="38"/>
      <c r="C488" s="470"/>
      <c r="D488" s="470"/>
      <c r="E488" s="38"/>
      <c r="F488" s="38"/>
      <c r="G488" s="38"/>
      <c r="H488" s="38"/>
      <c r="I488" s="38"/>
      <c r="J488" s="38"/>
      <c r="K488" s="38"/>
      <c r="L488" s="38"/>
      <c r="N488" s="38"/>
      <c r="O488" s="38"/>
      <c r="P488" s="38"/>
      <c r="Q488" s="38"/>
      <c r="R488" s="38"/>
    </row>
    <row r="489" spans="1:18" ht="19.5" customHeight="1" x14ac:dyDescent="0.25">
      <c r="A489" s="38"/>
      <c r="B489" s="38"/>
      <c r="C489" s="470"/>
      <c r="D489" s="470"/>
      <c r="E489" s="38"/>
      <c r="F489" s="38"/>
      <c r="G489" s="38"/>
      <c r="H489" s="38"/>
      <c r="I489" s="38"/>
      <c r="J489" s="38"/>
      <c r="K489" s="38"/>
      <c r="L489" s="38"/>
      <c r="N489" s="38"/>
      <c r="O489" s="38"/>
      <c r="P489" s="38"/>
      <c r="Q489" s="38"/>
      <c r="R489" s="38"/>
    </row>
    <row r="490" spans="1:18" ht="19.5" customHeight="1" x14ac:dyDescent="0.25">
      <c r="A490" s="38"/>
      <c r="B490" s="38"/>
      <c r="C490" s="470"/>
      <c r="D490" s="470"/>
      <c r="E490" s="38"/>
      <c r="F490" s="38"/>
      <c r="G490" s="38"/>
      <c r="H490" s="38"/>
      <c r="I490" s="38"/>
      <c r="J490" s="38"/>
      <c r="K490" s="38"/>
      <c r="L490" s="38"/>
      <c r="N490" s="38"/>
      <c r="O490" s="38"/>
      <c r="P490" s="38"/>
      <c r="Q490" s="38"/>
      <c r="R490" s="38"/>
    </row>
    <row r="491" spans="1:18" ht="19.5" customHeight="1" x14ac:dyDescent="0.25">
      <c r="A491" s="38"/>
      <c r="B491" s="38"/>
      <c r="C491" s="470"/>
      <c r="D491" s="470"/>
      <c r="E491" s="38"/>
      <c r="F491" s="38"/>
      <c r="G491" s="38"/>
      <c r="H491" s="38"/>
      <c r="I491" s="38"/>
      <c r="J491" s="38"/>
      <c r="K491" s="38"/>
      <c r="L491" s="38"/>
      <c r="N491" s="38"/>
      <c r="O491" s="38"/>
      <c r="P491" s="38"/>
      <c r="Q491" s="38"/>
      <c r="R491" s="38"/>
    </row>
    <row r="492" spans="1:18" ht="19.5" customHeight="1" x14ac:dyDescent="0.25">
      <c r="A492" s="38"/>
      <c r="B492" s="38"/>
      <c r="C492" s="470"/>
      <c r="D492" s="470"/>
      <c r="E492" s="38"/>
      <c r="F492" s="38"/>
      <c r="G492" s="38"/>
      <c r="H492" s="38"/>
      <c r="I492" s="38"/>
      <c r="J492" s="38"/>
      <c r="K492" s="38"/>
      <c r="L492" s="38"/>
      <c r="N492" s="38"/>
      <c r="O492" s="38"/>
      <c r="P492" s="38"/>
      <c r="Q492" s="38"/>
      <c r="R492" s="38"/>
    </row>
    <row r="493" spans="1:18" ht="19.5" customHeight="1" x14ac:dyDescent="0.25">
      <c r="A493" s="38"/>
      <c r="B493" s="38"/>
      <c r="C493" s="470"/>
      <c r="D493" s="470"/>
      <c r="E493" s="38"/>
      <c r="F493" s="38"/>
      <c r="G493" s="38"/>
      <c r="H493" s="38"/>
      <c r="I493" s="38"/>
      <c r="J493" s="38"/>
      <c r="K493" s="38"/>
      <c r="L493" s="38"/>
      <c r="N493" s="38"/>
      <c r="O493" s="38"/>
      <c r="P493" s="38"/>
      <c r="Q493" s="38"/>
      <c r="R493" s="38"/>
    </row>
    <row r="494" spans="1:18" ht="19.5" customHeight="1" x14ac:dyDescent="0.25">
      <c r="A494" s="38"/>
      <c r="B494" s="38"/>
      <c r="C494" s="470"/>
      <c r="D494" s="470"/>
      <c r="E494" s="38"/>
      <c r="F494" s="38"/>
      <c r="G494" s="38"/>
      <c r="H494" s="38"/>
      <c r="I494" s="38"/>
      <c r="J494" s="38"/>
      <c r="K494" s="38"/>
      <c r="L494" s="38"/>
      <c r="N494" s="38"/>
      <c r="O494" s="38"/>
      <c r="P494" s="38"/>
      <c r="Q494" s="38"/>
      <c r="R494" s="38"/>
    </row>
    <row r="495" spans="1:18" ht="19.5" customHeight="1" x14ac:dyDescent="0.25">
      <c r="A495" s="38"/>
      <c r="B495" s="38"/>
      <c r="C495" s="470"/>
      <c r="D495" s="470"/>
      <c r="E495" s="38"/>
      <c r="F495" s="38"/>
      <c r="G495" s="38"/>
      <c r="H495" s="38"/>
      <c r="I495" s="38"/>
      <c r="J495" s="38"/>
      <c r="K495" s="38"/>
      <c r="L495" s="38"/>
      <c r="N495" s="38"/>
      <c r="O495" s="38"/>
      <c r="P495" s="38"/>
      <c r="Q495" s="38"/>
      <c r="R495" s="38"/>
    </row>
    <row r="496" spans="1:18" ht="19.5" customHeight="1" x14ac:dyDescent="0.25">
      <c r="A496" s="38"/>
      <c r="B496" s="38"/>
      <c r="C496" s="470"/>
      <c r="D496" s="470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</row>
    <row r="497" spans="1:18" ht="19.5" customHeight="1" x14ac:dyDescent="0.25">
      <c r="A497" s="38"/>
      <c r="B497" s="38"/>
      <c r="C497" s="470"/>
      <c r="D497" s="470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</row>
    <row r="498" spans="1:18" ht="19.5" customHeight="1" x14ac:dyDescent="0.25">
      <c r="A498" s="38"/>
      <c r="B498" s="38"/>
      <c r="C498" s="470"/>
      <c r="D498" s="470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</row>
    <row r="499" spans="1:18" ht="19.5" customHeight="1" x14ac:dyDescent="0.25">
      <c r="A499" s="38"/>
      <c r="B499" s="38"/>
      <c r="C499" s="470"/>
      <c r="D499" s="470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</row>
    <row r="500" spans="1:18" ht="19.5" customHeight="1" x14ac:dyDescent="0.25">
      <c r="A500" s="38"/>
      <c r="B500" s="38"/>
      <c r="C500" s="470"/>
      <c r="D500" s="470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</row>
    <row r="501" spans="1:18" ht="19.5" customHeight="1" x14ac:dyDescent="0.25">
      <c r="A501" s="38"/>
      <c r="B501" s="38"/>
      <c r="C501" s="470"/>
      <c r="D501" s="470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</row>
    <row r="502" spans="1:18" ht="19.5" customHeight="1" x14ac:dyDescent="0.25">
      <c r="A502" s="38"/>
      <c r="B502" s="38"/>
      <c r="C502" s="470"/>
      <c r="D502" s="470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</row>
    <row r="503" spans="1:18" ht="19.5" customHeight="1" x14ac:dyDescent="0.25">
      <c r="A503" s="38"/>
      <c r="B503" s="38"/>
      <c r="C503" s="470"/>
      <c r="D503" s="470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</row>
    <row r="504" spans="1:18" ht="19.5" customHeight="1" x14ac:dyDescent="0.25">
      <c r="A504" s="38"/>
      <c r="B504" s="38"/>
      <c r="C504" s="470"/>
      <c r="D504" s="470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</row>
    <row r="505" spans="1:18" ht="19.5" customHeight="1" x14ac:dyDescent="0.25">
      <c r="A505" s="38"/>
      <c r="B505" s="38"/>
      <c r="C505" s="470"/>
      <c r="D505" s="470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</row>
    <row r="506" spans="1:18" ht="19.5" customHeight="1" x14ac:dyDescent="0.25">
      <c r="A506" s="38"/>
      <c r="B506" s="38"/>
      <c r="C506" s="470"/>
      <c r="D506" s="470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</row>
    <row r="507" spans="1:18" ht="19.5" customHeight="1" x14ac:dyDescent="0.25">
      <c r="A507" s="38"/>
      <c r="B507" s="38"/>
      <c r="C507" s="470"/>
      <c r="D507" s="470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</row>
    <row r="508" spans="1:18" ht="19.5" customHeight="1" x14ac:dyDescent="0.25">
      <c r="A508" s="38"/>
      <c r="B508" s="38"/>
      <c r="C508" s="470"/>
      <c r="D508" s="470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</row>
    <row r="509" spans="1:18" ht="19.5" customHeight="1" x14ac:dyDescent="0.25">
      <c r="A509" s="38"/>
      <c r="B509" s="38"/>
      <c r="C509" s="470"/>
      <c r="D509" s="470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</row>
    <row r="510" spans="1:18" ht="19.5" customHeight="1" x14ac:dyDescent="0.25">
      <c r="A510" s="38"/>
      <c r="B510" s="38"/>
      <c r="C510" s="470"/>
      <c r="D510" s="470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</row>
    <row r="511" spans="1:18" ht="19.5" customHeight="1" x14ac:dyDescent="0.25">
      <c r="A511" s="38"/>
      <c r="B511" s="38"/>
      <c r="C511" s="470"/>
      <c r="D511" s="470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</row>
    <row r="512" spans="1:18" ht="19.5" customHeight="1" x14ac:dyDescent="0.25">
      <c r="A512" s="38"/>
      <c r="B512" s="38"/>
      <c r="C512" s="470"/>
      <c r="D512" s="470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</row>
    <row r="513" spans="1:18" ht="19.5" customHeight="1" x14ac:dyDescent="0.25">
      <c r="A513" s="38"/>
      <c r="B513" s="38"/>
      <c r="C513" s="470"/>
      <c r="D513" s="470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</row>
    <row r="514" spans="1:18" ht="19.5" customHeight="1" x14ac:dyDescent="0.25">
      <c r="A514" s="38"/>
      <c r="B514" s="38"/>
      <c r="C514" s="470"/>
      <c r="D514" s="470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</row>
    <row r="515" spans="1:18" ht="19.5" customHeight="1" x14ac:dyDescent="0.25">
      <c r="A515" s="38"/>
      <c r="B515" s="38"/>
      <c r="C515" s="470"/>
      <c r="D515" s="470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</row>
    <row r="516" spans="1:18" ht="19.5" customHeight="1" x14ac:dyDescent="0.25">
      <c r="A516" s="38"/>
      <c r="B516" s="38"/>
      <c r="C516" s="470"/>
      <c r="D516" s="470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</row>
    <row r="517" spans="1:18" ht="19.5" customHeight="1" x14ac:dyDescent="0.25">
      <c r="A517" s="38"/>
      <c r="B517" s="38"/>
      <c r="C517" s="470"/>
      <c r="D517" s="470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</row>
    <row r="518" spans="1:18" ht="19.5" customHeight="1" x14ac:dyDescent="0.25">
      <c r="A518" s="38"/>
      <c r="B518" s="38"/>
      <c r="C518" s="470"/>
      <c r="D518" s="470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</row>
    <row r="519" spans="1:18" ht="19.5" customHeight="1" x14ac:dyDescent="0.25">
      <c r="A519" s="38"/>
      <c r="B519" s="38"/>
      <c r="C519" s="470"/>
      <c r="D519" s="470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</row>
    <row r="520" spans="1:18" ht="19.5" customHeight="1" x14ac:dyDescent="0.25">
      <c r="A520" s="38"/>
      <c r="B520" s="38"/>
      <c r="C520" s="470"/>
      <c r="D520" s="470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</row>
    <row r="521" spans="1:18" ht="19.5" customHeight="1" x14ac:dyDescent="0.25">
      <c r="A521" s="38"/>
      <c r="B521" s="38"/>
      <c r="C521" s="470"/>
      <c r="D521" s="470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</row>
    <row r="522" spans="1:18" ht="19.5" customHeight="1" x14ac:dyDescent="0.25">
      <c r="A522" s="38"/>
      <c r="B522" s="38"/>
      <c r="C522" s="470"/>
      <c r="D522" s="470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</row>
    <row r="523" spans="1:18" ht="19.5" customHeight="1" x14ac:dyDescent="0.25">
      <c r="A523" s="38"/>
      <c r="B523" s="38"/>
      <c r="C523" s="470"/>
      <c r="D523" s="470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</row>
    <row r="524" spans="1:18" ht="19.5" customHeight="1" x14ac:dyDescent="0.25">
      <c r="A524" s="38"/>
      <c r="B524" s="38"/>
      <c r="C524" s="470"/>
      <c r="D524" s="470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</row>
    <row r="525" spans="1:18" ht="19.5" customHeight="1" x14ac:dyDescent="0.25">
      <c r="A525" s="38"/>
      <c r="B525" s="38"/>
      <c r="C525" s="470"/>
      <c r="D525" s="470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</row>
    <row r="526" spans="1:18" ht="19.5" customHeight="1" x14ac:dyDescent="0.25">
      <c r="A526" s="38"/>
      <c r="B526" s="38"/>
      <c r="C526" s="470"/>
      <c r="D526" s="470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</row>
    <row r="527" spans="1:18" ht="19.5" customHeight="1" x14ac:dyDescent="0.25">
      <c r="A527" s="38"/>
      <c r="B527" s="38"/>
      <c r="C527" s="470"/>
      <c r="D527" s="470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</row>
    <row r="528" spans="1:18" ht="19.5" customHeight="1" x14ac:dyDescent="0.25">
      <c r="A528" s="38"/>
      <c r="B528" s="38"/>
      <c r="C528" s="470"/>
      <c r="D528" s="470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</row>
    <row r="529" spans="1:18" ht="19.5" customHeight="1" x14ac:dyDescent="0.25">
      <c r="A529" s="38"/>
      <c r="B529" s="38"/>
      <c r="C529" s="470"/>
      <c r="D529" s="470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</row>
    <row r="530" spans="1:18" ht="19.5" customHeight="1" x14ac:dyDescent="0.25">
      <c r="A530" s="38"/>
      <c r="B530" s="38"/>
      <c r="C530" s="470"/>
      <c r="D530" s="470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</row>
    <row r="531" spans="1:18" ht="19.5" customHeight="1" x14ac:dyDescent="0.25">
      <c r="A531" s="38"/>
      <c r="B531" s="38"/>
      <c r="C531" s="470"/>
      <c r="D531" s="470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</row>
    <row r="532" spans="1:18" ht="19.5" customHeight="1" x14ac:dyDescent="0.25">
      <c r="A532" s="38"/>
      <c r="B532" s="38"/>
      <c r="C532" s="470"/>
      <c r="D532" s="470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</row>
    <row r="533" spans="1:18" ht="19.5" customHeight="1" x14ac:dyDescent="0.25">
      <c r="A533" s="38"/>
      <c r="B533" s="38"/>
      <c r="C533" s="470"/>
      <c r="D533" s="470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</row>
    <row r="534" spans="1:18" ht="19.5" customHeight="1" x14ac:dyDescent="0.25">
      <c r="A534" s="38"/>
      <c r="B534" s="38"/>
      <c r="C534" s="470"/>
      <c r="D534" s="470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</row>
    <row r="535" spans="1:18" ht="19.5" customHeight="1" x14ac:dyDescent="0.25">
      <c r="A535" s="38"/>
      <c r="B535" s="38"/>
      <c r="C535" s="470"/>
      <c r="D535" s="470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</row>
    <row r="536" spans="1:18" ht="19.5" customHeight="1" x14ac:dyDescent="0.25">
      <c r="A536" s="38"/>
      <c r="B536" s="38"/>
      <c r="C536" s="470"/>
      <c r="D536" s="470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</row>
    <row r="537" spans="1:18" ht="19.5" customHeight="1" x14ac:dyDescent="0.25">
      <c r="A537" s="38"/>
      <c r="B537" s="38"/>
      <c r="C537" s="470"/>
      <c r="D537" s="470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</row>
    <row r="538" spans="1:18" ht="19.5" customHeight="1" x14ac:dyDescent="0.25">
      <c r="A538" s="38"/>
      <c r="B538" s="38"/>
      <c r="C538" s="470"/>
      <c r="D538" s="470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</row>
    <row r="539" spans="1:18" ht="19.5" customHeight="1" x14ac:dyDescent="0.25">
      <c r="A539" s="38"/>
      <c r="B539" s="38"/>
      <c r="C539" s="470"/>
      <c r="D539" s="470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</row>
    <row r="540" spans="1:18" ht="19.5" customHeight="1" x14ac:dyDescent="0.25">
      <c r="A540" s="38"/>
      <c r="B540" s="38"/>
      <c r="C540" s="470"/>
      <c r="D540" s="470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</row>
    <row r="541" spans="1:18" ht="19.5" customHeight="1" x14ac:dyDescent="0.25">
      <c r="A541" s="38"/>
      <c r="B541" s="38"/>
      <c r="C541" s="470"/>
      <c r="D541" s="470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</row>
    <row r="542" spans="1:18" ht="19.5" customHeight="1" x14ac:dyDescent="0.25">
      <c r="A542" s="38"/>
      <c r="B542" s="38"/>
      <c r="C542" s="470"/>
      <c r="D542" s="470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</row>
    <row r="543" spans="1:18" ht="19.5" customHeight="1" x14ac:dyDescent="0.25">
      <c r="A543" s="38"/>
      <c r="B543" s="38"/>
      <c r="C543" s="470"/>
      <c r="D543" s="470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</row>
    <row r="544" spans="1:18" ht="19.5" customHeight="1" x14ac:dyDescent="0.25">
      <c r="A544" s="38"/>
      <c r="B544" s="38"/>
      <c r="C544" s="470"/>
      <c r="D544" s="470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</row>
    <row r="545" spans="1:18" ht="19.5" customHeight="1" x14ac:dyDescent="0.25">
      <c r="A545" s="38"/>
      <c r="B545" s="38"/>
      <c r="C545" s="470"/>
      <c r="D545" s="470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</row>
    <row r="546" spans="1:18" ht="19.5" customHeight="1" x14ac:dyDescent="0.25">
      <c r="A546" s="38"/>
      <c r="B546" s="38"/>
      <c r="C546" s="470"/>
      <c r="D546" s="470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</row>
    <row r="547" spans="1:18" ht="19.5" customHeight="1" x14ac:dyDescent="0.25">
      <c r="A547" s="38"/>
      <c r="B547" s="38"/>
      <c r="C547" s="470"/>
      <c r="D547" s="470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</row>
    <row r="548" spans="1:18" ht="19.5" customHeight="1" x14ac:dyDescent="0.25">
      <c r="A548" s="38"/>
      <c r="B548" s="38"/>
      <c r="C548" s="470"/>
      <c r="D548" s="470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</row>
    <row r="549" spans="1:18" ht="19.5" customHeight="1" x14ac:dyDescent="0.25">
      <c r="A549" s="38"/>
      <c r="B549" s="38"/>
      <c r="C549" s="470"/>
      <c r="D549" s="470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</row>
    <row r="550" spans="1:18" ht="19.5" customHeight="1" x14ac:dyDescent="0.25">
      <c r="A550" s="38"/>
      <c r="B550" s="38"/>
      <c r="C550" s="470"/>
      <c r="D550" s="470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</row>
    <row r="551" spans="1:18" ht="19.5" customHeight="1" x14ac:dyDescent="0.25">
      <c r="A551" s="38"/>
      <c r="B551" s="38"/>
      <c r="C551" s="470"/>
      <c r="D551" s="470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</row>
    <row r="552" spans="1:18" ht="19.5" customHeight="1" x14ac:dyDescent="0.25">
      <c r="A552" s="38"/>
      <c r="B552" s="38"/>
      <c r="C552" s="470"/>
      <c r="D552" s="470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</row>
    <row r="553" spans="1:18" ht="19.5" customHeight="1" x14ac:dyDescent="0.25">
      <c r="A553" s="38"/>
      <c r="B553" s="38"/>
      <c r="C553" s="470"/>
      <c r="D553" s="470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</row>
    <row r="554" spans="1:18" ht="19.5" customHeight="1" x14ac:dyDescent="0.25">
      <c r="A554" s="38"/>
      <c r="B554" s="38"/>
      <c r="C554" s="470"/>
      <c r="D554" s="470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</row>
    <row r="555" spans="1:18" ht="19.5" customHeight="1" x14ac:dyDescent="0.25">
      <c r="A555" s="38"/>
      <c r="B555" s="38"/>
      <c r="C555" s="470"/>
      <c r="D555" s="470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</row>
    <row r="556" spans="1:18" ht="19.5" customHeight="1" x14ac:dyDescent="0.25">
      <c r="A556" s="38"/>
      <c r="B556" s="38"/>
      <c r="C556" s="470"/>
      <c r="D556" s="470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</row>
    <row r="557" spans="1:18" ht="19.5" customHeight="1" x14ac:dyDescent="0.25">
      <c r="A557" s="38"/>
      <c r="B557" s="38"/>
      <c r="C557" s="470"/>
      <c r="D557" s="470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</row>
    <row r="558" spans="1:18" ht="19.5" customHeight="1" x14ac:dyDescent="0.25">
      <c r="A558" s="38"/>
      <c r="B558" s="38"/>
      <c r="C558" s="470"/>
      <c r="D558" s="470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</row>
    <row r="559" spans="1:18" ht="19.5" customHeight="1" x14ac:dyDescent="0.25">
      <c r="A559" s="38"/>
      <c r="B559" s="38"/>
      <c r="C559" s="470"/>
      <c r="D559" s="470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</row>
    <row r="560" spans="1:18" ht="19.5" customHeight="1" x14ac:dyDescent="0.25">
      <c r="A560" s="38"/>
      <c r="B560" s="38"/>
      <c r="C560" s="470"/>
      <c r="D560" s="470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</row>
    <row r="561" spans="1:18" ht="19.5" customHeight="1" x14ac:dyDescent="0.25">
      <c r="A561" s="38"/>
      <c r="B561" s="38"/>
      <c r="C561" s="470"/>
      <c r="D561" s="470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</row>
    <row r="562" spans="1:18" ht="19.5" customHeight="1" x14ac:dyDescent="0.25">
      <c r="A562" s="38"/>
      <c r="B562" s="38"/>
      <c r="C562" s="470"/>
      <c r="D562" s="470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</row>
    <row r="563" spans="1:18" ht="19.5" customHeight="1" x14ac:dyDescent="0.25">
      <c r="A563" s="38"/>
      <c r="B563" s="38"/>
      <c r="C563" s="470"/>
      <c r="D563" s="470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</row>
    <row r="564" spans="1:18" ht="19.5" customHeight="1" x14ac:dyDescent="0.25">
      <c r="A564" s="38"/>
      <c r="B564" s="38"/>
      <c r="C564" s="470"/>
      <c r="D564" s="470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</row>
    <row r="565" spans="1:18" ht="19.5" customHeight="1" x14ac:dyDescent="0.25">
      <c r="A565" s="38"/>
      <c r="B565" s="38"/>
      <c r="C565" s="470"/>
      <c r="D565" s="470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</row>
    <row r="566" spans="1:18" ht="19.5" customHeight="1" x14ac:dyDescent="0.25">
      <c r="A566" s="38"/>
      <c r="B566" s="38"/>
      <c r="C566" s="470"/>
      <c r="D566" s="470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</row>
    <row r="567" spans="1:18" ht="19.5" customHeight="1" x14ac:dyDescent="0.25">
      <c r="A567" s="38"/>
      <c r="B567" s="38"/>
      <c r="C567" s="470"/>
      <c r="D567" s="470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</row>
    <row r="568" spans="1:18" ht="19.5" customHeight="1" x14ac:dyDescent="0.25">
      <c r="A568" s="38"/>
      <c r="B568" s="38"/>
      <c r="C568" s="470"/>
      <c r="D568" s="470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</row>
    <row r="569" spans="1:18" ht="19.5" customHeight="1" x14ac:dyDescent="0.25">
      <c r="A569" s="38"/>
      <c r="B569" s="38"/>
      <c r="C569" s="470"/>
      <c r="D569" s="470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</row>
    <row r="570" spans="1:18" ht="19.5" customHeight="1" x14ac:dyDescent="0.25">
      <c r="A570" s="38"/>
      <c r="B570" s="38"/>
      <c r="C570" s="470"/>
      <c r="D570" s="470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</row>
    <row r="571" spans="1:18" ht="19.5" customHeight="1" x14ac:dyDescent="0.25">
      <c r="A571" s="38"/>
      <c r="B571" s="38"/>
      <c r="C571" s="470"/>
      <c r="D571" s="470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</row>
    <row r="572" spans="1:18" ht="19.5" customHeight="1" x14ac:dyDescent="0.25">
      <c r="A572" s="38"/>
      <c r="B572" s="38"/>
      <c r="C572" s="470"/>
      <c r="D572" s="470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</row>
    <row r="573" spans="1:18" ht="19.5" customHeight="1" x14ac:dyDescent="0.25">
      <c r="A573" s="38"/>
      <c r="B573" s="38"/>
      <c r="C573" s="470"/>
      <c r="D573" s="470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</row>
    <row r="574" spans="1:18" ht="19.5" customHeight="1" x14ac:dyDescent="0.25">
      <c r="A574" s="38"/>
      <c r="B574" s="38"/>
      <c r="C574" s="470"/>
      <c r="D574" s="470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</row>
    <row r="575" spans="1:18" ht="19.5" customHeight="1" x14ac:dyDescent="0.25">
      <c r="A575" s="38"/>
      <c r="B575" s="38"/>
      <c r="C575" s="470"/>
      <c r="D575" s="470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</row>
    <row r="576" spans="1:18" ht="19.5" customHeight="1" x14ac:dyDescent="0.25">
      <c r="A576" s="38"/>
      <c r="B576" s="38"/>
      <c r="C576" s="470"/>
      <c r="D576" s="470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</row>
    <row r="577" spans="1:18" ht="19.5" customHeight="1" x14ac:dyDescent="0.25">
      <c r="A577" s="38"/>
      <c r="B577" s="38"/>
      <c r="C577" s="470"/>
      <c r="D577" s="470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</row>
    <row r="578" spans="1:18" ht="19.5" customHeight="1" x14ac:dyDescent="0.25">
      <c r="A578" s="38"/>
      <c r="B578" s="38"/>
      <c r="C578" s="470"/>
      <c r="D578" s="470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</row>
    <row r="579" spans="1:18" ht="19.5" customHeight="1" x14ac:dyDescent="0.25">
      <c r="A579" s="38"/>
      <c r="B579" s="38"/>
      <c r="C579" s="470"/>
      <c r="D579" s="470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</row>
    <row r="580" spans="1:18" ht="19.5" customHeight="1" x14ac:dyDescent="0.25">
      <c r="A580" s="38"/>
      <c r="B580" s="38"/>
      <c r="C580" s="470"/>
      <c r="D580" s="470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</row>
    <row r="581" spans="1:18" ht="19.5" customHeight="1" x14ac:dyDescent="0.25">
      <c r="A581" s="38"/>
      <c r="B581" s="38"/>
      <c r="C581" s="470"/>
      <c r="D581" s="470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</row>
    <row r="582" spans="1:18" ht="19.5" customHeight="1" x14ac:dyDescent="0.25">
      <c r="A582" s="38"/>
      <c r="B582" s="38"/>
      <c r="C582" s="470"/>
      <c r="D582" s="470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</row>
    <row r="583" spans="1:18" ht="19.5" customHeight="1" x14ac:dyDescent="0.25">
      <c r="A583" s="38"/>
      <c r="B583" s="38"/>
      <c r="C583" s="470"/>
      <c r="D583" s="470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</row>
    <row r="584" spans="1:18" ht="19.5" customHeight="1" x14ac:dyDescent="0.25">
      <c r="A584" s="38"/>
      <c r="B584" s="38"/>
      <c r="C584" s="470"/>
      <c r="D584" s="470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</row>
    <row r="585" spans="1:18" ht="19.5" customHeight="1" x14ac:dyDescent="0.25">
      <c r="A585" s="38"/>
      <c r="B585" s="38"/>
      <c r="C585" s="470"/>
      <c r="D585" s="470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</row>
    <row r="586" spans="1:18" ht="19.5" customHeight="1" x14ac:dyDescent="0.25">
      <c r="A586" s="38"/>
      <c r="B586" s="38"/>
      <c r="C586" s="470"/>
      <c r="D586" s="470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</row>
    <row r="587" spans="1:18" ht="19.5" customHeight="1" x14ac:dyDescent="0.25">
      <c r="A587" s="38"/>
      <c r="B587" s="38"/>
      <c r="C587" s="470"/>
      <c r="D587" s="470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</row>
    <row r="588" spans="1:18" ht="19.5" customHeight="1" x14ac:dyDescent="0.25">
      <c r="A588" s="38"/>
      <c r="B588" s="38"/>
      <c r="C588" s="470"/>
      <c r="D588" s="470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</row>
    <row r="589" spans="1:18" ht="19.5" customHeight="1" x14ac:dyDescent="0.25">
      <c r="A589" s="38"/>
      <c r="B589" s="38"/>
      <c r="C589" s="470"/>
      <c r="D589" s="470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</row>
    <row r="590" spans="1:18" ht="19.5" customHeight="1" x14ac:dyDescent="0.25">
      <c r="A590" s="38"/>
      <c r="B590" s="38"/>
      <c r="C590" s="470"/>
      <c r="D590" s="470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</row>
    <row r="591" spans="1:18" ht="19.5" customHeight="1" x14ac:dyDescent="0.25">
      <c r="A591" s="38"/>
      <c r="B591" s="38"/>
      <c r="C591" s="470"/>
      <c r="D591" s="470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</row>
    <row r="592" spans="1:18" ht="19.5" customHeight="1" x14ac:dyDescent="0.25">
      <c r="A592" s="38"/>
      <c r="B592" s="38"/>
      <c r="C592" s="470"/>
      <c r="D592" s="470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</row>
    <row r="593" spans="1:18" ht="19.5" customHeight="1" x14ac:dyDescent="0.25">
      <c r="A593" s="38"/>
      <c r="B593" s="38"/>
      <c r="C593" s="470"/>
      <c r="D593" s="470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</row>
    <row r="594" spans="1:18" ht="19.5" customHeight="1" x14ac:dyDescent="0.25">
      <c r="A594" s="38"/>
      <c r="B594" s="38"/>
      <c r="C594" s="470"/>
      <c r="D594" s="470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</row>
    <row r="595" spans="1:18" ht="19.5" customHeight="1" x14ac:dyDescent="0.25">
      <c r="A595" s="38"/>
      <c r="B595" s="38"/>
      <c r="C595" s="470"/>
      <c r="D595" s="470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</row>
    <row r="596" spans="1:18" ht="19.5" customHeight="1" x14ac:dyDescent="0.25">
      <c r="A596" s="38"/>
      <c r="B596" s="38"/>
      <c r="C596" s="470"/>
      <c r="D596" s="470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</row>
    <row r="597" spans="1:18" ht="19.5" customHeight="1" x14ac:dyDescent="0.25">
      <c r="A597" s="38"/>
      <c r="B597" s="38"/>
      <c r="C597" s="470"/>
      <c r="D597" s="470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</row>
    <row r="598" spans="1:18" ht="19.5" customHeight="1" x14ac:dyDescent="0.25">
      <c r="A598" s="38"/>
      <c r="B598" s="38"/>
      <c r="C598" s="470"/>
      <c r="D598" s="470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</row>
    <row r="599" spans="1:18" ht="19.5" customHeight="1" x14ac:dyDescent="0.25">
      <c r="A599" s="38"/>
      <c r="B599" s="38"/>
      <c r="C599" s="470"/>
      <c r="D599" s="470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</row>
    <row r="600" spans="1:18" ht="19.5" customHeight="1" x14ac:dyDescent="0.25">
      <c r="A600" s="38"/>
      <c r="B600" s="38"/>
      <c r="C600" s="470"/>
      <c r="D600" s="470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</row>
    <row r="601" spans="1:18" ht="19.5" customHeight="1" x14ac:dyDescent="0.25">
      <c r="A601" s="38"/>
      <c r="B601" s="38"/>
      <c r="C601" s="470"/>
      <c r="D601" s="470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</row>
    <row r="602" spans="1:18" ht="19.5" customHeight="1" x14ac:dyDescent="0.25">
      <c r="A602" s="38"/>
      <c r="B602" s="38"/>
      <c r="C602" s="470"/>
      <c r="D602" s="470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</row>
    <row r="603" spans="1:18" ht="19.5" customHeight="1" x14ac:dyDescent="0.25">
      <c r="A603" s="38"/>
      <c r="B603" s="38"/>
      <c r="C603" s="470"/>
      <c r="D603" s="470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</row>
    <row r="604" spans="1:18" ht="19.5" customHeight="1" x14ac:dyDescent="0.25">
      <c r="A604" s="38"/>
      <c r="B604" s="38"/>
      <c r="C604" s="470"/>
      <c r="D604" s="470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</row>
    <row r="605" spans="1:18" ht="19.5" customHeight="1" x14ac:dyDescent="0.25">
      <c r="A605" s="38"/>
      <c r="B605" s="38"/>
      <c r="C605" s="470"/>
      <c r="D605" s="470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</row>
    <row r="606" spans="1:18" ht="19.5" customHeight="1" x14ac:dyDescent="0.25">
      <c r="A606" s="38"/>
      <c r="B606" s="38"/>
      <c r="C606" s="470"/>
      <c r="D606" s="470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</row>
    <row r="607" spans="1:18" ht="19.5" customHeight="1" x14ac:dyDescent="0.25">
      <c r="A607" s="38"/>
      <c r="B607" s="38"/>
      <c r="C607" s="470"/>
      <c r="D607" s="470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</row>
    <row r="608" spans="1:18" ht="19.5" customHeight="1" x14ac:dyDescent="0.25">
      <c r="A608" s="38"/>
      <c r="B608" s="38"/>
      <c r="C608" s="470"/>
      <c r="D608" s="470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</row>
    <row r="609" spans="1:18" ht="19.5" customHeight="1" x14ac:dyDescent="0.25">
      <c r="A609" s="38"/>
      <c r="B609" s="38"/>
      <c r="C609" s="470"/>
      <c r="D609" s="470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</row>
    <row r="610" spans="1:18" ht="19.5" customHeight="1" x14ac:dyDescent="0.25">
      <c r="A610" s="38"/>
      <c r="B610" s="38"/>
      <c r="C610" s="470"/>
      <c r="D610" s="470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</row>
    <row r="611" spans="1:18" ht="19.5" customHeight="1" x14ac:dyDescent="0.25">
      <c r="A611" s="38"/>
      <c r="B611" s="38"/>
      <c r="C611" s="470"/>
      <c r="D611" s="470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</row>
    <row r="612" spans="1:18" ht="19.5" customHeight="1" x14ac:dyDescent="0.25">
      <c r="A612" s="38"/>
      <c r="B612" s="38"/>
      <c r="C612" s="470"/>
      <c r="D612" s="470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</row>
    <row r="613" spans="1:18" ht="19.5" customHeight="1" x14ac:dyDescent="0.25">
      <c r="A613" s="38"/>
      <c r="B613" s="38"/>
      <c r="C613" s="470"/>
      <c r="D613" s="470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</row>
    <row r="614" spans="1:18" ht="19.5" customHeight="1" x14ac:dyDescent="0.25">
      <c r="A614" s="38"/>
      <c r="B614" s="38"/>
      <c r="C614" s="470"/>
      <c r="D614" s="470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</row>
    <row r="615" spans="1:18" ht="19.5" customHeight="1" x14ac:dyDescent="0.25">
      <c r="A615" s="38"/>
      <c r="B615" s="38"/>
      <c r="C615" s="470"/>
      <c r="D615" s="470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</row>
    <row r="616" spans="1:18" ht="19.5" customHeight="1" x14ac:dyDescent="0.25">
      <c r="A616" s="38"/>
      <c r="B616" s="38"/>
      <c r="C616" s="470"/>
      <c r="D616" s="470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</row>
    <row r="617" spans="1:18" ht="19.5" customHeight="1" x14ac:dyDescent="0.25">
      <c r="A617" s="38"/>
      <c r="B617" s="38"/>
      <c r="C617" s="470"/>
      <c r="D617" s="470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</row>
    <row r="618" spans="1:18" ht="19.5" customHeight="1" x14ac:dyDescent="0.25">
      <c r="A618" s="38"/>
      <c r="B618" s="38"/>
      <c r="C618" s="470"/>
      <c r="D618" s="470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</row>
    <row r="619" spans="1:18" ht="19.5" customHeight="1" x14ac:dyDescent="0.25">
      <c r="A619" s="38"/>
      <c r="B619" s="38"/>
      <c r="C619" s="470"/>
      <c r="D619" s="470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</row>
    <row r="620" spans="1:18" ht="19.5" customHeight="1" x14ac:dyDescent="0.25">
      <c r="A620" s="38"/>
      <c r="B620" s="38"/>
      <c r="C620" s="470"/>
      <c r="D620" s="470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</row>
    <row r="621" spans="1:18" ht="19.5" customHeight="1" x14ac:dyDescent="0.25">
      <c r="A621" s="38"/>
      <c r="B621" s="38"/>
      <c r="C621" s="470"/>
      <c r="D621" s="470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</row>
    <row r="622" spans="1:18" ht="19.5" customHeight="1" x14ac:dyDescent="0.25">
      <c r="A622" s="38"/>
      <c r="B622" s="38"/>
      <c r="C622" s="470"/>
      <c r="D622" s="470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</row>
    <row r="623" spans="1:18" ht="19.5" customHeight="1" x14ac:dyDescent="0.25">
      <c r="A623" s="38"/>
      <c r="B623" s="38"/>
      <c r="C623" s="470"/>
      <c r="D623" s="470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</row>
    <row r="624" spans="1:18" ht="19.5" customHeight="1" x14ac:dyDescent="0.25">
      <c r="A624" s="38"/>
      <c r="B624" s="38"/>
      <c r="C624" s="470"/>
      <c r="D624" s="470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</row>
    <row r="625" spans="1:18" ht="19.5" customHeight="1" x14ac:dyDescent="0.25">
      <c r="A625" s="38"/>
      <c r="B625" s="38"/>
      <c r="C625" s="470"/>
      <c r="D625" s="470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</row>
    <row r="626" spans="1:18" ht="19.5" customHeight="1" x14ac:dyDescent="0.25">
      <c r="A626" s="38"/>
      <c r="B626" s="38"/>
      <c r="C626" s="470"/>
      <c r="D626" s="470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</row>
    <row r="627" spans="1:18" ht="19.5" customHeight="1" x14ac:dyDescent="0.25">
      <c r="A627" s="38"/>
      <c r="B627" s="38"/>
      <c r="C627" s="470"/>
      <c r="D627" s="470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</row>
    <row r="628" spans="1:18" ht="19.5" customHeight="1" x14ac:dyDescent="0.25">
      <c r="A628" s="38"/>
      <c r="B628" s="38"/>
      <c r="C628" s="470"/>
      <c r="D628" s="470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</row>
    <row r="629" spans="1:18" ht="19.5" customHeight="1" x14ac:dyDescent="0.25">
      <c r="A629" s="38"/>
      <c r="B629" s="38"/>
      <c r="C629" s="470"/>
      <c r="D629" s="470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</row>
    <row r="630" spans="1:18" ht="19.5" customHeight="1" x14ac:dyDescent="0.25">
      <c r="A630" s="38"/>
      <c r="B630" s="38"/>
      <c r="C630" s="470"/>
      <c r="D630" s="470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</row>
    <row r="631" spans="1:18" ht="19.5" customHeight="1" x14ac:dyDescent="0.25">
      <c r="A631" s="38"/>
      <c r="B631" s="38"/>
      <c r="C631" s="470"/>
      <c r="D631" s="470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</row>
    <row r="632" spans="1:18" ht="19.5" customHeight="1" x14ac:dyDescent="0.25">
      <c r="A632" s="38"/>
      <c r="B632" s="38"/>
      <c r="C632" s="470"/>
      <c r="D632" s="470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</row>
    <row r="633" spans="1:18" ht="19.5" customHeight="1" x14ac:dyDescent="0.25">
      <c r="A633" s="38"/>
      <c r="B633" s="38"/>
      <c r="C633" s="470"/>
      <c r="D633" s="470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</row>
    <row r="634" spans="1:18" ht="19.5" customHeight="1" x14ac:dyDescent="0.25">
      <c r="A634" s="38"/>
      <c r="B634" s="38"/>
      <c r="C634" s="470"/>
      <c r="D634" s="470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</row>
    <row r="635" spans="1:18" ht="19.5" customHeight="1" x14ac:dyDescent="0.25">
      <c r="A635" s="38"/>
      <c r="B635" s="38"/>
      <c r="C635" s="470"/>
      <c r="D635" s="470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</row>
    <row r="636" spans="1:18" ht="19.5" customHeight="1" x14ac:dyDescent="0.25">
      <c r="A636" s="38"/>
      <c r="B636" s="38"/>
      <c r="C636" s="470"/>
      <c r="D636" s="470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</row>
    <row r="637" spans="1:18" ht="19.5" customHeight="1" x14ac:dyDescent="0.25">
      <c r="A637" s="38"/>
      <c r="B637" s="38"/>
      <c r="C637" s="470"/>
      <c r="D637" s="470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</row>
    <row r="638" spans="1:18" ht="19.5" customHeight="1" x14ac:dyDescent="0.25">
      <c r="A638" s="38"/>
      <c r="B638" s="38"/>
      <c r="C638" s="470"/>
      <c r="D638" s="470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</row>
    <row r="639" spans="1:18" ht="19.5" customHeight="1" x14ac:dyDescent="0.25">
      <c r="A639" s="38"/>
      <c r="B639" s="38"/>
      <c r="C639" s="470"/>
      <c r="D639" s="470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</row>
    <row r="640" spans="1:18" ht="19.5" customHeight="1" x14ac:dyDescent="0.25">
      <c r="A640" s="38"/>
      <c r="B640" s="38"/>
      <c r="C640" s="470"/>
      <c r="D640" s="470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</row>
    <row r="641" spans="1:18" ht="19.5" customHeight="1" x14ac:dyDescent="0.25">
      <c r="A641" s="38"/>
      <c r="B641" s="38"/>
      <c r="C641" s="470"/>
      <c r="D641" s="470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</row>
    <row r="642" spans="1:18" ht="19.5" customHeight="1" x14ac:dyDescent="0.25">
      <c r="A642" s="38"/>
      <c r="B642" s="38"/>
      <c r="C642" s="470"/>
      <c r="D642" s="470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</row>
    <row r="643" spans="1:18" ht="19.5" customHeight="1" x14ac:dyDescent="0.25">
      <c r="A643" s="38"/>
      <c r="B643" s="38"/>
      <c r="C643" s="470"/>
      <c r="D643" s="470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</row>
    <row r="644" spans="1:18" ht="19.5" customHeight="1" x14ac:dyDescent="0.25">
      <c r="A644" s="38"/>
      <c r="B644" s="38"/>
      <c r="C644" s="470"/>
      <c r="D644" s="470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</row>
    <row r="645" spans="1:18" ht="19.5" customHeight="1" x14ac:dyDescent="0.25">
      <c r="A645" s="38"/>
      <c r="B645" s="38"/>
      <c r="C645" s="470"/>
      <c r="D645" s="470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</row>
    <row r="646" spans="1:18" ht="19.5" customHeight="1" x14ac:dyDescent="0.25">
      <c r="A646" s="38"/>
      <c r="B646" s="38"/>
      <c r="C646" s="470"/>
      <c r="D646" s="470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</row>
    <row r="647" spans="1:18" ht="19.5" customHeight="1" x14ac:dyDescent="0.25">
      <c r="A647" s="38"/>
      <c r="B647" s="38"/>
      <c r="C647" s="470"/>
      <c r="D647" s="470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</row>
    <row r="648" spans="1:18" ht="19.5" customHeight="1" x14ac:dyDescent="0.25">
      <c r="A648" s="38"/>
      <c r="B648" s="38"/>
      <c r="C648" s="470"/>
      <c r="D648" s="470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</row>
    <row r="649" spans="1:18" ht="19.5" customHeight="1" x14ac:dyDescent="0.25">
      <c r="A649" s="38"/>
      <c r="B649" s="38"/>
      <c r="C649" s="470"/>
      <c r="D649" s="470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</row>
    <row r="650" spans="1:18" ht="19.5" customHeight="1" x14ac:dyDescent="0.25">
      <c r="A650" s="38"/>
      <c r="B650" s="38"/>
      <c r="C650" s="470"/>
      <c r="D650" s="470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</row>
    <row r="651" spans="1:18" ht="19.5" customHeight="1" x14ac:dyDescent="0.25">
      <c r="A651" s="38"/>
      <c r="B651" s="38"/>
      <c r="C651" s="470"/>
      <c r="D651" s="470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</row>
    <row r="652" spans="1:18" ht="19.5" customHeight="1" x14ac:dyDescent="0.25">
      <c r="A652" s="38"/>
      <c r="B652" s="38"/>
      <c r="C652" s="470"/>
      <c r="D652" s="470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</row>
    <row r="653" spans="1:18" ht="19.5" customHeight="1" x14ac:dyDescent="0.25">
      <c r="A653" s="38"/>
      <c r="B653" s="38"/>
      <c r="C653" s="470"/>
      <c r="D653" s="470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</row>
    <row r="654" spans="1:18" ht="19.5" customHeight="1" x14ac:dyDescent="0.25">
      <c r="A654" s="38"/>
      <c r="B654" s="38"/>
      <c r="C654" s="470"/>
      <c r="D654" s="470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</row>
    <row r="655" spans="1:18" ht="19.5" customHeight="1" x14ac:dyDescent="0.25">
      <c r="A655" s="38"/>
      <c r="B655" s="38"/>
      <c r="C655" s="470"/>
      <c r="D655" s="470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</row>
    <row r="656" spans="1:18" ht="19.5" customHeight="1" x14ac:dyDescent="0.25">
      <c r="A656" s="38"/>
      <c r="B656" s="38"/>
      <c r="C656" s="470"/>
      <c r="D656" s="470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</row>
    <row r="657" spans="1:18" ht="19.5" customHeight="1" x14ac:dyDescent="0.25">
      <c r="A657" s="38"/>
      <c r="B657" s="38"/>
      <c r="C657" s="470"/>
      <c r="D657" s="470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</row>
    <row r="658" spans="1:18" ht="19.5" customHeight="1" x14ac:dyDescent="0.25">
      <c r="A658" s="38"/>
      <c r="B658" s="38"/>
      <c r="C658" s="470"/>
      <c r="D658" s="470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</row>
    <row r="659" spans="1:18" ht="19.5" customHeight="1" x14ac:dyDescent="0.25">
      <c r="A659" s="38"/>
      <c r="B659" s="38"/>
      <c r="C659" s="470"/>
      <c r="D659" s="470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</row>
    <row r="660" spans="1:18" ht="19.5" customHeight="1" x14ac:dyDescent="0.25">
      <c r="A660" s="38"/>
      <c r="B660" s="38"/>
      <c r="C660" s="470"/>
      <c r="D660" s="470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</row>
    <row r="661" spans="1:18" ht="19.5" customHeight="1" x14ac:dyDescent="0.25">
      <c r="A661" s="38"/>
      <c r="B661" s="38"/>
      <c r="C661" s="470"/>
      <c r="D661" s="470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</row>
    <row r="662" spans="1:18" ht="19.5" customHeight="1" x14ac:dyDescent="0.25">
      <c r="A662" s="38"/>
      <c r="B662" s="38"/>
      <c r="C662" s="470"/>
      <c r="D662" s="470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</row>
    <row r="663" spans="1:18" ht="19.5" customHeight="1" x14ac:dyDescent="0.25">
      <c r="A663" s="38"/>
      <c r="B663" s="38"/>
      <c r="C663" s="470"/>
      <c r="D663" s="470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</row>
    <row r="664" spans="1:18" ht="19.5" customHeight="1" x14ac:dyDescent="0.25">
      <c r="A664" s="38"/>
      <c r="B664" s="38"/>
      <c r="C664" s="470"/>
      <c r="D664" s="470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</row>
    <row r="665" spans="1:18" ht="19.5" customHeight="1" x14ac:dyDescent="0.25">
      <c r="A665" s="38"/>
      <c r="B665" s="38"/>
      <c r="C665" s="470"/>
      <c r="D665" s="470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</row>
    <row r="666" spans="1:18" ht="19.5" customHeight="1" x14ac:dyDescent="0.25">
      <c r="A666" s="38"/>
      <c r="B666" s="38"/>
      <c r="C666" s="470"/>
      <c r="D666" s="470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</row>
    <row r="667" spans="1:18" ht="19.5" customHeight="1" x14ac:dyDescent="0.25">
      <c r="A667" s="38"/>
      <c r="B667" s="38"/>
      <c r="C667" s="470"/>
      <c r="D667" s="470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</row>
    <row r="668" spans="1:18" ht="19.5" customHeight="1" x14ac:dyDescent="0.25">
      <c r="A668" s="38"/>
      <c r="B668" s="38"/>
      <c r="C668" s="470"/>
      <c r="D668" s="470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</row>
    <row r="669" spans="1:18" ht="19.5" customHeight="1" x14ac:dyDescent="0.25">
      <c r="A669" s="38"/>
      <c r="B669" s="38"/>
      <c r="C669" s="470"/>
      <c r="D669" s="470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</row>
    <row r="670" spans="1:18" ht="19.5" customHeight="1" x14ac:dyDescent="0.25">
      <c r="A670" s="38"/>
      <c r="B670" s="38"/>
      <c r="C670" s="470"/>
      <c r="D670" s="470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</row>
    <row r="671" spans="1:18" ht="19.5" customHeight="1" x14ac:dyDescent="0.25">
      <c r="A671" s="38"/>
      <c r="B671" s="38"/>
      <c r="C671" s="470"/>
      <c r="D671" s="470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</row>
    <row r="672" spans="1:18" ht="19.5" customHeight="1" x14ac:dyDescent="0.25">
      <c r="A672" s="38"/>
      <c r="B672" s="38"/>
      <c r="C672" s="470"/>
      <c r="D672" s="470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</row>
    <row r="673" spans="1:18" ht="19.5" customHeight="1" x14ac:dyDescent="0.25">
      <c r="A673" s="38"/>
      <c r="B673" s="38"/>
      <c r="C673" s="470"/>
      <c r="D673" s="470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</row>
    <row r="674" spans="1:18" ht="19.5" customHeight="1" x14ac:dyDescent="0.25">
      <c r="A674" s="38"/>
      <c r="B674" s="38"/>
      <c r="C674" s="470"/>
      <c r="D674" s="470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</row>
    <row r="675" spans="1:18" ht="19.5" customHeight="1" x14ac:dyDescent="0.25">
      <c r="A675" s="38"/>
      <c r="B675" s="38"/>
      <c r="C675" s="470"/>
      <c r="D675" s="470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</row>
    <row r="676" spans="1:18" ht="19.5" customHeight="1" x14ac:dyDescent="0.25">
      <c r="A676" s="38"/>
      <c r="B676" s="38"/>
      <c r="C676" s="470"/>
      <c r="D676" s="470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</row>
    <row r="677" spans="1:18" ht="19.5" customHeight="1" x14ac:dyDescent="0.25">
      <c r="A677" s="38"/>
      <c r="B677" s="38"/>
      <c r="C677" s="470"/>
      <c r="D677" s="470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</row>
    <row r="678" spans="1:18" ht="19.5" customHeight="1" x14ac:dyDescent="0.25">
      <c r="A678" s="38"/>
      <c r="B678" s="38"/>
      <c r="C678" s="470"/>
      <c r="D678" s="470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</row>
    <row r="679" spans="1:18" ht="19.5" customHeight="1" x14ac:dyDescent="0.25">
      <c r="A679" s="38"/>
      <c r="B679" s="38"/>
      <c r="C679" s="470"/>
      <c r="D679" s="470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</row>
    <row r="680" spans="1:18" ht="19.5" customHeight="1" x14ac:dyDescent="0.25">
      <c r="A680" s="38"/>
      <c r="B680" s="38"/>
      <c r="C680" s="470"/>
      <c r="D680" s="470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</row>
    <row r="681" spans="1:18" ht="19.5" customHeight="1" x14ac:dyDescent="0.25">
      <c r="A681" s="38"/>
      <c r="B681" s="38"/>
      <c r="C681" s="470"/>
      <c r="D681" s="470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</row>
    <row r="682" spans="1:18" ht="19.5" customHeight="1" x14ac:dyDescent="0.25">
      <c r="A682" s="38"/>
      <c r="B682" s="38"/>
      <c r="C682" s="470"/>
      <c r="D682" s="470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</row>
    <row r="683" spans="1:18" ht="19.5" customHeight="1" x14ac:dyDescent="0.25">
      <c r="A683" s="38"/>
      <c r="B683" s="38"/>
      <c r="C683" s="470"/>
      <c r="D683" s="470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</row>
    <row r="684" spans="1:18" ht="19.5" customHeight="1" x14ac:dyDescent="0.25">
      <c r="A684" s="38"/>
      <c r="B684" s="38"/>
      <c r="C684" s="470"/>
      <c r="D684" s="470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</row>
    <row r="685" spans="1:18" ht="19.5" customHeight="1" x14ac:dyDescent="0.25">
      <c r="A685" s="38"/>
      <c r="B685" s="38"/>
      <c r="C685" s="470"/>
      <c r="D685" s="470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</row>
    <row r="686" spans="1:18" ht="19.5" customHeight="1" x14ac:dyDescent="0.25">
      <c r="A686" s="38"/>
      <c r="B686" s="38"/>
      <c r="C686" s="470"/>
      <c r="D686" s="470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</row>
    <row r="687" spans="1:18" ht="19.5" customHeight="1" x14ac:dyDescent="0.25">
      <c r="A687" s="38"/>
      <c r="B687" s="38"/>
      <c r="C687" s="470"/>
      <c r="D687" s="470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</row>
    <row r="688" spans="1:18" ht="19.5" customHeight="1" x14ac:dyDescent="0.25">
      <c r="A688" s="38"/>
      <c r="B688" s="38"/>
      <c r="C688" s="470"/>
      <c r="D688" s="470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</row>
    <row r="689" spans="1:18" ht="19.5" customHeight="1" x14ac:dyDescent="0.25">
      <c r="A689" s="38"/>
      <c r="B689" s="38"/>
      <c r="C689" s="470"/>
      <c r="D689" s="470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</row>
    <row r="690" spans="1:18" ht="19.5" customHeight="1" x14ac:dyDescent="0.25">
      <c r="A690" s="38"/>
      <c r="B690" s="38"/>
      <c r="C690" s="470"/>
      <c r="D690" s="470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</row>
    <row r="691" spans="1:18" ht="19.5" customHeight="1" x14ac:dyDescent="0.25">
      <c r="A691" s="38"/>
      <c r="B691" s="38"/>
      <c r="C691" s="470"/>
      <c r="D691" s="470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</row>
    <row r="692" spans="1:18" ht="19.5" customHeight="1" x14ac:dyDescent="0.25">
      <c r="A692" s="38"/>
      <c r="B692" s="38"/>
      <c r="C692" s="470"/>
      <c r="D692" s="470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</row>
    <row r="693" spans="1:18" ht="19.5" customHeight="1" x14ac:dyDescent="0.25">
      <c r="A693" s="38"/>
      <c r="B693" s="38"/>
      <c r="C693" s="470"/>
      <c r="D693" s="470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</row>
    <row r="694" spans="1:18" ht="19.5" customHeight="1" x14ac:dyDescent="0.25">
      <c r="A694" s="38"/>
      <c r="B694" s="38"/>
      <c r="C694" s="470"/>
      <c r="D694" s="470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</row>
    <row r="695" spans="1:18" ht="19.5" customHeight="1" x14ac:dyDescent="0.25">
      <c r="A695" s="38"/>
      <c r="B695" s="38"/>
      <c r="C695" s="470"/>
      <c r="D695" s="470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</row>
    <row r="696" spans="1:18" ht="19.5" customHeight="1" x14ac:dyDescent="0.25">
      <c r="A696" s="38"/>
      <c r="B696" s="38"/>
      <c r="C696" s="470"/>
      <c r="D696" s="470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</row>
    <row r="697" spans="1:18" ht="19.5" customHeight="1" x14ac:dyDescent="0.25">
      <c r="A697" s="38"/>
      <c r="B697" s="38"/>
      <c r="C697" s="470"/>
      <c r="D697" s="470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</row>
    <row r="698" spans="1:18" ht="19.5" customHeight="1" x14ac:dyDescent="0.25">
      <c r="A698" s="38"/>
      <c r="B698" s="38"/>
      <c r="C698" s="470"/>
      <c r="D698" s="470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</row>
    <row r="699" spans="1:18" ht="19.5" customHeight="1" x14ac:dyDescent="0.25">
      <c r="A699" s="38"/>
      <c r="B699" s="38"/>
      <c r="C699" s="470"/>
      <c r="D699" s="470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</row>
    <row r="700" spans="1:18" ht="19.5" customHeight="1" x14ac:dyDescent="0.25">
      <c r="A700" s="38"/>
      <c r="B700" s="38"/>
      <c r="C700" s="470"/>
      <c r="D700" s="470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</row>
    <row r="701" spans="1:18" ht="19.5" customHeight="1" x14ac:dyDescent="0.25">
      <c r="A701" s="38"/>
      <c r="B701" s="38"/>
      <c r="C701" s="470"/>
      <c r="D701" s="470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</row>
    <row r="702" spans="1:18" ht="19.5" customHeight="1" x14ac:dyDescent="0.25">
      <c r="A702" s="38"/>
      <c r="B702" s="38"/>
      <c r="C702" s="470"/>
      <c r="D702" s="470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</row>
    <row r="703" spans="1:18" ht="19.5" customHeight="1" x14ac:dyDescent="0.25">
      <c r="A703" s="38"/>
      <c r="B703" s="38"/>
      <c r="C703" s="470"/>
      <c r="D703" s="470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</row>
    <row r="704" spans="1:18" ht="19.5" customHeight="1" x14ac:dyDescent="0.25">
      <c r="A704" s="38"/>
      <c r="B704" s="38"/>
      <c r="C704" s="470"/>
      <c r="D704" s="470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</row>
    <row r="705" spans="1:18" ht="19.5" customHeight="1" x14ac:dyDescent="0.25">
      <c r="A705" s="38"/>
      <c r="B705" s="38"/>
      <c r="C705" s="470"/>
      <c r="D705" s="470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</row>
    <row r="706" spans="1:18" ht="19.5" customHeight="1" x14ac:dyDescent="0.25">
      <c r="A706" s="38"/>
      <c r="B706" s="38"/>
      <c r="C706" s="470"/>
      <c r="D706" s="470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</row>
    <row r="707" spans="1:18" ht="19.5" customHeight="1" x14ac:dyDescent="0.25">
      <c r="A707" s="38"/>
      <c r="B707" s="38"/>
      <c r="C707" s="470"/>
      <c r="D707" s="470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</row>
    <row r="708" spans="1:18" ht="19.5" customHeight="1" x14ac:dyDescent="0.25">
      <c r="A708" s="38"/>
      <c r="B708" s="38"/>
      <c r="C708" s="470"/>
      <c r="D708" s="470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</row>
    <row r="709" spans="1:18" ht="19.5" customHeight="1" x14ac:dyDescent="0.25">
      <c r="A709" s="38"/>
      <c r="B709" s="38"/>
      <c r="C709" s="470"/>
      <c r="D709" s="470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</row>
    <row r="710" spans="1:18" ht="19.5" customHeight="1" x14ac:dyDescent="0.25">
      <c r="A710" s="38"/>
      <c r="B710" s="38"/>
      <c r="C710" s="470"/>
      <c r="D710" s="470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</row>
    <row r="711" spans="1:18" ht="19.5" customHeight="1" x14ac:dyDescent="0.25">
      <c r="A711" s="38"/>
      <c r="B711" s="38"/>
      <c r="C711" s="470"/>
      <c r="D711" s="470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</row>
    <row r="712" spans="1:18" ht="19.5" customHeight="1" x14ac:dyDescent="0.25">
      <c r="A712" s="38"/>
      <c r="B712" s="38"/>
      <c r="C712" s="470"/>
      <c r="D712" s="470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</row>
    <row r="713" spans="1:18" ht="19.5" customHeight="1" x14ac:dyDescent="0.25">
      <c r="A713" s="38"/>
      <c r="B713" s="38"/>
      <c r="C713" s="470"/>
      <c r="D713" s="470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</row>
    <row r="714" spans="1:18" ht="19.5" customHeight="1" x14ac:dyDescent="0.25">
      <c r="A714" s="38"/>
      <c r="B714" s="38"/>
      <c r="C714" s="470"/>
      <c r="D714" s="470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</row>
    <row r="715" spans="1:18" ht="19.5" customHeight="1" x14ac:dyDescent="0.25">
      <c r="A715" s="38"/>
      <c r="B715" s="38"/>
      <c r="C715" s="470"/>
      <c r="D715" s="470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</row>
    <row r="716" spans="1:18" ht="19.5" customHeight="1" x14ac:dyDescent="0.25">
      <c r="A716" s="38"/>
      <c r="B716" s="38"/>
      <c r="C716" s="470"/>
      <c r="D716" s="470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</row>
    <row r="717" spans="1:18" ht="19.5" customHeight="1" x14ac:dyDescent="0.25">
      <c r="A717" s="38"/>
      <c r="B717" s="38"/>
      <c r="C717" s="470"/>
      <c r="D717" s="470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</row>
    <row r="718" spans="1:18" ht="19.5" customHeight="1" x14ac:dyDescent="0.25">
      <c r="A718" s="38"/>
      <c r="B718" s="38"/>
      <c r="C718" s="470"/>
      <c r="D718" s="470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</row>
    <row r="719" spans="1:18" ht="19.5" customHeight="1" x14ac:dyDescent="0.25">
      <c r="A719" s="38"/>
      <c r="B719" s="38"/>
      <c r="C719" s="470"/>
      <c r="D719" s="470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</row>
    <row r="720" spans="1:18" ht="19.5" customHeight="1" x14ac:dyDescent="0.25">
      <c r="A720" s="38"/>
      <c r="B720" s="38"/>
      <c r="C720" s="470"/>
      <c r="D720" s="470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</row>
    <row r="721" spans="1:18" ht="19.5" customHeight="1" x14ac:dyDescent="0.25">
      <c r="A721" s="38"/>
      <c r="B721" s="38"/>
      <c r="C721" s="470"/>
      <c r="D721" s="470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</row>
    <row r="722" spans="1:18" ht="19.5" customHeight="1" x14ac:dyDescent="0.25">
      <c r="A722" s="38"/>
      <c r="B722" s="38"/>
      <c r="C722" s="470"/>
      <c r="D722" s="470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</row>
    <row r="723" spans="1:18" ht="19.5" customHeight="1" x14ac:dyDescent="0.25">
      <c r="A723" s="38"/>
      <c r="B723" s="38"/>
      <c r="C723" s="470"/>
      <c r="D723" s="470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</row>
    <row r="724" spans="1:18" ht="19.5" customHeight="1" x14ac:dyDescent="0.25">
      <c r="A724" s="38"/>
      <c r="B724" s="38"/>
      <c r="C724" s="470"/>
      <c r="D724" s="470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</row>
    <row r="725" spans="1:18" ht="19.5" customHeight="1" x14ac:dyDescent="0.25">
      <c r="A725" s="38"/>
      <c r="B725" s="38"/>
      <c r="C725" s="470"/>
      <c r="D725" s="470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</row>
    <row r="726" spans="1:18" ht="19.5" customHeight="1" x14ac:dyDescent="0.25">
      <c r="A726" s="38"/>
      <c r="B726" s="38"/>
      <c r="C726" s="470"/>
      <c r="D726" s="470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</row>
    <row r="727" spans="1:18" ht="19.5" customHeight="1" x14ac:dyDescent="0.25">
      <c r="A727" s="38"/>
      <c r="B727" s="38"/>
      <c r="C727" s="470"/>
      <c r="D727" s="470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</row>
    <row r="728" spans="1:18" ht="19.5" customHeight="1" x14ac:dyDescent="0.25">
      <c r="A728" s="38"/>
      <c r="B728" s="38"/>
      <c r="C728" s="470"/>
      <c r="D728" s="470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</row>
    <row r="729" spans="1:18" ht="19.5" customHeight="1" x14ac:dyDescent="0.25">
      <c r="A729" s="38"/>
      <c r="B729" s="38"/>
      <c r="C729" s="470"/>
      <c r="D729" s="470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</row>
    <row r="730" spans="1:18" ht="19.5" customHeight="1" x14ac:dyDescent="0.25">
      <c r="A730" s="38"/>
      <c r="B730" s="38"/>
      <c r="C730" s="470"/>
      <c r="D730" s="470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</row>
    <row r="731" spans="1:18" ht="19.5" customHeight="1" x14ac:dyDescent="0.25">
      <c r="A731" s="38"/>
      <c r="B731" s="38"/>
      <c r="C731" s="470"/>
      <c r="D731" s="470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</row>
    <row r="732" spans="1:18" ht="19.5" customHeight="1" x14ac:dyDescent="0.25">
      <c r="A732" s="38"/>
      <c r="B732" s="38"/>
      <c r="C732" s="470"/>
      <c r="D732" s="470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</row>
    <row r="733" spans="1:18" ht="19.5" customHeight="1" x14ac:dyDescent="0.25">
      <c r="A733" s="38"/>
      <c r="B733" s="38"/>
      <c r="C733" s="470"/>
      <c r="D733" s="470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</row>
    <row r="734" spans="1:18" ht="19.5" customHeight="1" x14ac:dyDescent="0.25">
      <c r="A734" s="38"/>
      <c r="B734" s="38"/>
      <c r="C734" s="470"/>
      <c r="D734" s="470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</row>
    <row r="735" spans="1:18" ht="19.5" customHeight="1" x14ac:dyDescent="0.25">
      <c r="A735" s="38"/>
      <c r="B735" s="38"/>
      <c r="C735" s="470"/>
      <c r="D735" s="470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</row>
    <row r="736" spans="1:18" ht="19.5" customHeight="1" x14ac:dyDescent="0.25">
      <c r="A736" s="38"/>
      <c r="B736" s="38"/>
      <c r="C736" s="470"/>
      <c r="D736" s="470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</row>
    <row r="737" spans="1:18" ht="19.5" customHeight="1" x14ac:dyDescent="0.25">
      <c r="A737" s="38"/>
      <c r="B737" s="38"/>
      <c r="C737" s="470"/>
      <c r="D737" s="470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</row>
    <row r="738" spans="1:18" ht="19.5" customHeight="1" x14ac:dyDescent="0.25">
      <c r="A738" s="38"/>
      <c r="B738" s="38"/>
      <c r="C738" s="470"/>
      <c r="D738" s="470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</row>
    <row r="739" spans="1:18" ht="19.5" customHeight="1" x14ac:dyDescent="0.25">
      <c r="A739" s="38"/>
      <c r="B739" s="38"/>
      <c r="C739" s="470"/>
      <c r="D739" s="470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</row>
    <row r="740" spans="1:18" ht="19.5" customHeight="1" x14ac:dyDescent="0.25">
      <c r="A740" s="38"/>
      <c r="B740" s="38"/>
      <c r="C740" s="470"/>
      <c r="D740" s="470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</row>
    <row r="741" spans="1:18" ht="19.5" customHeight="1" x14ac:dyDescent="0.25">
      <c r="A741" s="38"/>
      <c r="B741" s="38"/>
      <c r="C741" s="470"/>
      <c r="D741" s="470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</row>
    <row r="742" spans="1:18" ht="19.5" customHeight="1" x14ac:dyDescent="0.25">
      <c r="A742" s="38"/>
      <c r="B742" s="38"/>
      <c r="C742" s="470"/>
      <c r="D742" s="470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</row>
    <row r="743" spans="1:18" ht="19.5" customHeight="1" x14ac:dyDescent="0.25">
      <c r="A743" s="38"/>
      <c r="B743" s="38"/>
      <c r="C743" s="470"/>
      <c r="D743" s="470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</row>
    <row r="744" spans="1:18" ht="19.5" customHeight="1" x14ac:dyDescent="0.25">
      <c r="A744" s="38"/>
      <c r="B744" s="38"/>
      <c r="C744" s="470"/>
      <c r="D744" s="470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</row>
    <row r="745" spans="1:18" ht="19.5" customHeight="1" x14ac:dyDescent="0.25">
      <c r="A745" s="38"/>
      <c r="B745" s="38"/>
      <c r="C745" s="470"/>
      <c r="D745" s="470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</row>
    <row r="746" spans="1:18" ht="19.5" customHeight="1" x14ac:dyDescent="0.25">
      <c r="A746" s="38"/>
      <c r="B746" s="38"/>
      <c r="C746" s="470"/>
      <c r="D746" s="470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</row>
    <row r="747" spans="1:18" ht="19.5" customHeight="1" x14ac:dyDescent="0.25">
      <c r="A747" s="38"/>
      <c r="B747" s="38"/>
      <c r="C747" s="470"/>
      <c r="D747" s="470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</row>
    <row r="748" spans="1:18" ht="19.5" customHeight="1" x14ac:dyDescent="0.25">
      <c r="A748" s="38"/>
      <c r="B748" s="38"/>
      <c r="C748" s="470"/>
      <c r="D748" s="470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</row>
    <row r="749" spans="1:18" ht="19.5" customHeight="1" x14ac:dyDescent="0.25">
      <c r="A749" s="38"/>
      <c r="B749" s="38"/>
      <c r="C749" s="470"/>
      <c r="D749" s="470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</row>
    <row r="750" spans="1:18" ht="19.5" customHeight="1" x14ac:dyDescent="0.25">
      <c r="A750" s="38"/>
      <c r="B750" s="38"/>
      <c r="C750" s="470"/>
      <c r="D750" s="470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</row>
    <row r="751" spans="1:18" ht="19.5" customHeight="1" x14ac:dyDescent="0.25">
      <c r="A751" s="38"/>
      <c r="B751" s="38"/>
      <c r="C751" s="470"/>
      <c r="D751" s="470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</row>
    <row r="752" spans="1:18" ht="19.5" customHeight="1" x14ac:dyDescent="0.25">
      <c r="A752" s="38"/>
      <c r="B752" s="38"/>
      <c r="C752" s="470"/>
      <c r="D752" s="470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</row>
    <row r="753" spans="1:18" ht="19.5" customHeight="1" x14ac:dyDescent="0.25">
      <c r="A753" s="38"/>
      <c r="B753" s="38"/>
      <c r="C753" s="470"/>
      <c r="D753" s="470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</row>
    <row r="754" spans="1:18" ht="19.5" customHeight="1" x14ac:dyDescent="0.25">
      <c r="A754" s="38"/>
      <c r="B754" s="38"/>
      <c r="C754" s="470"/>
      <c r="D754" s="470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</row>
    <row r="755" spans="1:18" ht="19.5" customHeight="1" x14ac:dyDescent="0.25">
      <c r="A755" s="38"/>
      <c r="B755" s="38"/>
      <c r="C755" s="470"/>
      <c r="D755" s="470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</row>
    <row r="756" spans="1:18" ht="19.5" customHeight="1" x14ac:dyDescent="0.25">
      <c r="A756" s="38"/>
      <c r="B756" s="38"/>
      <c r="C756" s="470"/>
      <c r="D756" s="470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</row>
    <row r="757" spans="1:18" ht="19.5" customHeight="1" x14ac:dyDescent="0.25">
      <c r="A757" s="38"/>
      <c r="B757" s="38"/>
      <c r="C757" s="470"/>
      <c r="D757" s="470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</row>
    <row r="758" spans="1:18" ht="19.5" customHeight="1" x14ac:dyDescent="0.25">
      <c r="A758" s="38"/>
      <c r="B758" s="38"/>
      <c r="C758" s="470"/>
      <c r="D758" s="470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</row>
    <row r="759" spans="1:18" ht="19.5" customHeight="1" x14ac:dyDescent="0.25">
      <c r="A759" s="38"/>
      <c r="B759" s="38"/>
      <c r="C759" s="470"/>
      <c r="D759" s="470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</row>
    <row r="760" spans="1:18" ht="19.5" customHeight="1" x14ac:dyDescent="0.25">
      <c r="A760" s="38"/>
      <c r="B760" s="38"/>
      <c r="C760" s="470"/>
      <c r="D760" s="470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</row>
    <row r="761" spans="1:18" ht="19.5" customHeight="1" x14ac:dyDescent="0.25">
      <c r="A761" s="38"/>
      <c r="B761" s="38"/>
      <c r="C761" s="470"/>
      <c r="D761" s="470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</row>
    <row r="762" spans="1:18" ht="19.5" customHeight="1" x14ac:dyDescent="0.25">
      <c r="A762" s="38"/>
      <c r="B762" s="38"/>
      <c r="C762" s="470"/>
      <c r="D762" s="470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</row>
    <row r="763" spans="1:18" ht="19.5" customHeight="1" x14ac:dyDescent="0.25">
      <c r="A763" s="38"/>
      <c r="B763" s="38"/>
      <c r="C763" s="470"/>
      <c r="D763" s="470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</row>
    <row r="764" spans="1:18" ht="19.5" customHeight="1" x14ac:dyDescent="0.25">
      <c r="A764" s="38"/>
      <c r="B764" s="38"/>
      <c r="C764" s="470"/>
      <c r="D764" s="470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</row>
    <row r="765" spans="1:18" ht="19.5" customHeight="1" x14ac:dyDescent="0.25">
      <c r="A765" s="38"/>
      <c r="B765" s="38"/>
      <c r="C765" s="470"/>
      <c r="D765" s="470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</row>
    <row r="766" spans="1:18" ht="19.5" customHeight="1" x14ac:dyDescent="0.25">
      <c r="A766" s="38"/>
      <c r="B766" s="38"/>
      <c r="C766" s="470"/>
      <c r="D766" s="470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</row>
    <row r="767" spans="1:18" ht="19.5" customHeight="1" x14ac:dyDescent="0.25">
      <c r="A767" s="38"/>
      <c r="B767" s="38"/>
      <c r="C767" s="470"/>
      <c r="D767" s="470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</row>
    <row r="768" spans="1:18" ht="19.5" customHeight="1" x14ac:dyDescent="0.25">
      <c r="A768" s="38"/>
      <c r="B768" s="38"/>
      <c r="C768" s="470"/>
      <c r="D768" s="470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</row>
    <row r="769" spans="1:18" ht="19.5" customHeight="1" x14ac:dyDescent="0.25">
      <c r="A769" s="38"/>
      <c r="B769" s="38"/>
      <c r="C769" s="470"/>
      <c r="D769" s="470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</row>
    <row r="770" spans="1:18" ht="19.5" customHeight="1" x14ac:dyDescent="0.25">
      <c r="A770" s="38"/>
      <c r="B770" s="38"/>
      <c r="C770" s="470"/>
      <c r="D770" s="470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</row>
    <row r="771" spans="1:18" ht="19.5" customHeight="1" x14ac:dyDescent="0.25">
      <c r="A771" s="38"/>
      <c r="B771" s="38"/>
      <c r="C771" s="470"/>
      <c r="D771" s="470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</row>
    <row r="772" spans="1:18" ht="19.5" customHeight="1" x14ac:dyDescent="0.25">
      <c r="A772" s="38"/>
      <c r="B772" s="38"/>
      <c r="C772" s="470"/>
      <c r="D772" s="470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</row>
    <row r="773" spans="1:18" ht="19.5" customHeight="1" x14ac:dyDescent="0.25">
      <c r="A773" s="38"/>
      <c r="B773" s="38"/>
      <c r="C773" s="470"/>
      <c r="D773" s="470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</row>
    <row r="774" spans="1:18" ht="19.5" customHeight="1" x14ac:dyDescent="0.25">
      <c r="A774" s="38"/>
      <c r="B774" s="38"/>
      <c r="C774" s="470"/>
      <c r="D774" s="470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</row>
    <row r="775" spans="1:18" ht="19.5" customHeight="1" x14ac:dyDescent="0.25">
      <c r="A775" s="38"/>
      <c r="B775" s="38"/>
      <c r="C775" s="470"/>
      <c r="D775" s="470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</row>
    <row r="776" spans="1:18" ht="19.5" customHeight="1" x14ac:dyDescent="0.25">
      <c r="A776" s="38"/>
      <c r="B776" s="38"/>
      <c r="C776" s="470"/>
      <c r="D776" s="470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</row>
    <row r="777" spans="1:18" ht="19.5" customHeight="1" x14ac:dyDescent="0.25">
      <c r="A777" s="38"/>
      <c r="B777" s="38"/>
      <c r="C777" s="470"/>
      <c r="D777" s="470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</row>
    <row r="778" spans="1:18" ht="19.5" customHeight="1" x14ac:dyDescent="0.25">
      <c r="A778" s="38"/>
      <c r="B778" s="38"/>
      <c r="C778" s="470"/>
      <c r="D778" s="470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</row>
    <row r="779" spans="1:18" ht="19.5" customHeight="1" x14ac:dyDescent="0.25">
      <c r="A779" s="38"/>
      <c r="B779" s="38"/>
      <c r="C779" s="470"/>
      <c r="D779" s="470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</row>
    <row r="780" spans="1:18" ht="19.5" customHeight="1" x14ac:dyDescent="0.25">
      <c r="A780" s="38"/>
      <c r="B780" s="38"/>
      <c r="C780" s="470"/>
      <c r="D780" s="470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</row>
    <row r="781" spans="1:18" ht="19.5" customHeight="1" x14ac:dyDescent="0.25">
      <c r="A781" s="38"/>
      <c r="B781" s="38"/>
      <c r="C781" s="470"/>
      <c r="D781" s="470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</row>
    <row r="782" spans="1:18" ht="19.5" customHeight="1" x14ac:dyDescent="0.25">
      <c r="A782" s="38"/>
      <c r="B782" s="38"/>
      <c r="C782" s="470"/>
      <c r="D782" s="470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</row>
    <row r="783" spans="1:18" ht="19.5" customHeight="1" x14ac:dyDescent="0.25">
      <c r="A783" s="38"/>
      <c r="B783" s="38"/>
      <c r="C783" s="470"/>
      <c r="D783" s="470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</row>
    <row r="784" spans="1:18" ht="19.5" customHeight="1" x14ac:dyDescent="0.25">
      <c r="A784" s="38"/>
      <c r="B784" s="38"/>
      <c r="C784" s="470"/>
      <c r="D784" s="470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</row>
    <row r="785" spans="1:18" ht="19.5" customHeight="1" x14ac:dyDescent="0.25">
      <c r="A785" s="38"/>
      <c r="B785" s="38"/>
      <c r="C785" s="470"/>
      <c r="D785" s="470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</row>
    <row r="786" spans="1:18" ht="19.5" customHeight="1" x14ac:dyDescent="0.25">
      <c r="A786" s="38"/>
      <c r="B786" s="38"/>
      <c r="C786" s="470"/>
      <c r="D786" s="470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</row>
    <row r="787" spans="1:18" ht="19.5" customHeight="1" x14ac:dyDescent="0.25">
      <c r="A787" s="38"/>
      <c r="B787" s="38"/>
      <c r="C787" s="470"/>
      <c r="D787" s="470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</row>
    <row r="788" spans="1:18" ht="19.5" customHeight="1" x14ac:dyDescent="0.25">
      <c r="A788" s="38"/>
      <c r="B788" s="38"/>
      <c r="C788" s="470"/>
      <c r="D788" s="470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</row>
    <row r="789" spans="1:18" ht="19.5" customHeight="1" x14ac:dyDescent="0.25">
      <c r="A789" s="38"/>
      <c r="B789" s="38"/>
      <c r="C789" s="470"/>
      <c r="D789" s="470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</row>
    <row r="790" spans="1:18" ht="19.5" customHeight="1" x14ac:dyDescent="0.25">
      <c r="A790" s="38"/>
      <c r="B790" s="38"/>
      <c r="C790" s="470"/>
      <c r="D790" s="470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</row>
    <row r="791" spans="1:18" ht="19.5" customHeight="1" x14ac:dyDescent="0.25">
      <c r="A791" s="38"/>
      <c r="B791" s="38"/>
      <c r="C791" s="470"/>
      <c r="D791" s="470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</row>
    <row r="792" spans="1:18" ht="19.5" customHeight="1" x14ac:dyDescent="0.25">
      <c r="A792" s="38"/>
      <c r="B792" s="38"/>
      <c r="C792" s="470"/>
      <c r="D792" s="470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</row>
    <row r="793" spans="1:18" ht="19.5" customHeight="1" x14ac:dyDescent="0.25">
      <c r="A793" s="38"/>
      <c r="B793" s="38"/>
      <c r="C793" s="470"/>
      <c r="D793" s="470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</row>
    <row r="794" spans="1:18" ht="19.5" customHeight="1" x14ac:dyDescent="0.25">
      <c r="A794" s="38"/>
      <c r="B794" s="38"/>
      <c r="C794" s="470"/>
      <c r="D794" s="470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</row>
    <row r="795" spans="1:18" ht="19.5" customHeight="1" x14ac:dyDescent="0.25">
      <c r="A795" s="38"/>
      <c r="B795" s="38"/>
      <c r="C795" s="470"/>
      <c r="D795" s="470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</row>
    <row r="796" spans="1:18" ht="19.5" customHeight="1" x14ac:dyDescent="0.25">
      <c r="A796" s="38"/>
      <c r="B796" s="38"/>
      <c r="C796" s="470"/>
      <c r="D796" s="470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</row>
    <row r="797" spans="1:18" ht="19.5" customHeight="1" x14ac:dyDescent="0.25">
      <c r="A797" s="38"/>
      <c r="B797" s="38"/>
      <c r="C797" s="470"/>
      <c r="D797" s="470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</row>
    <row r="798" spans="1:18" ht="19.5" customHeight="1" x14ac:dyDescent="0.25">
      <c r="A798" s="38"/>
      <c r="B798" s="38"/>
      <c r="C798" s="470"/>
      <c r="D798" s="470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</row>
    <row r="799" spans="1:18" ht="19.5" customHeight="1" x14ac:dyDescent="0.25">
      <c r="A799" s="38"/>
      <c r="B799" s="38"/>
      <c r="C799" s="470"/>
      <c r="D799" s="470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</row>
    <row r="800" spans="1:18" ht="19.5" customHeight="1" x14ac:dyDescent="0.25">
      <c r="A800" s="38"/>
      <c r="B800" s="38"/>
      <c r="C800" s="470"/>
      <c r="D800" s="470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</row>
    <row r="801" spans="1:18" ht="19.5" customHeight="1" x14ac:dyDescent="0.25">
      <c r="A801" s="38"/>
      <c r="B801" s="38"/>
      <c r="C801" s="470"/>
      <c r="D801" s="470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</row>
    <row r="802" spans="1:18" ht="19.5" customHeight="1" x14ac:dyDescent="0.25">
      <c r="A802" s="38"/>
      <c r="B802" s="38"/>
      <c r="C802" s="470"/>
      <c r="D802" s="470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</row>
    <row r="803" spans="1:18" ht="19.5" customHeight="1" x14ac:dyDescent="0.25">
      <c r="A803" s="38"/>
      <c r="B803" s="38"/>
      <c r="C803" s="470"/>
      <c r="D803" s="470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</row>
    <row r="804" spans="1:18" ht="19.5" customHeight="1" x14ac:dyDescent="0.25">
      <c r="A804" s="38"/>
      <c r="B804" s="38"/>
      <c r="C804" s="470"/>
      <c r="D804" s="470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</row>
    <row r="805" spans="1:18" ht="19.5" customHeight="1" x14ac:dyDescent="0.25">
      <c r="A805" s="38"/>
      <c r="B805" s="38"/>
      <c r="C805" s="470"/>
      <c r="D805" s="470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</row>
    <row r="806" spans="1:18" ht="19.5" customHeight="1" x14ac:dyDescent="0.25">
      <c r="A806" s="38"/>
      <c r="B806" s="38"/>
      <c r="C806" s="470"/>
      <c r="D806" s="470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</row>
    <row r="807" spans="1:18" ht="19.5" customHeight="1" x14ac:dyDescent="0.25">
      <c r="A807" s="38"/>
      <c r="B807" s="38"/>
      <c r="C807" s="470"/>
      <c r="D807" s="470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</row>
    <row r="808" spans="1:18" ht="19.5" customHeight="1" x14ac:dyDescent="0.25">
      <c r="A808" s="38"/>
      <c r="B808" s="38"/>
      <c r="C808" s="470"/>
      <c r="D808" s="470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</row>
    <row r="809" spans="1:18" ht="19.5" customHeight="1" x14ac:dyDescent="0.25">
      <c r="A809" s="38"/>
      <c r="B809" s="38"/>
      <c r="C809" s="470"/>
      <c r="D809" s="470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</row>
    <row r="810" spans="1:18" ht="19.5" customHeight="1" x14ac:dyDescent="0.25">
      <c r="A810" s="38"/>
      <c r="B810" s="38"/>
      <c r="C810" s="470"/>
      <c r="D810" s="470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</row>
    <row r="811" spans="1:18" ht="19.5" customHeight="1" x14ac:dyDescent="0.25">
      <c r="A811" s="38"/>
      <c r="B811" s="38"/>
      <c r="C811" s="470"/>
      <c r="D811" s="470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</row>
    <row r="812" spans="1:18" ht="19.5" customHeight="1" x14ac:dyDescent="0.25">
      <c r="A812" s="38"/>
      <c r="B812" s="38"/>
      <c r="C812" s="470"/>
      <c r="D812" s="470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</row>
    <row r="813" spans="1:18" ht="19.5" customHeight="1" x14ac:dyDescent="0.25">
      <c r="A813" s="38"/>
      <c r="B813" s="38"/>
      <c r="C813" s="470"/>
      <c r="D813" s="470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</row>
    <row r="814" spans="1:18" ht="19.5" customHeight="1" x14ac:dyDescent="0.25">
      <c r="A814" s="38"/>
      <c r="B814" s="38"/>
      <c r="C814" s="470"/>
      <c r="D814" s="470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</row>
    <row r="815" spans="1:18" ht="19.5" customHeight="1" x14ac:dyDescent="0.25">
      <c r="A815" s="38"/>
      <c r="B815" s="38"/>
      <c r="C815" s="470"/>
      <c r="D815" s="470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</row>
    <row r="816" spans="1:18" ht="19.5" customHeight="1" x14ac:dyDescent="0.25">
      <c r="A816" s="38"/>
      <c r="B816" s="38"/>
      <c r="C816" s="470"/>
      <c r="D816" s="470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</row>
    <row r="817" spans="1:18" ht="19.5" customHeight="1" x14ac:dyDescent="0.25">
      <c r="A817" s="38"/>
      <c r="B817" s="38"/>
      <c r="C817" s="470"/>
      <c r="D817" s="470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</row>
    <row r="818" spans="1:18" ht="19.5" customHeight="1" x14ac:dyDescent="0.25">
      <c r="A818" s="38"/>
      <c r="B818" s="38"/>
      <c r="C818" s="470"/>
      <c r="D818" s="470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</row>
    <row r="819" spans="1:18" ht="19.5" customHeight="1" x14ac:dyDescent="0.25">
      <c r="A819" s="38"/>
      <c r="B819" s="38"/>
      <c r="C819" s="470"/>
      <c r="D819" s="470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</row>
    <row r="820" spans="1:18" ht="19.5" customHeight="1" x14ac:dyDescent="0.25">
      <c r="A820" s="38"/>
      <c r="B820" s="38"/>
      <c r="C820" s="470"/>
      <c r="D820" s="470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</row>
    <row r="821" spans="1:18" ht="19.5" customHeight="1" x14ac:dyDescent="0.25">
      <c r="A821" s="38"/>
      <c r="B821" s="38"/>
      <c r="C821" s="470"/>
      <c r="D821" s="470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</row>
    <row r="822" spans="1:18" ht="19.5" customHeight="1" x14ac:dyDescent="0.25">
      <c r="A822" s="38"/>
      <c r="B822" s="38"/>
      <c r="C822" s="470"/>
      <c r="D822" s="470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</row>
    <row r="823" spans="1:18" ht="19.5" customHeight="1" x14ac:dyDescent="0.25">
      <c r="A823" s="38"/>
      <c r="B823" s="38"/>
      <c r="C823" s="470"/>
      <c r="D823" s="470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</row>
    <row r="824" spans="1:18" ht="19.5" customHeight="1" x14ac:dyDescent="0.25">
      <c r="A824" s="38"/>
      <c r="B824" s="38"/>
      <c r="C824" s="470"/>
      <c r="D824" s="470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</row>
    <row r="825" spans="1:18" ht="19.5" customHeight="1" x14ac:dyDescent="0.25">
      <c r="A825" s="38"/>
      <c r="B825" s="38"/>
      <c r="C825" s="470"/>
      <c r="D825" s="470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</row>
    <row r="826" spans="1:18" ht="19.5" customHeight="1" x14ac:dyDescent="0.25">
      <c r="A826" s="38"/>
      <c r="B826" s="38"/>
      <c r="C826" s="470"/>
      <c r="D826" s="470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</row>
    <row r="827" spans="1:18" ht="19.5" customHeight="1" x14ac:dyDescent="0.25">
      <c r="A827" s="38"/>
      <c r="B827" s="38"/>
      <c r="C827" s="470"/>
      <c r="D827" s="470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</row>
    <row r="828" spans="1:18" ht="19.5" customHeight="1" x14ac:dyDescent="0.25">
      <c r="A828" s="38"/>
      <c r="B828" s="38"/>
      <c r="C828" s="470"/>
      <c r="D828" s="470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</row>
    <row r="829" spans="1:18" ht="19.5" customHeight="1" x14ac:dyDescent="0.25">
      <c r="A829" s="38"/>
      <c r="B829" s="38"/>
      <c r="C829" s="470"/>
      <c r="D829" s="470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</row>
    <row r="830" spans="1:18" ht="19.5" customHeight="1" x14ac:dyDescent="0.25">
      <c r="A830" s="38"/>
      <c r="B830" s="38"/>
      <c r="C830" s="470"/>
      <c r="D830" s="470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</row>
    <row r="831" spans="1:18" ht="19.5" customHeight="1" x14ac:dyDescent="0.25">
      <c r="A831" s="38"/>
      <c r="B831" s="38"/>
      <c r="C831" s="470"/>
      <c r="D831" s="470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</row>
    <row r="832" spans="1:18" ht="19.5" customHeight="1" x14ac:dyDescent="0.25">
      <c r="A832" s="38"/>
      <c r="B832" s="38"/>
      <c r="C832" s="470"/>
      <c r="D832" s="470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</row>
    <row r="833" spans="1:18" ht="19.5" customHeight="1" x14ac:dyDescent="0.25">
      <c r="A833" s="38"/>
      <c r="B833" s="38"/>
      <c r="C833" s="470"/>
      <c r="D833" s="470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</row>
    <row r="834" spans="1:18" ht="19.5" customHeight="1" x14ac:dyDescent="0.25">
      <c r="A834" s="38"/>
      <c r="B834" s="38"/>
      <c r="C834" s="470"/>
      <c r="D834" s="470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</row>
    <row r="835" spans="1:18" ht="19.5" customHeight="1" x14ac:dyDescent="0.25">
      <c r="A835" s="38"/>
      <c r="B835" s="38"/>
      <c r="C835" s="470"/>
      <c r="D835" s="470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</row>
    <row r="836" spans="1:18" ht="19.5" customHeight="1" x14ac:dyDescent="0.25">
      <c r="A836" s="38"/>
      <c r="B836" s="38"/>
      <c r="C836" s="470"/>
      <c r="D836" s="470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</row>
    <row r="837" spans="1:18" ht="19.5" customHeight="1" x14ac:dyDescent="0.25">
      <c r="A837" s="38"/>
      <c r="B837" s="38"/>
      <c r="C837" s="470"/>
      <c r="D837" s="470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</row>
    <row r="838" spans="1:18" ht="19.5" customHeight="1" x14ac:dyDescent="0.25">
      <c r="A838" s="38"/>
      <c r="B838" s="38"/>
      <c r="C838" s="470"/>
      <c r="D838" s="470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</row>
    <row r="839" spans="1:18" ht="19.5" customHeight="1" x14ac:dyDescent="0.25">
      <c r="A839" s="38"/>
      <c r="B839" s="38"/>
      <c r="C839" s="470"/>
      <c r="D839" s="470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</row>
    <row r="840" spans="1:18" ht="19.5" customHeight="1" x14ac:dyDescent="0.25">
      <c r="A840" s="38"/>
      <c r="B840" s="38"/>
      <c r="C840" s="470"/>
      <c r="D840" s="470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</row>
    <row r="841" spans="1:18" ht="19.5" customHeight="1" x14ac:dyDescent="0.25">
      <c r="A841" s="38"/>
      <c r="B841" s="38"/>
      <c r="C841" s="470"/>
      <c r="D841" s="470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</row>
    <row r="842" spans="1:18" ht="19.5" customHeight="1" x14ac:dyDescent="0.25">
      <c r="A842" s="38"/>
      <c r="B842" s="38"/>
      <c r="C842" s="470"/>
      <c r="D842" s="470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</row>
    <row r="843" spans="1:18" ht="19.5" customHeight="1" x14ac:dyDescent="0.25">
      <c r="A843" s="38"/>
      <c r="B843" s="38"/>
      <c r="C843" s="470"/>
      <c r="D843" s="470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</row>
    <row r="844" spans="1:18" ht="19.5" customHeight="1" x14ac:dyDescent="0.25">
      <c r="A844" s="38"/>
      <c r="B844" s="38"/>
      <c r="C844" s="470"/>
      <c r="D844" s="470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</row>
    <row r="845" spans="1:18" ht="19.5" customHeight="1" x14ac:dyDescent="0.25">
      <c r="A845" s="38"/>
      <c r="B845" s="38"/>
      <c r="C845" s="470"/>
      <c r="D845" s="470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</row>
    <row r="846" spans="1:18" ht="19.5" customHeight="1" x14ac:dyDescent="0.25">
      <c r="A846" s="38"/>
      <c r="B846" s="38"/>
      <c r="C846" s="470"/>
      <c r="D846" s="470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</row>
    <row r="847" spans="1:18" ht="19.5" customHeight="1" x14ac:dyDescent="0.25">
      <c r="A847" s="38"/>
      <c r="B847" s="38"/>
      <c r="C847" s="470"/>
      <c r="D847" s="470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</row>
    <row r="848" spans="1:18" ht="19.5" customHeight="1" x14ac:dyDescent="0.25">
      <c r="A848" s="38"/>
      <c r="B848" s="38"/>
      <c r="C848" s="470"/>
      <c r="D848" s="470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</row>
    <row r="849" spans="1:18" ht="19.5" customHeight="1" x14ac:dyDescent="0.25">
      <c r="A849" s="38"/>
      <c r="B849" s="38"/>
      <c r="C849" s="470"/>
      <c r="D849" s="470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</row>
    <row r="850" spans="1:18" ht="19.5" customHeight="1" x14ac:dyDescent="0.25">
      <c r="A850" s="38"/>
      <c r="B850" s="38"/>
      <c r="C850" s="470"/>
      <c r="D850" s="470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</row>
    <row r="851" spans="1:18" ht="19.5" customHeight="1" x14ac:dyDescent="0.25">
      <c r="A851" s="38"/>
      <c r="B851" s="38"/>
      <c r="C851" s="470"/>
      <c r="D851" s="470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</row>
    <row r="852" spans="1:18" ht="19.5" customHeight="1" x14ac:dyDescent="0.25">
      <c r="A852" s="38"/>
      <c r="B852" s="38"/>
      <c r="C852" s="470"/>
      <c r="D852" s="470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</row>
    <row r="853" spans="1:18" ht="19.5" customHeight="1" x14ac:dyDescent="0.25">
      <c r="A853" s="38"/>
      <c r="B853" s="38"/>
      <c r="C853" s="470"/>
      <c r="D853" s="470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</row>
    <row r="854" spans="1:18" ht="19.5" customHeight="1" x14ac:dyDescent="0.25">
      <c r="A854" s="38"/>
      <c r="B854" s="38"/>
      <c r="C854" s="470"/>
      <c r="D854" s="470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</row>
    <row r="855" spans="1:18" ht="19.5" customHeight="1" x14ac:dyDescent="0.25">
      <c r="A855" s="38"/>
      <c r="B855" s="38"/>
      <c r="C855" s="470"/>
      <c r="D855" s="470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</row>
    <row r="856" spans="1:18" ht="19.5" customHeight="1" x14ac:dyDescent="0.25">
      <c r="A856" s="38"/>
      <c r="B856" s="38"/>
      <c r="C856" s="470"/>
      <c r="D856" s="470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</row>
    <row r="857" spans="1:18" ht="19.5" customHeight="1" x14ac:dyDescent="0.25">
      <c r="A857" s="38"/>
      <c r="B857" s="38"/>
      <c r="C857" s="470"/>
      <c r="D857" s="470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</row>
    <row r="858" spans="1:18" ht="19.5" customHeight="1" x14ac:dyDescent="0.25">
      <c r="A858" s="38"/>
      <c r="B858" s="38"/>
      <c r="C858" s="470"/>
      <c r="D858" s="470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</row>
    <row r="859" spans="1:18" ht="19.5" customHeight="1" x14ac:dyDescent="0.25">
      <c r="A859" s="38"/>
      <c r="B859" s="38"/>
      <c r="C859" s="470"/>
      <c r="D859" s="470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</row>
    <row r="860" spans="1:18" ht="19.5" customHeight="1" x14ac:dyDescent="0.25">
      <c r="A860" s="38"/>
      <c r="B860" s="38"/>
      <c r="C860" s="470"/>
      <c r="D860" s="470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</row>
    <row r="861" spans="1:18" ht="19.5" customHeight="1" x14ac:dyDescent="0.25">
      <c r="A861" s="38"/>
      <c r="B861" s="38"/>
      <c r="C861" s="470"/>
      <c r="D861" s="470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</row>
    <row r="862" spans="1:18" ht="19.5" customHeight="1" x14ac:dyDescent="0.25">
      <c r="A862" s="38"/>
      <c r="B862" s="38"/>
      <c r="C862" s="470"/>
      <c r="D862" s="470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</row>
    <row r="863" spans="1:18" ht="19.5" customHeight="1" x14ac:dyDescent="0.25">
      <c r="A863" s="38"/>
      <c r="B863" s="38"/>
      <c r="C863" s="470"/>
      <c r="D863" s="470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</row>
    <row r="864" spans="1:18" ht="19.5" customHeight="1" x14ac:dyDescent="0.25">
      <c r="A864" s="38"/>
      <c r="B864" s="38"/>
      <c r="C864" s="470"/>
      <c r="D864" s="470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</row>
    <row r="865" spans="1:18" ht="19.5" customHeight="1" x14ac:dyDescent="0.25">
      <c r="A865" s="38"/>
      <c r="B865" s="38"/>
      <c r="C865" s="470"/>
      <c r="D865" s="470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</row>
    <row r="866" spans="1:18" ht="19.5" customHeight="1" x14ac:dyDescent="0.25">
      <c r="A866" s="38"/>
      <c r="B866" s="38"/>
      <c r="C866" s="470"/>
      <c r="D866" s="470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</row>
    <row r="867" spans="1:18" ht="19.5" customHeight="1" x14ac:dyDescent="0.25">
      <c r="A867" s="38"/>
      <c r="B867" s="38"/>
      <c r="C867" s="470"/>
      <c r="D867" s="470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</row>
    <row r="868" spans="1:18" ht="19.5" customHeight="1" x14ac:dyDescent="0.25">
      <c r="A868" s="38"/>
      <c r="B868" s="38"/>
      <c r="C868" s="470"/>
      <c r="D868" s="470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</row>
    <row r="869" spans="1:18" ht="19.5" customHeight="1" x14ac:dyDescent="0.25">
      <c r="A869" s="38"/>
      <c r="B869" s="38"/>
      <c r="C869" s="470"/>
      <c r="D869" s="470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</row>
    <row r="870" spans="1:18" ht="19.5" customHeight="1" x14ac:dyDescent="0.25">
      <c r="A870" s="38"/>
      <c r="B870" s="38"/>
      <c r="C870" s="470"/>
      <c r="D870" s="470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</row>
    <row r="871" spans="1:18" ht="19.5" customHeight="1" x14ac:dyDescent="0.25">
      <c r="A871" s="38"/>
      <c r="B871" s="38"/>
      <c r="C871" s="470"/>
      <c r="D871" s="470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</row>
    <row r="872" spans="1:18" ht="19.5" customHeight="1" x14ac:dyDescent="0.25">
      <c r="A872" s="38"/>
      <c r="B872" s="38"/>
      <c r="C872" s="470"/>
      <c r="D872" s="470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</row>
    <row r="873" spans="1:18" ht="19.5" customHeight="1" x14ac:dyDescent="0.25">
      <c r="A873" s="38"/>
      <c r="B873" s="38"/>
      <c r="C873" s="470"/>
      <c r="D873" s="470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</row>
    <row r="874" spans="1:18" ht="19.5" customHeight="1" x14ac:dyDescent="0.25">
      <c r="A874" s="38"/>
      <c r="B874" s="38"/>
      <c r="C874" s="470"/>
      <c r="D874" s="470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</row>
    <row r="875" spans="1:18" ht="19.5" customHeight="1" x14ac:dyDescent="0.25">
      <c r="A875" s="38"/>
      <c r="B875" s="38"/>
      <c r="C875" s="470"/>
      <c r="D875" s="470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</row>
    <row r="876" spans="1:18" ht="19.5" customHeight="1" x14ac:dyDescent="0.25">
      <c r="A876" s="38"/>
      <c r="B876" s="38"/>
      <c r="C876" s="470"/>
      <c r="D876" s="470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</row>
    <row r="877" spans="1:18" ht="19.5" customHeight="1" x14ac:dyDescent="0.25">
      <c r="A877" s="38"/>
      <c r="B877" s="38"/>
      <c r="C877" s="470"/>
      <c r="D877" s="470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</row>
    <row r="878" spans="1:18" ht="19.5" customHeight="1" x14ac:dyDescent="0.25">
      <c r="A878" s="38"/>
      <c r="B878" s="38"/>
      <c r="C878" s="470"/>
      <c r="D878" s="470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</row>
    <row r="879" spans="1:18" ht="19.5" customHeight="1" x14ac:dyDescent="0.25">
      <c r="A879" s="38"/>
      <c r="B879" s="38"/>
      <c r="C879" s="470"/>
      <c r="D879" s="470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</row>
    <row r="880" spans="1:18" ht="19.5" customHeight="1" x14ac:dyDescent="0.25">
      <c r="A880" s="38"/>
      <c r="B880" s="38"/>
      <c r="C880" s="470"/>
      <c r="D880" s="470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</row>
    <row r="881" spans="1:18" ht="19.5" customHeight="1" x14ac:dyDescent="0.25">
      <c r="A881" s="38"/>
      <c r="B881" s="38"/>
      <c r="C881" s="470"/>
      <c r="D881" s="470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</row>
    <row r="882" spans="1:18" ht="19.5" customHeight="1" x14ac:dyDescent="0.25">
      <c r="A882" s="38"/>
      <c r="B882" s="38"/>
      <c r="C882" s="470"/>
      <c r="D882" s="470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</row>
    <row r="883" spans="1:18" ht="19.5" customHeight="1" x14ac:dyDescent="0.25">
      <c r="A883" s="38"/>
      <c r="B883" s="38"/>
      <c r="C883" s="470"/>
      <c r="D883" s="470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</row>
    <row r="884" spans="1:18" ht="19.5" customHeight="1" x14ac:dyDescent="0.25">
      <c r="A884" s="38"/>
      <c r="B884" s="38"/>
      <c r="C884" s="470"/>
      <c r="D884" s="470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</row>
    <row r="885" spans="1:18" ht="19.5" customHeight="1" x14ac:dyDescent="0.25">
      <c r="A885" s="38"/>
      <c r="B885" s="38"/>
      <c r="C885" s="470"/>
      <c r="D885" s="470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</row>
    <row r="886" spans="1:18" ht="19.5" customHeight="1" x14ac:dyDescent="0.25">
      <c r="A886" s="38"/>
      <c r="B886" s="38"/>
      <c r="C886" s="470"/>
      <c r="D886" s="470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</row>
    <row r="887" spans="1:18" ht="19.5" customHeight="1" x14ac:dyDescent="0.25">
      <c r="A887" s="38"/>
      <c r="B887" s="38"/>
      <c r="C887" s="470"/>
      <c r="D887" s="470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</row>
    <row r="888" spans="1:18" ht="19.5" customHeight="1" x14ac:dyDescent="0.25">
      <c r="A888" s="38"/>
      <c r="B888" s="38"/>
      <c r="C888" s="470"/>
      <c r="D888" s="470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</row>
    <row r="889" spans="1:18" ht="19.5" customHeight="1" x14ac:dyDescent="0.25">
      <c r="A889" s="38"/>
      <c r="B889" s="38"/>
      <c r="C889" s="470"/>
      <c r="D889" s="470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</row>
    <row r="890" spans="1:18" ht="19.5" customHeight="1" x14ac:dyDescent="0.25">
      <c r="A890" s="38"/>
      <c r="B890" s="38"/>
      <c r="C890" s="470"/>
      <c r="D890" s="470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</row>
    <row r="891" spans="1:18" ht="19.5" customHeight="1" x14ac:dyDescent="0.25">
      <c r="A891" s="38"/>
      <c r="B891" s="38"/>
      <c r="C891" s="470"/>
      <c r="D891" s="470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</row>
    <row r="892" spans="1:18" ht="19.5" customHeight="1" x14ac:dyDescent="0.25">
      <c r="A892" s="38"/>
      <c r="B892" s="38"/>
      <c r="C892" s="470"/>
      <c r="D892" s="470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</row>
    <row r="893" spans="1:18" ht="19.5" customHeight="1" x14ac:dyDescent="0.25">
      <c r="A893" s="38"/>
      <c r="B893" s="38"/>
      <c r="C893" s="470"/>
      <c r="D893" s="470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</row>
    <row r="894" spans="1:18" ht="19.5" customHeight="1" x14ac:dyDescent="0.25">
      <c r="A894" s="38"/>
      <c r="B894" s="38"/>
      <c r="C894" s="470"/>
      <c r="D894" s="470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</row>
    <row r="895" spans="1:18" ht="19.5" customHeight="1" x14ac:dyDescent="0.25">
      <c r="A895" s="38"/>
      <c r="B895" s="38"/>
      <c r="C895" s="470"/>
      <c r="D895" s="470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</row>
    <row r="896" spans="1:18" ht="19.5" customHeight="1" x14ac:dyDescent="0.25">
      <c r="A896" s="38"/>
      <c r="B896" s="38"/>
      <c r="C896" s="470"/>
      <c r="D896" s="470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</row>
    <row r="897" spans="1:18" ht="19.5" customHeight="1" x14ac:dyDescent="0.25">
      <c r="A897" s="38"/>
      <c r="B897" s="38"/>
      <c r="C897" s="470"/>
      <c r="D897" s="470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</row>
    <row r="898" spans="1:18" ht="19.5" customHeight="1" x14ac:dyDescent="0.25">
      <c r="A898" s="38"/>
      <c r="B898" s="38"/>
      <c r="C898" s="470"/>
      <c r="D898" s="470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</row>
    <row r="899" spans="1:18" ht="19.5" customHeight="1" x14ac:dyDescent="0.25">
      <c r="A899" s="38"/>
      <c r="B899" s="38"/>
      <c r="C899" s="470"/>
      <c r="D899" s="470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</row>
    <row r="900" spans="1:18" ht="19.5" customHeight="1" x14ac:dyDescent="0.25">
      <c r="A900" s="38"/>
      <c r="B900" s="38"/>
      <c r="C900" s="470"/>
      <c r="D900" s="470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</row>
    <row r="901" spans="1:18" ht="19.5" customHeight="1" x14ac:dyDescent="0.25">
      <c r="A901" s="38"/>
      <c r="B901" s="38"/>
      <c r="C901" s="470"/>
      <c r="D901" s="470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</row>
    <row r="902" spans="1:18" ht="19.5" customHeight="1" x14ac:dyDescent="0.25">
      <c r="A902" s="38"/>
      <c r="B902" s="38"/>
      <c r="C902" s="470"/>
      <c r="D902" s="470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</row>
    <row r="903" spans="1:18" ht="19.5" customHeight="1" x14ac:dyDescent="0.25">
      <c r="A903" s="38"/>
      <c r="B903" s="38"/>
      <c r="C903" s="470"/>
      <c r="D903" s="470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</row>
    <row r="904" spans="1:18" ht="19.5" customHeight="1" x14ac:dyDescent="0.25">
      <c r="A904" s="38"/>
      <c r="B904" s="38"/>
      <c r="C904" s="470"/>
      <c r="D904" s="470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</row>
    <row r="905" spans="1:18" ht="19.5" customHeight="1" x14ac:dyDescent="0.25">
      <c r="A905" s="38"/>
      <c r="B905" s="38"/>
      <c r="C905" s="470"/>
      <c r="D905" s="470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</row>
    <row r="906" spans="1:18" ht="19.5" customHeight="1" x14ac:dyDescent="0.25">
      <c r="A906" s="38"/>
      <c r="B906" s="38"/>
      <c r="C906" s="470"/>
      <c r="D906" s="470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</row>
    <row r="907" spans="1:18" ht="19.5" customHeight="1" x14ac:dyDescent="0.25">
      <c r="A907" s="38"/>
      <c r="B907" s="38"/>
      <c r="C907" s="470"/>
      <c r="D907" s="470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</row>
    <row r="908" spans="1:18" ht="19.5" customHeight="1" x14ac:dyDescent="0.25">
      <c r="A908" s="38"/>
      <c r="B908" s="38"/>
      <c r="C908" s="470"/>
      <c r="D908" s="470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</row>
    <row r="909" spans="1:18" ht="19.5" customHeight="1" x14ac:dyDescent="0.25">
      <c r="A909" s="38"/>
      <c r="B909" s="38"/>
      <c r="C909" s="470"/>
      <c r="D909" s="470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</row>
    <row r="910" spans="1:18" ht="19.5" customHeight="1" x14ac:dyDescent="0.25">
      <c r="A910" s="38"/>
      <c r="B910" s="38"/>
      <c r="C910" s="470"/>
      <c r="D910" s="470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</row>
    <row r="911" spans="1:18" ht="19.5" customHeight="1" x14ac:dyDescent="0.25">
      <c r="A911" s="38"/>
      <c r="B911" s="38"/>
      <c r="C911" s="470"/>
      <c r="D911" s="470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</row>
    <row r="912" spans="1:18" ht="19.5" customHeight="1" x14ac:dyDescent="0.25">
      <c r="A912" s="38"/>
      <c r="B912" s="38"/>
      <c r="C912" s="470"/>
      <c r="D912" s="470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</row>
    <row r="913" spans="1:18" ht="19.5" customHeight="1" x14ac:dyDescent="0.25">
      <c r="A913" s="38"/>
      <c r="B913" s="38"/>
      <c r="C913" s="470"/>
      <c r="D913" s="470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</row>
    <row r="914" spans="1:18" ht="19.5" customHeight="1" x14ac:dyDescent="0.25">
      <c r="A914" s="38"/>
      <c r="B914" s="38"/>
      <c r="C914" s="470"/>
      <c r="D914" s="470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</row>
    <row r="915" spans="1:18" ht="19.5" customHeight="1" x14ac:dyDescent="0.25">
      <c r="A915" s="38"/>
      <c r="B915" s="38"/>
      <c r="C915" s="470"/>
      <c r="D915" s="470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</row>
    <row r="916" spans="1:18" ht="19.5" customHeight="1" x14ac:dyDescent="0.25">
      <c r="A916" s="38"/>
      <c r="B916" s="38"/>
      <c r="C916" s="470"/>
      <c r="D916" s="470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</row>
    <row r="917" spans="1:18" ht="19.5" customHeight="1" x14ac:dyDescent="0.25">
      <c r="A917" s="38"/>
      <c r="B917" s="38"/>
      <c r="C917" s="470"/>
      <c r="D917" s="470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</row>
    <row r="918" spans="1:18" ht="19.5" customHeight="1" x14ac:dyDescent="0.25">
      <c r="A918" s="38"/>
      <c r="B918" s="38"/>
      <c r="C918" s="470"/>
      <c r="D918" s="470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</row>
    <row r="919" spans="1:18" ht="19.5" customHeight="1" x14ac:dyDescent="0.25">
      <c r="A919" s="38"/>
      <c r="B919" s="38"/>
      <c r="C919" s="470"/>
      <c r="D919" s="470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</row>
    <row r="920" spans="1:18" ht="19.5" customHeight="1" x14ac:dyDescent="0.25">
      <c r="A920" s="38"/>
      <c r="B920" s="38"/>
      <c r="C920" s="470"/>
      <c r="D920" s="470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</row>
    <row r="921" spans="1:18" ht="19.5" customHeight="1" x14ac:dyDescent="0.25">
      <c r="A921" s="38"/>
      <c r="B921" s="38"/>
      <c r="C921" s="470"/>
      <c r="D921" s="470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</row>
    <row r="922" spans="1:18" ht="19.5" customHeight="1" x14ac:dyDescent="0.25">
      <c r="A922" s="38"/>
      <c r="B922" s="38"/>
      <c r="C922" s="470"/>
      <c r="D922" s="470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</row>
    <row r="923" spans="1:18" ht="19.5" customHeight="1" x14ac:dyDescent="0.25">
      <c r="A923" s="38"/>
      <c r="B923" s="38"/>
      <c r="C923" s="470"/>
      <c r="D923" s="470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</row>
    <row r="924" spans="1:18" ht="19.5" customHeight="1" x14ac:dyDescent="0.25">
      <c r="A924" s="38"/>
      <c r="B924" s="38"/>
      <c r="C924" s="470"/>
      <c r="D924" s="470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</row>
    <row r="925" spans="1:18" ht="19.5" customHeight="1" x14ac:dyDescent="0.25">
      <c r="A925" s="38"/>
      <c r="B925" s="38"/>
      <c r="C925" s="470"/>
      <c r="D925" s="470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</row>
    <row r="926" spans="1:18" ht="19.5" customHeight="1" x14ac:dyDescent="0.25">
      <c r="A926" s="38"/>
      <c r="B926" s="38"/>
      <c r="C926" s="470"/>
      <c r="D926" s="470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</row>
    <row r="927" spans="1:18" ht="19.5" customHeight="1" x14ac:dyDescent="0.25">
      <c r="A927" s="38"/>
      <c r="B927" s="38"/>
      <c r="C927" s="470"/>
      <c r="D927" s="470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</row>
    <row r="928" spans="1:18" ht="19.5" customHeight="1" x14ac:dyDescent="0.25">
      <c r="A928" s="38"/>
      <c r="B928" s="38"/>
      <c r="C928" s="470"/>
      <c r="D928" s="470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</row>
    <row r="929" spans="1:18" ht="19.5" customHeight="1" x14ac:dyDescent="0.25">
      <c r="A929" s="38"/>
      <c r="B929" s="38"/>
      <c r="C929" s="470"/>
      <c r="D929" s="470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</row>
    <row r="930" spans="1:18" ht="19.5" customHeight="1" x14ac:dyDescent="0.25">
      <c r="A930" s="38"/>
      <c r="B930" s="38"/>
      <c r="C930" s="470"/>
      <c r="D930" s="470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</row>
    <row r="931" spans="1:18" ht="19.5" customHeight="1" x14ac:dyDescent="0.25">
      <c r="A931" s="38"/>
      <c r="B931" s="38"/>
      <c r="C931" s="470"/>
      <c r="D931" s="470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</row>
    <row r="932" spans="1:18" ht="19.5" customHeight="1" x14ac:dyDescent="0.25">
      <c r="A932" s="38"/>
      <c r="B932" s="38"/>
      <c r="C932" s="470"/>
      <c r="D932" s="470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</row>
    <row r="933" spans="1:18" ht="19.5" customHeight="1" x14ac:dyDescent="0.25">
      <c r="A933" s="38"/>
      <c r="B933" s="38"/>
      <c r="C933" s="470"/>
      <c r="D933" s="470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</row>
    <row r="934" spans="1:18" ht="19.5" customHeight="1" x14ac:dyDescent="0.25">
      <c r="A934" s="38"/>
      <c r="B934" s="38"/>
      <c r="C934" s="470"/>
      <c r="D934" s="470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</row>
    <row r="935" spans="1:18" ht="19.5" customHeight="1" x14ac:dyDescent="0.25">
      <c r="A935" s="38"/>
      <c r="B935" s="38"/>
      <c r="C935" s="470"/>
      <c r="D935" s="470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</row>
    <row r="936" spans="1:18" ht="19.5" customHeight="1" x14ac:dyDescent="0.25">
      <c r="A936" s="38"/>
      <c r="B936" s="38"/>
      <c r="C936" s="470"/>
      <c r="D936" s="470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</row>
    <row r="937" spans="1:18" ht="19.5" customHeight="1" x14ac:dyDescent="0.25">
      <c r="A937" s="38"/>
      <c r="B937" s="38"/>
      <c r="C937" s="470"/>
      <c r="D937" s="470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</row>
    <row r="938" spans="1:18" ht="19.5" customHeight="1" x14ac:dyDescent="0.25">
      <c r="A938" s="38"/>
      <c r="B938" s="38"/>
      <c r="C938" s="470"/>
      <c r="D938" s="470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</row>
    <row r="939" spans="1:18" ht="19.5" customHeight="1" x14ac:dyDescent="0.25">
      <c r="A939" s="38"/>
      <c r="B939" s="38"/>
      <c r="C939" s="470"/>
      <c r="D939" s="470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</row>
    <row r="940" spans="1:18" ht="19.5" customHeight="1" x14ac:dyDescent="0.25">
      <c r="A940" s="38"/>
      <c r="B940" s="38"/>
      <c r="C940" s="470"/>
      <c r="D940" s="470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</row>
    <row r="941" spans="1:18" ht="19.5" customHeight="1" x14ac:dyDescent="0.25">
      <c r="A941" s="38"/>
      <c r="B941" s="38"/>
      <c r="C941" s="470"/>
      <c r="D941" s="470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</row>
    <row r="942" spans="1:18" ht="19.5" customHeight="1" x14ac:dyDescent="0.25">
      <c r="A942" s="38"/>
      <c r="B942" s="38"/>
      <c r="C942" s="470"/>
      <c r="D942" s="470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</row>
    <row r="943" spans="1:18" ht="19.5" customHeight="1" x14ac:dyDescent="0.25">
      <c r="A943" s="38"/>
      <c r="B943" s="38"/>
      <c r="C943" s="470"/>
      <c r="D943" s="470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</row>
    <row r="944" spans="1:18" ht="19.5" customHeight="1" x14ac:dyDescent="0.25">
      <c r="A944" s="38"/>
      <c r="B944" s="38"/>
      <c r="C944" s="470"/>
      <c r="D944" s="470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</row>
    <row r="945" spans="1:18" ht="19.5" customHeight="1" x14ac:dyDescent="0.25">
      <c r="A945" s="38"/>
      <c r="B945" s="38"/>
      <c r="C945" s="470"/>
      <c r="D945" s="470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</row>
    <row r="946" spans="1:18" ht="19.5" customHeight="1" x14ac:dyDescent="0.25">
      <c r="A946" s="38"/>
      <c r="B946" s="38"/>
      <c r="C946" s="470"/>
      <c r="D946" s="470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</row>
    <row r="947" spans="1:18" ht="19.5" customHeight="1" x14ac:dyDescent="0.25">
      <c r="A947" s="38"/>
      <c r="B947" s="38"/>
      <c r="C947" s="470"/>
      <c r="D947" s="470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</row>
    <row r="948" spans="1:18" ht="19.5" customHeight="1" x14ac:dyDescent="0.25">
      <c r="A948" s="38"/>
      <c r="B948" s="38"/>
      <c r="C948" s="470"/>
      <c r="D948" s="470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</row>
    <row r="949" spans="1:18" ht="19.5" customHeight="1" x14ac:dyDescent="0.25">
      <c r="A949" s="38"/>
      <c r="B949" s="38"/>
      <c r="C949" s="470"/>
      <c r="D949" s="470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</row>
    <row r="950" spans="1:18" ht="19.5" customHeight="1" x14ac:dyDescent="0.25">
      <c r="A950" s="38"/>
      <c r="B950" s="38"/>
      <c r="C950" s="470"/>
      <c r="D950" s="470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</row>
    <row r="951" spans="1:18" ht="19.5" customHeight="1" x14ac:dyDescent="0.25">
      <c r="A951" s="38"/>
      <c r="B951" s="38"/>
      <c r="C951" s="470"/>
      <c r="D951" s="470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</row>
    <row r="952" spans="1:18" ht="19.5" customHeight="1" x14ac:dyDescent="0.25">
      <c r="A952" s="38"/>
      <c r="B952" s="38"/>
      <c r="C952" s="470"/>
      <c r="D952" s="470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</row>
    <row r="953" spans="1:18" ht="19.5" customHeight="1" x14ac:dyDescent="0.25">
      <c r="A953" s="38"/>
      <c r="B953" s="38"/>
      <c r="C953" s="470"/>
      <c r="D953" s="470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</row>
    <row r="954" spans="1:18" ht="19.5" customHeight="1" x14ac:dyDescent="0.25">
      <c r="A954" s="38"/>
      <c r="B954" s="38"/>
      <c r="C954" s="470"/>
      <c r="D954" s="470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</row>
    <row r="955" spans="1:18" ht="19.5" customHeight="1" x14ac:dyDescent="0.25">
      <c r="A955" s="38"/>
      <c r="B955" s="38"/>
      <c r="C955" s="470"/>
      <c r="D955" s="470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</row>
    <row r="956" spans="1:18" ht="19.5" customHeight="1" x14ac:dyDescent="0.25">
      <c r="A956" s="38"/>
      <c r="B956" s="38"/>
      <c r="C956" s="470"/>
      <c r="D956" s="470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</row>
    <row r="957" spans="1:18" ht="19.5" customHeight="1" x14ac:dyDescent="0.25">
      <c r="A957" s="38"/>
      <c r="B957" s="38"/>
      <c r="C957" s="470"/>
      <c r="D957" s="470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</row>
    <row r="958" spans="1:18" ht="19.5" customHeight="1" x14ac:dyDescent="0.25">
      <c r="A958" s="38"/>
      <c r="B958" s="38"/>
      <c r="C958" s="470"/>
      <c r="D958" s="470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</row>
    <row r="959" spans="1:18" ht="19.5" customHeight="1" x14ac:dyDescent="0.25">
      <c r="A959" s="38"/>
      <c r="B959" s="38"/>
      <c r="C959" s="470"/>
      <c r="D959" s="470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</row>
    <row r="960" spans="1:18" ht="19.5" customHeight="1" x14ac:dyDescent="0.25">
      <c r="A960" s="38"/>
      <c r="B960" s="38"/>
      <c r="C960" s="470"/>
      <c r="D960" s="470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</row>
    <row r="961" spans="1:18" ht="19.5" customHeight="1" x14ac:dyDescent="0.25">
      <c r="A961" s="38"/>
      <c r="B961" s="38"/>
      <c r="C961" s="470"/>
      <c r="D961" s="470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</row>
    <row r="962" spans="1:18" ht="19.5" customHeight="1" x14ac:dyDescent="0.25">
      <c r="A962" s="38"/>
      <c r="B962" s="38"/>
      <c r="C962" s="470"/>
      <c r="D962" s="470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</row>
    <row r="963" spans="1:18" ht="19.5" customHeight="1" x14ac:dyDescent="0.25">
      <c r="A963" s="38"/>
      <c r="B963" s="38"/>
      <c r="C963" s="470"/>
      <c r="D963" s="470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</row>
    <row r="964" spans="1:18" ht="19.5" customHeight="1" x14ac:dyDescent="0.25">
      <c r="A964" s="38"/>
      <c r="B964" s="38"/>
      <c r="C964" s="470"/>
      <c r="D964" s="470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</row>
    <row r="965" spans="1:18" ht="19.5" customHeight="1" x14ac:dyDescent="0.25">
      <c r="A965" s="38"/>
      <c r="B965" s="38"/>
      <c r="C965" s="470"/>
      <c r="D965" s="470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</row>
    <row r="966" spans="1:18" ht="19.5" customHeight="1" x14ac:dyDescent="0.25">
      <c r="A966" s="38"/>
      <c r="B966" s="38"/>
      <c r="C966" s="470"/>
      <c r="D966" s="470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</row>
    <row r="967" spans="1:18" ht="19.5" customHeight="1" x14ac:dyDescent="0.25">
      <c r="A967" s="38"/>
      <c r="B967" s="38"/>
      <c r="C967" s="470"/>
      <c r="D967" s="470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</row>
    <row r="968" spans="1:18" ht="19.5" customHeight="1" x14ac:dyDescent="0.25">
      <c r="A968" s="38"/>
      <c r="B968" s="38"/>
      <c r="C968" s="470"/>
      <c r="D968" s="470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</row>
    <row r="969" spans="1:18" ht="19.5" customHeight="1" x14ac:dyDescent="0.25">
      <c r="A969" s="38"/>
      <c r="B969" s="38"/>
      <c r="C969" s="470"/>
      <c r="D969" s="470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</row>
    <row r="970" spans="1:18" ht="19.5" customHeight="1" x14ac:dyDescent="0.25">
      <c r="A970" s="38"/>
      <c r="B970" s="38"/>
      <c r="C970" s="470"/>
      <c r="D970" s="470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</row>
    <row r="971" spans="1:18" ht="19.5" customHeight="1" x14ac:dyDescent="0.25">
      <c r="A971" s="38"/>
      <c r="B971" s="38"/>
      <c r="C971" s="470"/>
      <c r="D971" s="470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</row>
    <row r="972" spans="1:18" ht="19.5" customHeight="1" x14ac:dyDescent="0.25">
      <c r="A972" s="38"/>
      <c r="B972" s="38"/>
      <c r="C972" s="470"/>
      <c r="D972" s="470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</row>
    <row r="973" spans="1:18" ht="19.5" customHeight="1" x14ac:dyDescent="0.25">
      <c r="A973" s="38"/>
      <c r="B973" s="38"/>
      <c r="C973" s="470"/>
      <c r="D973" s="470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</row>
    <row r="974" spans="1:18" ht="19.5" customHeight="1" x14ac:dyDescent="0.25">
      <c r="A974" s="38"/>
      <c r="B974" s="38"/>
      <c r="C974" s="470"/>
      <c r="D974" s="470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</row>
    <row r="975" spans="1:18" ht="19.5" customHeight="1" x14ac:dyDescent="0.25">
      <c r="A975" s="38"/>
      <c r="B975" s="38"/>
      <c r="C975" s="470"/>
      <c r="D975" s="470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</row>
    <row r="976" spans="1:18" ht="19.5" customHeight="1" x14ac:dyDescent="0.25">
      <c r="A976" s="38"/>
      <c r="B976" s="38"/>
      <c r="C976" s="470"/>
      <c r="D976" s="470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</row>
    <row r="977" spans="1:18" ht="19.5" customHeight="1" x14ac:dyDescent="0.25">
      <c r="A977" s="38"/>
      <c r="B977" s="38"/>
      <c r="C977" s="470"/>
      <c r="D977" s="470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</row>
    <row r="978" spans="1:18" ht="19.5" customHeight="1" x14ac:dyDescent="0.25">
      <c r="A978" s="38"/>
      <c r="B978" s="38"/>
      <c r="C978" s="470"/>
      <c r="D978" s="470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</row>
    <row r="979" spans="1:18" ht="19.5" customHeight="1" x14ac:dyDescent="0.25">
      <c r="A979" s="38"/>
      <c r="B979" s="38"/>
      <c r="C979" s="470"/>
      <c r="D979" s="470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</row>
    <row r="980" spans="1:18" ht="19.5" customHeight="1" x14ac:dyDescent="0.25">
      <c r="A980" s="38"/>
      <c r="B980" s="38"/>
      <c r="C980" s="470"/>
      <c r="D980" s="470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</row>
    <row r="981" spans="1:18" ht="19.5" customHeight="1" x14ac:dyDescent="0.25">
      <c r="A981" s="38"/>
      <c r="B981" s="38"/>
      <c r="C981" s="470"/>
      <c r="D981" s="470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</row>
    <row r="982" spans="1:18" ht="19.5" customHeight="1" x14ac:dyDescent="0.25">
      <c r="A982" s="38"/>
      <c r="B982" s="38"/>
      <c r="C982" s="470"/>
      <c r="D982" s="470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</row>
    <row r="983" spans="1:18" ht="19.5" customHeight="1" x14ac:dyDescent="0.25">
      <c r="A983" s="38"/>
      <c r="B983" s="38"/>
      <c r="C983" s="470"/>
      <c r="D983" s="470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</row>
    <row r="984" spans="1:18" ht="19.5" customHeight="1" x14ac:dyDescent="0.25">
      <c r="A984" s="38"/>
      <c r="B984" s="38"/>
      <c r="C984" s="470"/>
      <c r="D984" s="470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</row>
    <row r="985" spans="1:18" ht="19.5" customHeight="1" x14ac:dyDescent="0.25">
      <c r="A985" s="38"/>
      <c r="B985" s="38"/>
      <c r="C985" s="470"/>
      <c r="D985" s="470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</row>
    <row r="986" spans="1:18" ht="19.5" customHeight="1" x14ac:dyDescent="0.25">
      <c r="A986" s="38"/>
      <c r="B986" s="38"/>
      <c r="C986" s="470"/>
      <c r="D986" s="470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</row>
    <row r="987" spans="1:18" ht="19.5" customHeight="1" x14ac:dyDescent="0.25">
      <c r="A987" s="38"/>
      <c r="B987" s="38"/>
      <c r="C987" s="470"/>
      <c r="D987" s="470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</row>
    <row r="988" spans="1:18" ht="19.5" customHeight="1" x14ac:dyDescent="0.25">
      <c r="A988" s="38"/>
      <c r="B988" s="38"/>
      <c r="C988" s="470"/>
      <c r="D988" s="470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</row>
    <row r="989" spans="1:18" ht="19.5" customHeight="1" x14ac:dyDescent="0.25">
      <c r="A989" s="38"/>
      <c r="B989" s="38"/>
      <c r="C989" s="470"/>
      <c r="D989" s="470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</row>
    <row r="990" spans="1:18" ht="19.5" customHeight="1" x14ac:dyDescent="0.25">
      <c r="A990" s="38"/>
      <c r="B990" s="38"/>
      <c r="C990" s="470"/>
      <c r="D990" s="470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</row>
    <row r="991" spans="1:18" ht="19.5" customHeight="1" x14ac:dyDescent="0.25">
      <c r="A991" s="38"/>
      <c r="B991" s="38"/>
      <c r="C991" s="470"/>
      <c r="D991" s="470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</row>
    <row r="992" spans="1:18" ht="19.5" customHeight="1" x14ac:dyDescent="0.25">
      <c r="A992" s="38"/>
      <c r="B992" s="38"/>
      <c r="C992" s="470"/>
      <c r="D992" s="470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</row>
    <row r="993" spans="1:18" ht="19.5" customHeight="1" x14ac:dyDescent="0.25">
      <c r="A993" s="38"/>
      <c r="B993" s="38"/>
      <c r="C993" s="470"/>
      <c r="D993" s="470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</row>
    <row r="994" spans="1:18" ht="19.5" customHeight="1" x14ac:dyDescent="0.25">
      <c r="A994" s="38"/>
      <c r="B994" s="38"/>
      <c r="C994" s="470"/>
      <c r="D994" s="470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</row>
    <row r="995" spans="1:18" ht="19.5" customHeight="1" x14ac:dyDescent="0.25">
      <c r="A995" s="38"/>
      <c r="B995" s="38"/>
      <c r="C995" s="470"/>
      <c r="D995" s="470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</row>
    <row r="996" spans="1:18" ht="19.5" customHeight="1" x14ac:dyDescent="0.25">
      <c r="A996" s="38"/>
      <c r="B996" s="38"/>
      <c r="C996" s="470"/>
      <c r="D996" s="470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</row>
    <row r="997" spans="1:18" ht="19.5" customHeight="1" x14ac:dyDescent="0.25">
      <c r="A997" s="38"/>
      <c r="B997" s="38"/>
      <c r="C997" s="470"/>
      <c r="D997" s="470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</row>
    <row r="998" spans="1:18" ht="19.5" customHeight="1" x14ac:dyDescent="0.25">
      <c r="A998" s="38"/>
      <c r="B998" s="38"/>
      <c r="C998" s="470"/>
      <c r="D998" s="470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</row>
    <row r="999" spans="1:18" ht="19.5" customHeight="1" x14ac:dyDescent="0.25">
      <c r="A999" s="38"/>
      <c r="B999" s="38"/>
      <c r="C999" s="470"/>
      <c r="D999" s="470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</row>
    <row r="1000" spans="1:18" ht="19.5" customHeight="1" x14ac:dyDescent="0.25">
      <c r="A1000" s="38"/>
      <c r="B1000" s="38"/>
      <c r="C1000" s="470"/>
      <c r="D1000" s="470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</row>
    <row r="1001" spans="1:18" ht="19.5" customHeight="1" x14ac:dyDescent="0.25">
      <c r="A1001" s="38"/>
      <c r="B1001" s="38"/>
      <c r="C1001" s="470"/>
      <c r="D1001" s="470"/>
      <c r="E1001" s="38"/>
      <c r="F1001" s="38"/>
      <c r="G1001" s="38"/>
      <c r="H1001" s="38"/>
      <c r="I1001" s="38"/>
      <c r="J1001" s="38"/>
      <c r="K1001" s="38"/>
      <c r="L1001" s="38"/>
      <c r="M1001" s="38"/>
      <c r="N1001" s="38"/>
      <c r="O1001" s="38"/>
      <c r="P1001" s="38"/>
      <c r="Q1001" s="38"/>
      <c r="R1001" s="38"/>
    </row>
    <row r="1002" spans="1:18" ht="19.5" customHeight="1" x14ac:dyDescent="0.25">
      <c r="A1002" s="38"/>
      <c r="B1002" s="38"/>
      <c r="C1002" s="470"/>
      <c r="D1002" s="470"/>
      <c r="E1002" s="38"/>
      <c r="F1002" s="38"/>
      <c r="G1002" s="38"/>
      <c r="H1002" s="38"/>
      <c r="I1002" s="38"/>
      <c r="J1002" s="38"/>
      <c r="K1002" s="38"/>
      <c r="L1002" s="38"/>
      <c r="M1002" s="38"/>
      <c r="N1002" s="38"/>
      <c r="O1002" s="38"/>
      <c r="P1002" s="38"/>
      <c r="Q1002" s="38"/>
      <c r="R1002" s="38"/>
    </row>
    <row r="1003" spans="1:18" ht="19.5" customHeight="1" x14ac:dyDescent="0.25">
      <c r="A1003" s="38"/>
      <c r="B1003" s="38"/>
      <c r="C1003" s="470"/>
      <c r="D1003" s="470"/>
      <c r="E1003" s="38"/>
      <c r="F1003" s="38"/>
      <c r="G1003" s="38"/>
      <c r="H1003" s="38"/>
      <c r="I1003" s="38"/>
      <c r="J1003" s="38"/>
      <c r="K1003" s="38"/>
      <c r="L1003" s="38"/>
      <c r="M1003" s="38"/>
      <c r="N1003" s="38"/>
      <c r="O1003" s="38"/>
      <c r="P1003" s="38"/>
      <c r="Q1003" s="38"/>
      <c r="R1003" s="38"/>
    </row>
    <row r="1004" spans="1:18" ht="19.5" customHeight="1" x14ac:dyDescent="0.25">
      <c r="A1004" s="38"/>
      <c r="B1004" s="38"/>
      <c r="C1004" s="470"/>
      <c r="D1004" s="470"/>
      <c r="E1004" s="38"/>
      <c r="F1004" s="38"/>
      <c r="G1004" s="38"/>
      <c r="H1004" s="38"/>
      <c r="I1004" s="38"/>
      <c r="J1004" s="38"/>
      <c r="K1004" s="38"/>
      <c r="L1004" s="38"/>
      <c r="M1004" s="38"/>
      <c r="N1004" s="38"/>
      <c r="O1004" s="38"/>
      <c r="P1004" s="38"/>
      <c r="Q1004" s="38"/>
      <c r="R1004" s="38"/>
    </row>
    <row r="1005" spans="1:18" ht="19.5" customHeight="1" x14ac:dyDescent="0.25">
      <c r="A1005" s="38"/>
      <c r="B1005" s="38"/>
      <c r="C1005" s="470"/>
      <c r="D1005" s="470"/>
      <c r="E1005" s="38"/>
      <c r="F1005" s="38"/>
      <c r="G1005" s="38"/>
      <c r="H1005" s="38"/>
      <c r="I1005" s="38"/>
      <c r="J1005" s="38"/>
      <c r="K1005" s="38"/>
      <c r="L1005" s="38"/>
      <c r="M1005" s="38"/>
      <c r="N1005" s="38"/>
      <c r="O1005" s="38"/>
      <c r="P1005" s="38"/>
      <c r="Q1005" s="38"/>
      <c r="R1005" s="38"/>
    </row>
    <row r="1006" spans="1:18" ht="19.5" customHeight="1" x14ac:dyDescent="0.25">
      <c r="A1006" s="38"/>
      <c r="B1006" s="38"/>
      <c r="C1006" s="470"/>
      <c r="D1006" s="470"/>
      <c r="E1006" s="38"/>
      <c r="F1006" s="38"/>
      <c r="G1006" s="38"/>
      <c r="H1006" s="38"/>
      <c r="I1006" s="38"/>
      <c r="J1006" s="38"/>
      <c r="K1006" s="38"/>
      <c r="L1006" s="38"/>
      <c r="M1006" s="38"/>
      <c r="N1006" s="38"/>
      <c r="O1006" s="38"/>
      <c r="P1006" s="38"/>
      <c r="Q1006" s="38"/>
      <c r="R1006" s="38"/>
    </row>
    <row r="1007" spans="1:18" ht="19.5" customHeight="1" x14ac:dyDescent="0.25">
      <c r="A1007" s="38"/>
      <c r="B1007" s="38"/>
      <c r="C1007" s="470"/>
      <c r="D1007" s="470"/>
      <c r="E1007" s="38"/>
      <c r="F1007" s="38"/>
      <c r="G1007" s="38"/>
      <c r="H1007" s="38"/>
      <c r="I1007" s="38"/>
      <c r="J1007" s="38"/>
      <c r="K1007" s="38"/>
      <c r="L1007" s="38"/>
      <c r="M1007" s="38"/>
      <c r="N1007" s="38"/>
      <c r="O1007" s="38"/>
      <c r="P1007" s="38"/>
      <c r="Q1007" s="38"/>
      <c r="R1007" s="38"/>
    </row>
    <row r="1008" spans="1:18" ht="19.5" customHeight="1" x14ac:dyDescent="0.25">
      <c r="A1008" s="38"/>
      <c r="B1008" s="38"/>
      <c r="C1008" s="470"/>
      <c r="D1008" s="470"/>
      <c r="E1008" s="38"/>
      <c r="F1008" s="38"/>
      <c r="G1008" s="38"/>
      <c r="H1008" s="38"/>
      <c r="I1008" s="38"/>
      <c r="J1008" s="38"/>
      <c r="K1008" s="38"/>
      <c r="L1008" s="38"/>
      <c r="M1008" s="38"/>
      <c r="N1008" s="38"/>
      <c r="O1008" s="38"/>
      <c r="P1008" s="38"/>
      <c r="Q1008" s="38"/>
      <c r="R1008" s="38"/>
    </row>
    <row r="1009" spans="1:18" ht="19.5" customHeight="1" x14ac:dyDescent="0.25">
      <c r="A1009" s="38"/>
      <c r="B1009" s="38"/>
      <c r="C1009" s="470"/>
      <c r="D1009" s="470"/>
      <c r="E1009" s="38"/>
      <c r="F1009" s="38"/>
      <c r="G1009" s="38"/>
      <c r="H1009" s="38"/>
      <c r="I1009" s="38"/>
      <c r="J1009" s="38"/>
      <c r="K1009" s="38"/>
      <c r="L1009" s="38"/>
      <c r="M1009" s="38"/>
      <c r="N1009" s="38"/>
      <c r="O1009" s="38"/>
      <c r="P1009" s="38"/>
      <c r="Q1009" s="38"/>
      <c r="R1009" s="38"/>
    </row>
    <row r="1010" spans="1:18" ht="19.5" customHeight="1" x14ac:dyDescent="0.25">
      <c r="A1010" s="38"/>
      <c r="B1010" s="38"/>
      <c r="C1010" s="470"/>
      <c r="D1010" s="470"/>
      <c r="E1010" s="38"/>
      <c r="F1010" s="38"/>
      <c r="G1010" s="38"/>
      <c r="H1010" s="38"/>
      <c r="I1010" s="38"/>
      <c r="J1010" s="38"/>
      <c r="K1010" s="38"/>
      <c r="L1010" s="38"/>
      <c r="M1010" s="38"/>
      <c r="N1010" s="38"/>
      <c r="O1010" s="38"/>
      <c r="P1010" s="38"/>
      <c r="Q1010" s="38"/>
      <c r="R1010" s="38"/>
    </row>
    <row r="1011" spans="1:18" ht="19.5" customHeight="1" x14ac:dyDescent="0.25">
      <c r="A1011" s="38"/>
      <c r="B1011" s="38"/>
      <c r="C1011" s="470"/>
      <c r="D1011" s="470"/>
      <c r="E1011" s="38"/>
      <c r="F1011" s="38"/>
      <c r="G1011" s="38"/>
      <c r="H1011" s="38"/>
      <c r="I1011" s="38"/>
      <c r="J1011" s="38"/>
      <c r="K1011" s="38"/>
      <c r="L1011" s="38"/>
      <c r="M1011" s="38"/>
      <c r="N1011" s="38"/>
      <c r="O1011" s="38"/>
      <c r="P1011" s="38"/>
      <c r="Q1011" s="38"/>
      <c r="R1011" s="38"/>
    </row>
    <row r="1012" spans="1:18" ht="19.5" customHeight="1" x14ac:dyDescent="0.25">
      <c r="A1012" s="38"/>
      <c r="B1012" s="38"/>
      <c r="C1012" s="470"/>
      <c r="D1012" s="470"/>
      <c r="E1012" s="38"/>
      <c r="F1012" s="38"/>
      <c r="G1012" s="38"/>
      <c r="H1012" s="38"/>
      <c r="I1012" s="38"/>
      <c r="J1012" s="38"/>
      <c r="K1012" s="38"/>
      <c r="L1012" s="38"/>
      <c r="M1012" s="38"/>
      <c r="N1012" s="38"/>
      <c r="O1012" s="38"/>
      <c r="P1012" s="38"/>
      <c r="Q1012" s="38"/>
      <c r="R1012" s="38"/>
    </row>
    <row r="1013" spans="1:18" ht="19.5" customHeight="1" x14ac:dyDescent="0.25">
      <c r="A1013" s="38"/>
      <c r="B1013" s="38"/>
      <c r="C1013" s="470"/>
      <c r="D1013" s="470"/>
      <c r="E1013" s="38"/>
      <c r="F1013" s="38"/>
      <c r="G1013" s="38"/>
      <c r="H1013" s="38"/>
      <c r="I1013" s="38"/>
      <c r="J1013" s="38"/>
      <c r="K1013" s="38"/>
      <c r="L1013" s="38"/>
      <c r="M1013" s="38"/>
      <c r="N1013" s="38"/>
      <c r="O1013" s="38"/>
      <c r="P1013" s="38"/>
      <c r="Q1013" s="38"/>
      <c r="R1013" s="38"/>
    </row>
    <row r="1014" spans="1:18" ht="19.5" customHeight="1" x14ac:dyDescent="0.25">
      <c r="A1014" s="38"/>
      <c r="B1014" s="38"/>
      <c r="C1014" s="470"/>
      <c r="D1014" s="470"/>
      <c r="E1014" s="38"/>
      <c r="F1014" s="38"/>
      <c r="G1014" s="38"/>
      <c r="H1014" s="38"/>
      <c r="I1014" s="38"/>
      <c r="J1014" s="38"/>
      <c r="K1014" s="38"/>
      <c r="L1014" s="38"/>
      <c r="M1014" s="38"/>
      <c r="N1014" s="38"/>
      <c r="O1014" s="38"/>
      <c r="P1014" s="38"/>
      <c r="Q1014" s="38"/>
      <c r="R1014" s="38"/>
    </row>
    <row r="1015" spans="1:18" ht="15" customHeight="1" x14ac:dyDescent="0.25">
      <c r="A1015" s="38"/>
      <c r="B1015" s="38"/>
      <c r="C1015" s="470"/>
      <c r="D1015" s="470"/>
      <c r="E1015" s="38"/>
      <c r="F1015" s="38"/>
      <c r="G1015" s="38"/>
      <c r="H1015" s="38"/>
      <c r="I1015" s="38"/>
      <c r="J1015" s="38"/>
    </row>
    <row r="1016" spans="1:18" ht="15" customHeight="1" x14ac:dyDescent="0.25">
      <c r="A1016" s="38"/>
      <c r="B1016" s="38"/>
      <c r="C1016" s="470"/>
      <c r="D1016" s="470"/>
      <c r="E1016" s="38"/>
      <c r="F1016" s="38"/>
      <c r="G1016" s="38"/>
      <c r="H1016" s="38"/>
      <c r="I1016" s="38"/>
      <c r="J1016" s="38"/>
    </row>
    <row r="1017" spans="1:18" ht="15" customHeight="1" x14ac:dyDescent="0.25">
      <c r="A1017" s="38"/>
      <c r="B1017" s="38"/>
      <c r="C1017" s="470"/>
      <c r="D1017" s="470"/>
      <c r="E1017" s="38"/>
      <c r="F1017" s="38"/>
      <c r="G1017" s="38"/>
      <c r="H1017" s="38"/>
    </row>
    <row r="1018" spans="1:18" ht="15" customHeight="1" x14ac:dyDescent="0.25">
      <c r="A1018" s="38"/>
      <c r="B1018" s="38"/>
      <c r="C1018" s="470"/>
      <c r="D1018" s="470"/>
      <c r="E1018" s="38"/>
      <c r="F1018" s="38"/>
      <c r="G1018" s="38"/>
    </row>
    <row r="1019" spans="1:18" ht="15" customHeight="1" x14ac:dyDescent="0.25">
      <c r="A1019" s="38"/>
      <c r="B1019" s="38"/>
      <c r="C1019" s="470"/>
      <c r="D1019" s="470"/>
    </row>
    <row r="1020" spans="1:18" ht="15" customHeight="1" x14ac:dyDescent="0.25">
      <c r="A1020" s="38"/>
      <c r="B1020" s="38"/>
      <c r="C1020" s="470"/>
      <c r="D1020" s="470"/>
    </row>
  </sheetData>
  <mergeCells count="1">
    <mergeCell ref="A22:D22"/>
  </mergeCells>
  <pageMargins left="0.511811024" right="0.511811024" top="0.78740157499999996" bottom="0.78740157499999996" header="0" footer="0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965D7-2AB9-4D20-BDC0-7E1F03A5144F}">
  <dimension ref="B1:R34"/>
  <sheetViews>
    <sheetView showGridLines="0" topLeftCell="C11" zoomScale="70" zoomScaleNormal="70" workbookViewId="0">
      <selection activeCell="P24" sqref="P24"/>
    </sheetView>
  </sheetViews>
  <sheetFormatPr defaultRowHeight="15" x14ac:dyDescent="0.25"/>
  <cols>
    <col min="2" max="2" width="48.7109375" customWidth="1"/>
    <col min="3" max="12" width="17.7109375" customWidth="1"/>
    <col min="13" max="13" width="16.140625" hidden="1" customWidth="1"/>
    <col min="14" max="14" width="21.28515625" hidden="1" customWidth="1"/>
    <col min="16" max="17" width="17" style="3" customWidth="1"/>
  </cols>
  <sheetData>
    <row r="1" spans="2:18" ht="13.9" customHeight="1" x14ac:dyDescent="0.25"/>
    <row r="2" spans="2:18" ht="13.9" customHeight="1" x14ac:dyDescent="0.25"/>
    <row r="3" spans="2:18" ht="13.9" customHeight="1" x14ac:dyDescent="0.25">
      <c r="C3" s="495" t="s">
        <v>558</v>
      </c>
      <c r="D3" s="505">
        <v>45231</v>
      </c>
      <c r="E3" s="495" t="s">
        <v>558</v>
      </c>
      <c r="F3" s="500">
        <v>44958</v>
      </c>
      <c r="G3" s="495" t="s">
        <v>558</v>
      </c>
      <c r="H3" s="500">
        <v>45047</v>
      </c>
      <c r="I3" s="495" t="s">
        <v>558</v>
      </c>
      <c r="J3" s="500">
        <v>44652</v>
      </c>
      <c r="K3" s="495" t="s">
        <v>558</v>
      </c>
      <c r="L3" s="500">
        <v>45078</v>
      </c>
      <c r="M3" s="495" t="s">
        <v>558</v>
      </c>
      <c r="N3" s="500">
        <v>45231</v>
      </c>
    </row>
    <row r="4" spans="2:18" ht="13.9" customHeight="1" x14ac:dyDescent="0.25">
      <c r="C4" s="495" t="s">
        <v>578</v>
      </c>
      <c r="D4" s="506">
        <v>2754.98</v>
      </c>
      <c r="E4" s="495" t="s">
        <v>578</v>
      </c>
      <c r="F4" s="504">
        <v>2662.47</v>
      </c>
      <c r="G4" s="495" t="s">
        <v>578</v>
      </c>
      <c r="H4" s="504">
        <v>2688.94</v>
      </c>
      <c r="I4" s="495" t="s">
        <v>578</v>
      </c>
      <c r="J4" s="504">
        <v>2461.35</v>
      </c>
      <c r="K4" s="495" t="s">
        <v>578</v>
      </c>
      <c r="L4" s="504">
        <v>2725.79</v>
      </c>
      <c r="M4" s="495" t="s">
        <v>578</v>
      </c>
      <c r="N4" s="504">
        <v>2754.98</v>
      </c>
    </row>
    <row r="5" spans="2:18" ht="13.9" customHeight="1" x14ac:dyDescent="0.25">
      <c r="C5" s="495" t="s">
        <v>589</v>
      </c>
      <c r="D5" s="506">
        <v>2394.02</v>
      </c>
      <c r="E5" s="495" t="s">
        <v>589</v>
      </c>
      <c r="F5" s="504"/>
      <c r="G5" s="495" t="s">
        <v>589</v>
      </c>
      <c r="H5" s="504"/>
      <c r="I5" s="495" t="s">
        <v>589</v>
      </c>
      <c r="J5" s="504"/>
      <c r="K5" s="495" t="s">
        <v>589</v>
      </c>
      <c r="L5" s="504"/>
      <c r="M5" s="495" t="s">
        <v>589</v>
      </c>
      <c r="N5" s="504"/>
    </row>
    <row r="6" spans="2:18" ht="13.9" customHeight="1" x14ac:dyDescent="0.25">
      <c r="C6" s="495" t="s">
        <v>280</v>
      </c>
      <c r="D6" s="506">
        <v>7642.76</v>
      </c>
      <c r="E6" s="495" t="s">
        <v>280</v>
      </c>
      <c r="F6" s="504">
        <v>14888.46</v>
      </c>
      <c r="G6" s="495" t="s">
        <v>280</v>
      </c>
      <c r="H6" s="504">
        <v>3282.64</v>
      </c>
      <c r="I6" s="495" t="s">
        <v>280</v>
      </c>
      <c r="J6" s="504">
        <v>4811.62</v>
      </c>
      <c r="K6" s="495" t="s">
        <v>280</v>
      </c>
      <c r="L6" s="504">
        <v>7305.16</v>
      </c>
      <c r="M6" s="495" t="s">
        <v>280</v>
      </c>
      <c r="N6" s="504">
        <v>7642.76</v>
      </c>
    </row>
    <row r="7" spans="2:18" ht="13.9" customHeight="1" x14ac:dyDescent="0.25">
      <c r="C7" s="495" t="s">
        <v>590</v>
      </c>
      <c r="D7" s="503" t="s">
        <v>591</v>
      </c>
      <c r="E7" s="495" t="s">
        <v>590</v>
      </c>
      <c r="F7" s="503"/>
      <c r="G7" s="495" t="s">
        <v>590</v>
      </c>
      <c r="H7" s="503"/>
      <c r="I7" s="495" t="s">
        <v>590</v>
      </c>
      <c r="J7" s="503"/>
      <c r="K7" s="495" t="s">
        <v>590</v>
      </c>
      <c r="L7" s="503"/>
      <c r="M7" s="495" t="s">
        <v>590</v>
      </c>
      <c r="N7" s="503"/>
    </row>
    <row r="8" spans="2:18" ht="13.9" customHeight="1" x14ac:dyDescent="0.25">
      <c r="C8" s="495" t="s">
        <v>592</v>
      </c>
      <c r="D8" s="503" t="s">
        <v>593</v>
      </c>
      <c r="E8" s="495" t="s">
        <v>592</v>
      </c>
      <c r="F8" s="503"/>
      <c r="G8" s="495" t="s">
        <v>592</v>
      </c>
      <c r="H8" s="503"/>
      <c r="I8" s="495" t="s">
        <v>592</v>
      </c>
      <c r="J8" s="503"/>
      <c r="K8" s="495" t="s">
        <v>592</v>
      </c>
      <c r="L8" s="503"/>
      <c r="M8" s="495" t="s">
        <v>592</v>
      </c>
      <c r="N8" s="503"/>
    </row>
    <row r="9" spans="2:18" ht="95.45" customHeight="1" x14ac:dyDescent="0.25">
      <c r="C9" s="501" t="s">
        <v>587</v>
      </c>
      <c r="D9" s="502" t="s">
        <v>588</v>
      </c>
      <c r="E9" s="501" t="s">
        <v>587</v>
      </c>
      <c r="F9" s="502"/>
      <c r="G9" s="501" t="s">
        <v>587</v>
      </c>
      <c r="H9" s="502" t="s">
        <v>1274</v>
      </c>
      <c r="I9" s="501" t="s">
        <v>587</v>
      </c>
      <c r="J9" s="502" t="s">
        <v>1274</v>
      </c>
      <c r="K9" s="501" t="s">
        <v>587</v>
      </c>
      <c r="L9" s="502"/>
      <c r="M9" s="501" t="s">
        <v>587</v>
      </c>
      <c r="N9" s="502"/>
    </row>
    <row r="10" spans="2:18" ht="28.15" customHeight="1" x14ac:dyDescent="0.25">
      <c r="G10" s="1139" t="s">
        <v>600</v>
      </c>
      <c r="H10" s="1139"/>
      <c r="I10" s="1139"/>
      <c r="J10" s="1139"/>
      <c r="K10" s="1139"/>
      <c r="L10" s="1139"/>
      <c r="M10" s="1139"/>
      <c r="N10" s="1139"/>
      <c r="P10" s="3" t="s">
        <v>1312</v>
      </c>
    </row>
    <row r="11" spans="2:18" ht="38.450000000000003" customHeight="1" x14ac:dyDescent="0.25">
      <c r="C11" s="1143" t="s">
        <v>1099</v>
      </c>
      <c r="D11" s="1141"/>
      <c r="E11" s="1143" t="s">
        <v>1100</v>
      </c>
      <c r="F11" s="1141"/>
      <c r="G11" s="1140" t="s">
        <v>595</v>
      </c>
      <c r="H11" s="1141"/>
      <c r="I11" s="1140" t="s">
        <v>596</v>
      </c>
      <c r="J11" s="1141"/>
      <c r="K11" s="1140" t="s">
        <v>597</v>
      </c>
      <c r="L11" s="1141"/>
      <c r="M11" s="1140" t="s">
        <v>598</v>
      </c>
      <c r="N11" s="1141"/>
      <c r="P11" s="1142" t="s">
        <v>579</v>
      </c>
      <c r="Q11" s="1142"/>
    </row>
    <row r="12" spans="2:18" ht="19.149999999999999" customHeight="1" x14ac:dyDescent="0.25">
      <c r="C12" s="499" t="s">
        <v>580</v>
      </c>
      <c r="D12" s="499" t="s">
        <v>581</v>
      </c>
      <c r="E12" s="499"/>
      <c r="F12" s="499" t="s">
        <v>581</v>
      </c>
      <c r="G12" s="499" t="s">
        <v>580</v>
      </c>
      <c r="H12" s="499" t="s">
        <v>581</v>
      </c>
      <c r="I12" s="499" t="s">
        <v>580</v>
      </c>
      <c r="J12" s="499" t="s">
        <v>581</v>
      </c>
      <c r="K12" s="499" t="s">
        <v>580</v>
      </c>
      <c r="L12" s="499" t="s">
        <v>581</v>
      </c>
      <c r="M12" s="499" t="s">
        <v>580</v>
      </c>
      <c r="N12" s="499" t="s">
        <v>581</v>
      </c>
      <c r="P12" s="489" t="s">
        <v>582</v>
      </c>
      <c r="Q12" s="489" t="s">
        <v>583</v>
      </c>
      <c r="R12" s="193"/>
    </row>
    <row r="13" spans="2:18" ht="19.149999999999999" customHeight="1" x14ac:dyDescent="0.25">
      <c r="B13" s="493" t="s">
        <v>584</v>
      </c>
      <c r="C13" s="514">
        <v>400.87570589682264</v>
      </c>
      <c r="D13" s="515">
        <f>ORÇAMENTO_EXECUTIVO_REV02!$B$21/CÁLCULO_MÉDIAS!D$4*C13</f>
        <v>401.38207888556332</v>
      </c>
      <c r="E13" s="514">
        <v>194.23279506409665</v>
      </c>
      <c r="F13" s="515">
        <f>ORÇAMENTO_EXECUTIVO_REV02!$B$21/CÁLCULO_MÉDIAS!F$4*E13</f>
        <v>201.23546776959293</v>
      </c>
      <c r="G13" s="514">
        <v>750.56</v>
      </c>
      <c r="H13" s="515">
        <f>ORÇAMENTO_EXECUTIVO_REV02!$B$21/CÁLCULO_MÉDIAS!H$4*G13</f>
        <v>769.96501878063464</v>
      </c>
      <c r="I13" s="514">
        <v>647.1</v>
      </c>
      <c r="J13" s="515">
        <f>ORÇAMENTO_EXECUTIVO_REV02!$B$21/CÁLCULO_MÉDIAS!J$4*I13</f>
        <v>725.21155707233834</v>
      </c>
      <c r="K13" s="514">
        <v>186.67</v>
      </c>
      <c r="L13" s="515">
        <f>ORÇAMENTO_EXECUTIVO_REV02!$B$21/CÁLCULO_MÉDIAS!L$4*K13</f>
        <v>188.90733629516581</v>
      </c>
      <c r="M13" s="514">
        <v>400.88</v>
      </c>
      <c r="N13" s="515">
        <f>ORÇAMENTO_EXECUTIVO_REV02!$B$21/CÁLCULO_MÉDIAS!N$4*M13</f>
        <v>401.3863784129104</v>
      </c>
      <c r="P13" s="490">
        <v>220.00000000000003</v>
      </c>
      <c r="Q13" s="490">
        <v>440.00000000000006</v>
      </c>
      <c r="R13" t="s">
        <v>584</v>
      </c>
    </row>
    <row r="14" spans="2:18" ht="19.149999999999999" customHeight="1" x14ac:dyDescent="0.25">
      <c r="B14" s="494" t="s">
        <v>117</v>
      </c>
      <c r="C14" s="514">
        <v>38.001580580837292</v>
      </c>
      <c r="D14" s="515">
        <f>ORÇAMENTO_EXECUTIVO_REV02!$B$21/CÁLCULO_MÉDIAS!D$4*C14</f>
        <v>38.049582925834827</v>
      </c>
      <c r="E14" s="514">
        <v>131.35298076496832</v>
      </c>
      <c r="F14" s="515">
        <f>ORÇAMENTO_EXECUTIVO_REV02!$B$21/CÁLCULO_MÉDIAS!F$4*E14</f>
        <v>136.08864825554261</v>
      </c>
      <c r="G14" s="514">
        <v>40.840000000000003</v>
      </c>
      <c r="H14" s="515">
        <f>ORÇAMENTO_EXECUTIVO_REV02!$B$21/CÁLCULO_MÉDIAS!H$4*G14</f>
        <v>41.895879565925604</v>
      </c>
      <c r="I14" s="514">
        <v>93.34</v>
      </c>
      <c r="J14" s="515">
        <f>ORÇAMENTO_EXECUTIVO_REV02!$B$21/CÁLCULO_MÉDIAS!J$4*I14</f>
        <v>104.60708814268592</v>
      </c>
      <c r="K14" s="514">
        <v>89.11</v>
      </c>
      <c r="L14" s="515">
        <f>ORÇAMENTO_EXECUTIVO_REV02!$B$21/CÁLCULO_MÉDIAS!L$4*K14</f>
        <v>90.178029341952254</v>
      </c>
      <c r="M14" s="514">
        <v>38</v>
      </c>
      <c r="N14" s="515">
        <f>ORÇAMENTO_EXECUTIVO_REV02!$B$21/CÁLCULO_MÉDIAS!N$4*M14</f>
        <v>38.04800034845988</v>
      </c>
      <c r="P14" s="490">
        <v>110.00000000000001</v>
      </c>
      <c r="Q14" s="490">
        <v>160</v>
      </c>
      <c r="R14" t="s">
        <v>117</v>
      </c>
    </row>
    <row r="15" spans="2:18" ht="19.149999999999999" customHeight="1" x14ac:dyDescent="0.25">
      <c r="B15" s="493" t="s">
        <v>118</v>
      </c>
      <c r="C15" s="514">
        <v>160.69850289685922</v>
      </c>
      <c r="D15" s="515">
        <f>ORÇAMENTO_EXECUTIVO_REV02!$B$21/CÁLCULO_MÉDIAS!D$4*C15</f>
        <v>160.90149195307055</v>
      </c>
      <c r="E15" s="514">
        <v>99.325700576150922</v>
      </c>
      <c r="F15" s="515">
        <f>ORÇAMENTO_EXECUTIVO_REV02!$B$21/CÁLCULO_MÉDIAS!F$4*E15</f>
        <v>102.90668890589914</v>
      </c>
      <c r="G15" s="514">
        <v>134.84</v>
      </c>
      <c r="H15" s="515">
        <f>ORÇAMENTO_EXECUTIVO_REV02!$B$21/CÁLCULO_MÉDIAS!H$4*G15</f>
        <v>138.32616064322744</v>
      </c>
      <c r="I15" s="514">
        <v>316.11</v>
      </c>
      <c r="J15" s="515">
        <f>ORÇAMENTO_EXECUTIVO_REV02!$B$21/CÁLCULO_MÉDIAS!J$4*I15</f>
        <v>354.26769480163324</v>
      </c>
      <c r="K15" s="514">
        <v>630.69000000000005</v>
      </c>
      <c r="L15" s="515">
        <f>ORÇAMENTO_EXECUTIVO_REV02!$B$21/CÁLCULO_MÉDIAS!L$4*K15</f>
        <v>638.24914516525496</v>
      </c>
      <c r="M15" s="514">
        <v>160.69999999999999</v>
      </c>
      <c r="N15" s="515">
        <f>ORÇAMENTO_EXECUTIVO_REV02!$B$21/CÁLCULO_MÉDIAS!N$4*M15</f>
        <v>160.90299094730267</v>
      </c>
      <c r="P15" s="490">
        <v>180</v>
      </c>
      <c r="Q15" s="490">
        <v>250</v>
      </c>
      <c r="R15" t="s">
        <v>118</v>
      </c>
    </row>
    <row r="16" spans="2:18" ht="19.149999999999999" customHeight="1" x14ac:dyDescent="0.25">
      <c r="B16" s="493" t="s">
        <v>1229</v>
      </c>
      <c r="C16" s="514"/>
      <c r="D16" s="515"/>
      <c r="E16" s="514"/>
      <c r="F16" s="515"/>
      <c r="G16" s="514"/>
      <c r="H16" s="515"/>
      <c r="I16" s="514"/>
      <c r="J16" s="515"/>
      <c r="K16" s="514"/>
      <c r="L16" s="515"/>
      <c r="M16" s="514"/>
      <c r="N16" s="515"/>
      <c r="P16" s="490">
        <v>70</v>
      </c>
      <c r="Q16" s="490">
        <v>110.00000000000001</v>
      </c>
      <c r="R16" t="s">
        <v>1229</v>
      </c>
    </row>
    <row r="17" spans="2:18" ht="19.149999999999999" customHeight="1" x14ac:dyDescent="0.25">
      <c r="B17" s="494" t="s">
        <v>28</v>
      </c>
      <c r="C17" s="514">
        <v>678.58013597182162</v>
      </c>
      <c r="D17" s="515">
        <f>ORÇAMENTO_EXECUTIVO_REV02!$B$21/CÁLCULO_MÉDIAS!D$4*C17</f>
        <v>679.43729605036367</v>
      </c>
      <c r="E17" s="514">
        <v>670.83520323794403</v>
      </c>
      <c r="F17" s="515">
        <f>ORÇAMENTO_EXECUTIVO_REV02!$B$21/CÁLCULO_MÉDIAS!F$4*E17</f>
        <v>695.02081703220665</v>
      </c>
      <c r="G17" s="514">
        <v>769.54</v>
      </c>
      <c r="H17" s="515">
        <f>ORÇAMENTO_EXECUTIVO_REV02!$B$21/CÁLCULO_MÉDIAS!H$4*G17</f>
        <v>789.43572872581751</v>
      </c>
      <c r="I17" s="514">
        <v>749.05</v>
      </c>
      <c r="J17" s="515">
        <f>ORÇAMENTO_EXECUTIVO_REV02!$B$21/CÁLCULO_MÉDIAS!J$4*I17</f>
        <v>839.46795985942663</v>
      </c>
      <c r="K17" s="514">
        <v>939.15</v>
      </c>
      <c r="L17" s="515">
        <f>ORÇAMENTO_EXECUTIVO_REV02!$B$21/CÁLCULO_MÉDIAS!L$4*K17</f>
        <v>950.40619746935761</v>
      </c>
      <c r="M17" s="514">
        <v>678.58</v>
      </c>
      <c r="N17" s="515">
        <f>ORÇAMENTO_EXECUTIVO_REV02!$B$21/CÁLCULO_MÉDIAS!N$4*M17</f>
        <v>679.43715990678697</v>
      </c>
      <c r="P17" s="490">
        <v>760</v>
      </c>
      <c r="Q17" s="490">
        <v>1050</v>
      </c>
      <c r="R17" t="s">
        <v>28</v>
      </c>
    </row>
    <row r="18" spans="2:18" ht="19.149999999999999" customHeight="1" x14ac:dyDescent="0.25">
      <c r="B18" s="493" t="s">
        <v>162</v>
      </c>
      <c r="C18" s="514">
        <v>81.675556997733793</v>
      </c>
      <c r="D18" s="515">
        <f>ORÇAMENTO_EXECUTIVO_REV02!$B$21/CÁLCULO_MÉDIAS!D$4*C18</f>
        <v>81.778726871327109</v>
      </c>
      <c r="E18" s="514">
        <v>150.14829068956763</v>
      </c>
      <c r="F18" s="515">
        <f>ORÇAMENTO_EXECUTIVO_REV02!$B$21/CÁLCULO_MÉDIAS!F$4*E18</f>
        <v>155.56158527064898</v>
      </c>
      <c r="G18" s="514">
        <v>161.68</v>
      </c>
      <c r="H18" s="515">
        <f>ORÇAMENTO_EXECUTIVO_REV02!$B$21/CÁLCULO_MÉDIAS!H$4*G18</f>
        <v>165.86008345295915</v>
      </c>
      <c r="I18" s="514">
        <v>151.59</v>
      </c>
      <c r="J18" s="515">
        <f>ORÇAMENTO_EXECUTIVO_REV02!$B$21/CÁLCULO_MÉDIAS!J$4*I18</f>
        <v>169.88845609116947</v>
      </c>
      <c r="K18" s="514">
        <v>249.15</v>
      </c>
      <c r="L18" s="515">
        <f>ORÇAMENTO_EXECUTIVO_REV02!$B$21/CÁLCULO_MÉDIAS!L$4*K18</f>
        <v>252.13619134269334</v>
      </c>
      <c r="M18" s="514">
        <v>81.680000000000007</v>
      </c>
      <c r="N18" s="515">
        <f>ORÇAMENTO_EXECUTIVO_REV02!$B$21/CÁLCULO_MÉDIAS!N$4*M18</f>
        <v>81.783175485847451</v>
      </c>
      <c r="P18" s="490">
        <v>190</v>
      </c>
      <c r="Q18" s="490">
        <v>280</v>
      </c>
      <c r="R18" t="s">
        <v>162</v>
      </c>
    </row>
    <row r="19" spans="2:18" ht="19.149999999999999" customHeight="1" x14ac:dyDescent="0.25">
      <c r="B19" s="494" t="s">
        <v>551</v>
      </c>
      <c r="C19" s="514">
        <v>361.19999973831438</v>
      </c>
      <c r="D19" s="515">
        <f>ORÇAMENTO_EXECUTIVO_REV02!$B$21/CÁLCULO_MÉDIAS!D$4*C19</f>
        <v>361.65625568176563</v>
      </c>
      <c r="E19" s="514">
        <v>301.6524254355387</v>
      </c>
      <c r="F19" s="515">
        <f>ORÇAMENTO_EXECUTIVO_REV02!$B$21/CÁLCULO_MÉDIAS!F$4*E19</f>
        <v>312.52789682772624</v>
      </c>
      <c r="G19" s="514">
        <v>475.97</v>
      </c>
      <c r="H19" s="515">
        <f>ORÇAMENTO_EXECUTIVO_REV02!$B$21/CÁLCULO_MÉDIAS!H$4*G19</f>
        <v>488.27575408897184</v>
      </c>
      <c r="I19" s="514">
        <v>374.08</v>
      </c>
      <c r="J19" s="515">
        <f>ORÇAMENTO_EXECUTIVO_REV02!$B$21/CÁLCULO_MÉDIAS!J$4*I19</f>
        <v>419.23526389989229</v>
      </c>
      <c r="K19" s="514">
        <v>581.27</v>
      </c>
      <c r="L19" s="515">
        <f>ORÇAMENTO_EXECUTIVO_REV02!$B$21/CÁLCULO_MÉDIAS!L$4*K19</f>
        <v>588.23682095832771</v>
      </c>
      <c r="M19" s="514">
        <v>361.2</v>
      </c>
      <c r="N19" s="515">
        <f>ORÇAMENTO_EXECUTIVO_REV02!$B$21/CÁLCULO_MÉDIAS!N$4*M19</f>
        <v>361.65625594378179</v>
      </c>
      <c r="P19" s="890">
        <v>400</v>
      </c>
      <c r="Q19" s="890">
        <v>530</v>
      </c>
      <c r="R19" t="s">
        <v>551</v>
      </c>
    </row>
    <row r="20" spans="2:18" ht="19.149999999999999" customHeight="1" x14ac:dyDescent="0.25">
      <c r="B20" s="493" t="s">
        <v>552</v>
      </c>
      <c r="C20" s="514">
        <v>329.02899868633841</v>
      </c>
      <c r="D20" s="515">
        <f>ORÇAMENTO_EXECUTIVO_REV02!$B$21/CÁLCULO_MÉDIAS!D$4*C20</f>
        <v>329.44461728082126</v>
      </c>
      <c r="E20" s="514">
        <v>121.62815025865672</v>
      </c>
      <c r="F20" s="515">
        <f>ORÇAMENTO_EXECUTIVO_REV02!$B$21/CÁLCULO_MÉDIAS!F$4*E20</f>
        <v>126.01320854788759</v>
      </c>
      <c r="G20" s="514">
        <v>292.98</v>
      </c>
      <c r="H20" s="515">
        <f>ORÇAMENTO_EXECUTIVO_REV02!$B$21/CÁLCULO_MÉDIAS!H$4*G20</f>
        <v>300.55472074497754</v>
      </c>
      <c r="I20" s="514">
        <v>277.64</v>
      </c>
      <c r="J20" s="515">
        <f>ORÇAMENTO_EXECUTIVO_REV02!$B$21/CÁLCULO_MÉDIAS!J$4*I20</f>
        <v>311.15397420114977</v>
      </c>
      <c r="K20" s="514">
        <v>207.96</v>
      </c>
      <c r="L20" s="515">
        <f>ORÇAMENTO_EXECUTIVO_REV02!$B$21/CÁLCULO_MÉDIAS!L$4*K20</f>
        <v>210.45250793347986</v>
      </c>
      <c r="M20" s="514">
        <v>329.03</v>
      </c>
      <c r="N20" s="515">
        <f>ORÇAMENTO_EXECUTIVO_REV02!$B$21/CÁLCULO_MÉDIAS!N$4*M20</f>
        <v>329.44561985930926</v>
      </c>
      <c r="P20" s="490">
        <v>330</v>
      </c>
      <c r="Q20" s="490">
        <v>370</v>
      </c>
      <c r="R20" t="s">
        <v>552</v>
      </c>
    </row>
    <row r="21" spans="2:18" ht="19.149999999999999" customHeight="1" x14ac:dyDescent="0.25">
      <c r="B21" s="493" t="s">
        <v>216</v>
      </c>
      <c r="C21" s="514">
        <v>64.341351815312791</v>
      </c>
      <c r="D21" s="515">
        <f>ORÇAMENTO_EXECUTIVO_REV02!$B$21/CÁLCULO_MÉDIAS!D$4*C21</f>
        <v>64.422625691826326</v>
      </c>
      <c r="E21" s="514">
        <v>61.191657834322697</v>
      </c>
      <c r="F21" s="515">
        <f>ORÇAMENTO_EXECUTIVO_REV02!$B$21/CÁLCULO_MÉDIAS!F$4*E21</f>
        <v>63.397799963817739</v>
      </c>
      <c r="G21" s="514">
        <v>45.54</v>
      </c>
      <c r="H21" s="515">
        <f>ORÇAMENTO_EXECUTIVO_REV02!$B$21/CÁLCULO_MÉDIAS!H$4*G21</f>
        <v>46.717393619790691</v>
      </c>
      <c r="I21" s="514">
        <v>61.96</v>
      </c>
      <c r="J21" s="515">
        <f>ORÇAMENTO_EXECUTIVO_REV02!$B$21/CÁLCULO_MÉDIAS!J$4*I21</f>
        <v>69.439202713957783</v>
      </c>
      <c r="K21" s="514">
        <v>48.93</v>
      </c>
      <c r="L21" s="515">
        <f>ORÇAMENTO_EXECUTIVO_REV02!$B$21/CÁLCULO_MÉDIAS!L$4*K21</f>
        <v>49.51645130402563</v>
      </c>
      <c r="M21" s="514">
        <v>64.34</v>
      </c>
      <c r="N21" s="515">
        <f>ORÇAMENTO_EXECUTIVO_REV02!$B$21/CÁLCULO_MÉDIAS!N$4*M21</f>
        <v>64.421272168944967</v>
      </c>
      <c r="P21" s="490">
        <v>70</v>
      </c>
      <c r="Q21" s="490">
        <v>110.00000000000001</v>
      </c>
      <c r="R21" t="s">
        <v>216</v>
      </c>
    </row>
    <row r="22" spans="2:18" ht="19.149999999999999" customHeight="1" x14ac:dyDescent="0.25">
      <c r="B22" s="494" t="s">
        <v>171</v>
      </c>
      <c r="C22" s="514">
        <v>81.847539370593864</v>
      </c>
      <c r="D22" s="515">
        <f>ORÇAMENTO_EXECUTIVO_REV02!$B$21/CÁLCULO_MÉDIAS!D$4*C22</f>
        <v>81.950926486656286</v>
      </c>
      <c r="E22" s="514">
        <v>395.23514117645482</v>
      </c>
      <c r="F22" s="515">
        <f>ORÇAMENTO_EXECUTIVO_REV02!$B$21/CÁLCULO_MÉDIAS!F$4*E22</f>
        <v>409.48454913279915</v>
      </c>
      <c r="G22" s="514">
        <v>219.39</v>
      </c>
      <c r="H22" s="515">
        <f>ORÇAMENTO_EXECUTIVO_REV02!$B$21/CÁLCULO_MÉDIAS!H$4*G22</f>
        <v>225.06212091009837</v>
      </c>
      <c r="I22" s="514">
        <v>94.96</v>
      </c>
      <c r="J22" s="515">
        <f>ORÇAMENTO_EXECUTIVO_REV02!$B$21/CÁLCULO_MÉDIAS!J$4*I22</f>
        <v>106.42263863327035</v>
      </c>
      <c r="K22" s="514">
        <v>269.06</v>
      </c>
      <c r="L22" s="515">
        <f>ORÇAMENTO_EXECUTIVO_REV02!$B$21/CÁLCULO_MÉDIAS!L$4*K22</f>
        <v>272.28482296875404</v>
      </c>
      <c r="M22" s="514">
        <v>81.849999999999994</v>
      </c>
      <c r="N22" s="515">
        <f>ORÇAMENTO_EXECUTIVO_REV02!$B$21/CÁLCULO_MÉDIAS!N$4*M22</f>
        <v>81.953390224248437</v>
      </c>
      <c r="P22" s="490">
        <v>110.00000000000001</v>
      </c>
      <c r="Q22" s="490">
        <v>250</v>
      </c>
      <c r="R22" t="s">
        <v>171</v>
      </c>
    </row>
    <row r="23" spans="2:18" ht="19.149999999999999" customHeight="1" x14ac:dyDescent="0.25">
      <c r="B23" s="493" t="s">
        <v>553</v>
      </c>
      <c r="C23" s="514">
        <v>33.8431574457395</v>
      </c>
      <c r="D23" s="515">
        <f>ORÇAMENTO_EXECUTIVO_REV02!$B$21/CÁLCULO_MÉDIAS!D$4*C23</f>
        <v>33.885907007591555</v>
      </c>
      <c r="E23" s="514">
        <v>38.140863460693716</v>
      </c>
      <c r="F23" s="515">
        <f>ORÇAMENTO_EXECUTIVO_REV02!$B$21/CÁLCULO_MÉDIAS!F$4*E23</f>
        <v>39.515955568244976</v>
      </c>
      <c r="G23" s="514">
        <v>80.680000000000007</v>
      </c>
      <c r="H23" s="515">
        <f>ORÇAMENTO_EXECUTIVO_REV02!$B$21/CÁLCULO_MÉDIAS!H$4*G23</f>
        <v>82.76590507783736</v>
      </c>
      <c r="I23" s="514">
        <v>59.11</v>
      </c>
      <c r="J23" s="515">
        <f>ORÇAMENTO_EXECUTIVO_REV02!$B$21/CÁLCULO_MÉDIAS!J$4*I23</f>
        <v>66.245178702744425</v>
      </c>
      <c r="K23" s="514">
        <v>88.42</v>
      </c>
      <c r="L23" s="515">
        <f>ORÇAMENTO_EXECUTIVO_REV02!$B$21/CÁLCULO_MÉDIAS!L$4*K23</f>
        <v>89.479759335825591</v>
      </c>
      <c r="M23" s="514">
        <v>12.04</v>
      </c>
      <c r="N23" s="515">
        <f>ORÇAMENTO_EXECUTIVO_REV02!$B$21/CÁLCULO_MÉDIAS!N$4*M23</f>
        <v>12.055208531459392</v>
      </c>
      <c r="P23" s="490">
        <v>80</v>
      </c>
      <c r="Q23" s="490">
        <v>110</v>
      </c>
      <c r="R23" t="s">
        <v>553</v>
      </c>
    </row>
    <row r="24" spans="2:18" ht="19.149999999999999" customHeight="1" x14ac:dyDescent="0.25">
      <c r="B24" s="494" t="s">
        <v>185</v>
      </c>
      <c r="C24" s="514">
        <v>253.39717719776624</v>
      </c>
      <c r="D24" s="515">
        <f>ORÇAMENTO_EXECUTIVO_REV02!$B$21/CÁLCULO_MÉDIAS!D$4*C24</f>
        <v>253.71726016629893</v>
      </c>
      <c r="E24" s="514">
        <v>0</v>
      </c>
      <c r="F24" s="515">
        <f>ORÇAMENTO_EXECUTIVO_REV02!$B$21/CÁLCULO_MÉDIAS!F$4*E24</f>
        <v>0</v>
      </c>
      <c r="G24" s="514">
        <v>258.11</v>
      </c>
      <c r="H24" s="515">
        <f>ORÇAMENTO_EXECUTIVO_REV02!$B$21/CÁLCULO_MÉDIAS!H$4*G24</f>
        <v>264.78318988151466</v>
      </c>
      <c r="I24" s="514">
        <v>221.98</v>
      </c>
      <c r="J24" s="515">
        <f>ORÇAMENTO_EXECUTIVO_REV02!$B$21/CÁLCULO_MÉDIAS!J$4*I24</f>
        <v>248.77524561724255</v>
      </c>
      <c r="K24" s="514">
        <v>393.31</v>
      </c>
      <c r="L24" s="515">
        <f>ORÇAMENTO_EXECUTIVO_REV02!$B$21/CÁLCULO_MÉDIAS!L$4*K24</f>
        <v>398.0240233473599</v>
      </c>
      <c r="M24" s="514">
        <v>237.36</v>
      </c>
      <c r="N24" s="515">
        <f>ORÇAMENTO_EXECUTIVO_REV02!$B$21/CÁLCULO_MÉDIAS!N$4*M24</f>
        <v>237.65982533448519</v>
      </c>
      <c r="P24" s="490">
        <v>210</v>
      </c>
      <c r="Q24" s="490">
        <v>280</v>
      </c>
      <c r="R24" t="s">
        <v>185</v>
      </c>
    </row>
    <row r="25" spans="2:18" ht="19.149999999999999" customHeight="1" x14ac:dyDescent="0.25">
      <c r="B25" s="493" t="s">
        <v>554</v>
      </c>
      <c r="C25" s="514">
        <v>75.431686982189689</v>
      </c>
      <c r="D25" s="515">
        <f>ORÇAMENTO_EXECUTIVO_REV02!$B$21/CÁLCULO_MÉDIAS!D$4*C25</f>
        <v>75.526969804822883</v>
      </c>
      <c r="E25" s="514">
        <v>90.863378751059557</v>
      </c>
      <c r="F25" s="515">
        <f>ORÇAMENTO_EXECUTIVO_REV02!$B$21/CÁLCULO_MÉDIAS!F$4*E25</f>
        <v>94.139275090291264</v>
      </c>
      <c r="G25" s="514">
        <v>168.13</v>
      </c>
      <c r="H25" s="515">
        <f>ORÇAMENTO_EXECUTIVO_REV02!$B$21/CÁLCULO_MÉDIAS!H$4*G25</f>
        <v>172.47684210134847</v>
      </c>
      <c r="I25" s="514">
        <v>88.9</v>
      </c>
      <c r="J25" s="515">
        <f>ORÇAMENTO_EXECUTIVO_REV02!$B$21/CÁLCULO_MÉDIAS!J$4*I25</f>
        <v>99.631134946269327</v>
      </c>
      <c r="K25" s="514">
        <v>188.22</v>
      </c>
      <c r="L25" s="515">
        <f>ORÇAMENTO_EXECUTIVO_REV02!$B$21/CÁLCULO_MÉDIAS!L$4*K25</f>
        <v>190.47591384516051</v>
      </c>
      <c r="M25" s="514">
        <v>75.430000000000007</v>
      </c>
      <c r="N25" s="515">
        <f>ORÇAMENTO_EXECUTIVO_REV02!$B$21/CÁLCULO_MÉDIAS!N$4*M25</f>
        <v>75.525280691692871</v>
      </c>
      <c r="P25" s="490">
        <v>100</v>
      </c>
      <c r="Q25" s="490">
        <v>190</v>
      </c>
      <c r="R25" t="s">
        <v>554</v>
      </c>
    </row>
    <row r="26" spans="2:18" ht="19.149999999999999" customHeight="1" x14ac:dyDescent="0.25">
      <c r="B26" s="494" t="s">
        <v>555</v>
      </c>
      <c r="C26" s="514">
        <v>563.36879608937079</v>
      </c>
      <c r="D26" s="515">
        <f>ORÇAMENTO_EXECUTIVO_REV02!$B$21/CÁLCULO_MÉDIAS!D$4*C26</f>
        <v>564.08042499788951</v>
      </c>
      <c r="E26" s="514">
        <v>393.73192727790519</v>
      </c>
      <c r="F26" s="515">
        <f>ORÇAMENTO_EXECUTIVO_REV02!$B$21/CÁLCULO_MÉDIAS!F$4*E26</f>
        <v>407.92713988101667</v>
      </c>
      <c r="G26" s="514">
        <v>695.51</v>
      </c>
      <c r="H26" s="515">
        <f>ORÇAMENTO_EXECUTIVO_REV02!$B$21/CÁLCULO_MÉDIAS!H$4*G26</f>
        <v>713.49175310717226</v>
      </c>
      <c r="I26" s="514">
        <v>557.54999999999995</v>
      </c>
      <c r="J26" s="515">
        <f>ORÇAMENTO_EXECUTIVO_REV02!$B$21/CÁLCULO_MÉDIAS!J$4*I26</f>
        <v>624.8519605094765</v>
      </c>
      <c r="K26" s="514">
        <v>523.75</v>
      </c>
      <c r="L26" s="515">
        <f>ORÇAMENTO_EXECUTIVO_REV02!$B$21/CÁLCULO_MÉDIAS!L$4*K26</f>
        <v>530.02741407078315</v>
      </c>
      <c r="M26" s="514">
        <v>563.37</v>
      </c>
      <c r="N26" s="515">
        <f>ORÇAMENTO_EXECUTIVO_REV02!$B$21/CÁLCULO_MÉDIAS!N$4*M26</f>
        <v>564.08163042925901</v>
      </c>
      <c r="P26" s="490">
        <v>580</v>
      </c>
      <c r="Q26" s="490">
        <v>290</v>
      </c>
      <c r="R26" t="s">
        <v>555</v>
      </c>
    </row>
    <row r="27" spans="2:18" ht="19.149999999999999" customHeight="1" x14ac:dyDescent="0.25">
      <c r="B27" s="494" t="s">
        <v>556</v>
      </c>
      <c r="C27" s="514">
        <v>106.61098215827791</v>
      </c>
      <c r="D27" s="515">
        <f>ORÇAMENTO_EXECUTIVO_REV02!$B$21/CÁLCULO_MÉDIAS!D$4*C27</f>
        <v>106.74564963967914</v>
      </c>
      <c r="E27" s="514">
        <v>120.60014736245388</v>
      </c>
      <c r="F27" s="515">
        <f>ORÇAMENTO_EXECUTIVO_REV02!$B$21/CÁLCULO_MÉDIAS!F$4*E27</f>
        <v>124.94814307520257</v>
      </c>
      <c r="G27" s="514">
        <v>273.88</v>
      </c>
      <c r="H27" s="515">
        <f>ORÇAMENTO_EXECUTIVO_REV02!$B$21/CÁLCULO_MÉDIAS!H$4*G27</f>
        <v>280.96090831331304</v>
      </c>
      <c r="I27" s="514">
        <v>155.33000000000001</v>
      </c>
      <c r="J27" s="515">
        <f>ORÇAMENTO_EXECUTIVO_REV02!$B$21/CÁLCULO_MÉDIAS!J$4*I27</f>
        <v>174.07991216202493</v>
      </c>
      <c r="K27" s="514">
        <v>183.05</v>
      </c>
      <c r="L27" s="515">
        <f>ORÇAMENTO_EXECUTIVO_REV02!$B$21/CÁLCULO_MÉDIAS!L$4*K27</f>
        <v>185.24394872679116</v>
      </c>
      <c r="M27" s="514">
        <v>106.61</v>
      </c>
      <c r="N27" s="515">
        <f>ORÇAMENTO_EXECUTIVO_REV02!$B$21/CÁLCULO_MÉDIAS!N$4*M27</f>
        <v>106.74466624077125</v>
      </c>
      <c r="P27" s="490">
        <v>110.00000000000001</v>
      </c>
      <c r="Q27" s="490">
        <v>210</v>
      </c>
      <c r="R27" t="s">
        <v>556</v>
      </c>
    </row>
    <row r="28" spans="2:18" ht="19.149999999999999" customHeight="1" x14ac:dyDescent="0.25">
      <c r="B28" s="493" t="s">
        <v>271</v>
      </c>
      <c r="C28" s="514">
        <v>371.14469380171556</v>
      </c>
      <c r="D28" s="515">
        <f>ORÇAMENTO_EXECUTIVO_REV02!$B$21/CÁLCULO_MÉDIAS!D$4*C28</f>
        <v>371.61351155517656</v>
      </c>
      <c r="E28" s="514">
        <v>152.50969542853997</v>
      </c>
      <c r="F28" s="515">
        <f>ORÇAMENTO_EXECUTIVO_REV02!$B$21/CÁLCULO_MÉDIAS!F$4*E28</f>
        <v>158.00812570726072</v>
      </c>
      <c r="G28" s="514">
        <v>334.34</v>
      </c>
      <c r="H28" s="515">
        <f>ORÇAMENTO_EXECUTIVO_REV02!$B$21/CÁLCULO_MÉDIAS!H$4*G28</f>
        <v>342.98404441899032</v>
      </c>
      <c r="I28" s="514">
        <v>82.14</v>
      </c>
      <c r="J28" s="515">
        <f>ORÇAMENTO_EXECUTIVO_REV02!$B$21/CÁLCULO_MÉDIAS!J$4*I28</f>
        <v>92.055134133707114</v>
      </c>
      <c r="K28" s="514">
        <v>270.04000000000002</v>
      </c>
      <c r="L28" s="515">
        <f>ORÇAMENTO_EXECUTIVO_REV02!$B$21/CÁLCULO_MÉDIAS!L$4*K28</f>
        <v>273.27656877455718</v>
      </c>
      <c r="M28" s="514">
        <v>371.14</v>
      </c>
      <c r="N28" s="515">
        <f>ORÇAMENTO_EXECUTIVO_REV02!$B$21/CÁLCULO_MÉDIAS!N$4*M28</f>
        <v>371.60881182440522</v>
      </c>
      <c r="P28" s="490">
        <v>180</v>
      </c>
      <c r="Q28" s="490">
        <v>310</v>
      </c>
      <c r="R28" t="s">
        <v>271</v>
      </c>
    </row>
    <row r="29" spans="2:18" ht="19.149999999999999" customHeight="1" thickBot="1" x14ac:dyDescent="0.3">
      <c r="B29" s="493" t="s">
        <v>585</v>
      </c>
      <c r="C29" s="514">
        <v>54.035034463989447</v>
      </c>
      <c r="D29" s="515">
        <f>ORÇAMENTO_EXECUTIVO_REV02!$B$21/CÁLCULO_MÉDIAS!D$4*C29</f>
        <v>54.103289739866106</v>
      </c>
      <c r="E29" s="514">
        <v>0</v>
      </c>
      <c r="F29" s="515">
        <f>ORÇAMENTO_EXECUTIVO_REV02!$B$21/CÁLCULO_MÉDIAS!F$4*E29</f>
        <v>0</v>
      </c>
      <c r="G29" s="514"/>
      <c r="H29" s="515">
        <f>ORÇAMENTO_EXECUTIVO_REV02!$B$21/CÁLCULO_MÉDIAS!H$4*G29</f>
        <v>0</v>
      </c>
      <c r="I29" s="514"/>
      <c r="J29" s="515">
        <f>ORÇAMENTO_EXECUTIVO_REV02!$B$21/CÁLCULO_MÉDIAS!J$4*I29</f>
        <v>0</v>
      </c>
      <c r="K29" s="514"/>
      <c r="L29" s="515">
        <f>ORÇAMENTO_EXECUTIVO_REV02!$B$21/CÁLCULO_MÉDIAS!L$4*K29</f>
        <v>0</v>
      </c>
      <c r="M29" s="514">
        <v>54.035034463989447</v>
      </c>
      <c r="N29" s="515">
        <f>ORÇAMENTO_EXECUTIVO_REV02!$B$21/CÁLCULO_MÉDIAS!N$4*M29</f>
        <v>54.103289739866106</v>
      </c>
      <c r="P29" s="490"/>
      <c r="Q29" s="490"/>
      <c r="R29" t="s">
        <v>585</v>
      </c>
    </row>
    <row r="30" spans="2:18" ht="19.149999999999999" customHeight="1" thickBot="1" x14ac:dyDescent="0.3">
      <c r="B30" s="496" t="s">
        <v>17</v>
      </c>
      <c r="C30" s="497">
        <f>SUM(C13:C29)</f>
        <v>3654.0809000936833</v>
      </c>
      <c r="D30" s="498">
        <f>SUM(D13:D28)</f>
        <v>3604.593324998687</v>
      </c>
      <c r="E30" s="497">
        <f>SUM(E13:E29)</f>
        <v>2921.4483573183525</v>
      </c>
      <c r="F30" s="498">
        <f>SUM(F13:F28)</f>
        <v>3026.7753010281372</v>
      </c>
      <c r="G30" s="497">
        <f>SUM(G13:G29)</f>
        <v>4701.9900000000007</v>
      </c>
      <c r="H30" s="498">
        <f>SUM(H13:H28)</f>
        <v>4823.5555034325789</v>
      </c>
      <c r="I30" s="497">
        <f>SUM(I13:I29)</f>
        <v>3930.8399999999997</v>
      </c>
      <c r="J30" s="498">
        <f>SUM(J13:J28)</f>
        <v>4405.3324014869877</v>
      </c>
      <c r="K30" s="497">
        <f>SUM(K13:K29)</f>
        <v>4848.78</v>
      </c>
      <c r="L30" s="498">
        <f>SUM(L13:L28)</f>
        <v>4906.8951308794885</v>
      </c>
      <c r="M30" s="497">
        <f>SUM(M13:M29)</f>
        <v>3616.2450344639892</v>
      </c>
      <c r="N30" s="498">
        <f>SUM(N13:N28)</f>
        <v>3566.7096663496641</v>
      </c>
      <c r="P30" s="491">
        <f>SUM(P14:P29)</f>
        <v>3480</v>
      </c>
      <c r="Q30" s="491">
        <f>SUM(Q14:Q29)</f>
        <v>4500</v>
      </c>
    </row>
    <row r="31" spans="2:18" x14ac:dyDescent="0.25">
      <c r="F31" s="509"/>
    </row>
    <row r="32" spans="2:18" x14ac:dyDescent="0.25">
      <c r="B32" s="492"/>
      <c r="C32" s="254"/>
      <c r="D32" s="507"/>
      <c r="E32" s="492"/>
      <c r="F32" s="254"/>
    </row>
    <row r="33" spans="3:6" x14ac:dyDescent="0.25">
      <c r="C33" s="254"/>
      <c r="D33" s="507"/>
      <c r="F33" s="254"/>
    </row>
    <row r="34" spans="3:6" x14ac:dyDescent="0.25">
      <c r="D34" s="507"/>
    </row>
  </sheetData>
  <mergeCells count="8">
    <mergeCell ref="G10:N10"/>
    <mergeCell ref="M11:N11"/>
    <mergeCell ref="P11:Q11"/>
    <mergeCell ref="C11:D11"/>
    <mergeCell ref="E11:F11"/>
    <mergeCell ref="K11:L11"/>
    <mergeCell ref="I11:J11"/>
    <mergeCell ref="G11:H1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BECCA-BD17-4CD5-9C94-93E97C0E958C}">
  <dimension ref="P1:T15"/>
  <sheetViews>
    <sheetView showGridLines="0" topLeftCell="A6" workbookViewId="0">
      <selection activeCell="Q11" sqref="Q11:R11"/>
    </sheetView>
  </sheetViews>
  <sheetFormatPr defaultRowHeight="15" x14ac:dyDescent="0.25"/>
  <cols>
    <col min="15" max="15" width="16.7109375" customWidth="1"/>
    <col min="16" max="16" width="21.7109375" customWidth="1"/>
    <col min="17" max="18" width="9" bestFit="1" customWidth="1"/>
    <col min="19" max="19" width="10" bestFit="1" customWidth="1"/>
    <col min="20" max="20" width="9" bestFit="1" customWidth="1"/>
  </cols>
  <sheetData>
    <row r="1" spans="16:20" ht="18" x14ac:dyDescent="0.45">
      <c r="S1" s="570">
        <v>7374.18</v>
      </c>
    </row>
    <row r="2" spans="16:20" x14ac:dyDescent="0.25">
      <c r="Q2" s="1144" t="s">
        <v>706</v>
      </c>
      <c r="R2" s="1144"/>
      <c r="S2" s="1144" t="s">
        <v>351</v>
      </c>
      <c r="T2" s="1144"/>
    </row>
    <row r="3" spans="16:20" x14ac:dyDescent="0.25">
      <c r="P3" t="s">
        <v>707</v>
      </c>
      <c r="Q3" s="571">
        <f>3465.59+22.9+489.69+1518.57</f>
        <v>5496.75</v>
      </c>
      <c r="R3" s="571">
        <f>Q3/$S$1</f>
        <v>0.74540491281742505</v>
      </c>
      <c r="S3" s="571">
        <f>320755.87</f>
        <v>320755.87</v>
      </c>
      <c r="T3" s="571">
        <f>S3/$S$1</f>
        <v>43.497157650070918</v>
      </c>
    </row>
    <row r="4" spans="16:20" x14ac:dyDescent="0.25">
      <c r="P4" t="s">
        <v>708</v>
      </c>
      <c r="Q4" s="571">
        <f>173.28+886.05+548.52</f>
        <v>1607.85</v>
      </c>
      <c r="R4" s="571">
        <f>Q4/$S$1</f>
        <v>0.2180378021691903</v>
      </c>
      <c r="S4" s="571">
        <f>215405.71</f>
        <v>215405.71</v>
      </c>
      <c r="T4" s="571">
        <f>S4/$S$1</f>
        <v>29.21080174338028</v>
      </c>
    </row>
    <row r="5" spans="16:20" x14ac:dyDescent="0.25">
      <c r="P5" t="s">
        <v>168</v>
      </c>
      <c r="Q5" s="571">
        <f>3778.82+3553+1154+604.64</f>
        <v>9090.4599999999991</v>
      </c>
      <c r="R5" s="571">
        <f>Q5/$S$1</f>
        <v>1.2327418099368335</v>
      </c>
      <c r="S5" s="571">
        <f>107370</f>
        <v>107370</v>
      </c>
      <c r="T5" s="571">
        <f>S5/$S$1</f>
        <v>14.560262971611758</v>
      </c>
    </row>
    <row r="6" spans="16:20" x14ac:dyDescent="0.25">
      <c r="P6" t="s">
        <v>25</v>
      </c>
      <c r="Q6" s="571">
        <f>5496.75+1607.82</f>
        <v>7104.57</v>
      </c>
      <c r="R6" s="571">
        <f>Q6/$S$1</f>
        <v>0.9634386467376711</v>
      </c>
      <c r="S6" s="571">
        <v>267282</v>
      </c>
      <c r="T6" s="571">
        <f>S6/$S$1</f>
        <v>36.245657144251972</v>
      </c>
    </row>
    <row r="7" spans="16:20" x14ac:dyDescent="0.25">
      <c r="Q7" s="571"/>
      <c r="R7" s="571"/>
      <c r="S7" s="571"/>
      <c r="T7" s="571"/>
    </row>
    <row r="8" spans="16:20" x14ac:dyDescent="0.25">
      <c r="Q8" s="571"/>
      <c r="R8" s="571"/>
      <c r="S8" s="571"/>
      <c r="T8" s="571"/>
    </row>
    <row r="9" spans="16:20" x14ac:dyDescent="0.25">
      <c r="P9" t="s">
        <v>1094</v>
      </c>
      <c r="Q9" s="571">
        <f>71866.97/S1</f>
        <v>9.7457574943925973</v>
      </c>
      <c r="R9" s="571"/>
      <c r="S9" s="571"/>
      <c r="T9" s="571"/>
    </row>
    <row r="10" spans="16:20" x14ac:dyDescent="0.25">
      <c r="P10" t="s">
        <v>1095</v>
      </c>
      <c r="Q10" s="571">
        <f>235867.21/S1</f>
        <v>31.985550935832862</v>
      </c>
      <c r="R10" s="571"/>
      <c r="S10" s="571"/>
      <c r="T10" s="571"/>
    </row>
    <row r="11" spans="16:20" x14ac:dyDescent="0.25">
      <c r="P11" t="s">
        <v>1096</v>
      </c>
      <c r="Q11" s="571">
        <f>66988.1/S1</f>
        <v>9.0841422368317559</v>
      </c>
      <c r="R11" s="571"/>
      <c r="S11" s="571"/>
      <c r="T11" s="571"/>
    </row>
    <row r="12" spans="16:20" x14ac:dyDescent="0.25">
      <c r="Q12" s="571"/>
      <c r="R12" s="571"/>
      <c r="S12" s="571"/>
      <c r="T12" s="571"/>
    </row>
    <row r="13" spans="16:20" x14ac:dyDescent="0.25">
      <c r="Q13" s="571"/>
      <c r="R13" s="571"/>
      <c r="S13" s="571"/>
      <c r="T13" s="571"/>
    </row>
    <row r="14" spans="16:20" x14ac:dyDescent="0.25">
      <c r="Q14" s="571"/>
      <c r="R14" s="571"/>
      <c r="S14" s="571"/>
      <c r="T14" s="571"/>
    </row>
    <row r="15" spans="16:20" x14ac:dyDescent="0.25">
      <c r="Q15" s="571"/>
      <c r="R15" s="571"/>
      <c r="S15" s="571"/>
      <c r="T15" s="571"/>
    </row>
  </sheetData>
  <mergeCells count="2">
    <mergeCell ref="Q2:R2"/>
    <mergeCell ref="S2:T2"/>
  </mergeCells>
  <pageMargins left="0.511811024" right="0.511811024" top="0.78740157499999996" bottom="0.78740157499999996" header="0.31496062000000002" footer="0.31496062000000002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C0134-B761-4B53-880E-E9ED93BB3F5E}">
  <dimension ref="A1:L221"/>
  <sheetViews>
    <sheetView showGridLines="0" topLeftCell="A62" zoomScale="83" zoomScaleNormal="83" workbookViewId="0">
      <selection activeCell="Q11" sqref="Q11:R11"/>
    </sheetView>
  </sheetViews>
  <sheetFormatPr defaultColWidth="9.140625" defaultRowHeight="15" outlineLevelRow="2" x14ac:dyDescent="0.25"/>
  <cols>
    <col min="1" max="1" width="11.7109375" style="634" customWidth="1"/>
    <col min="2" max="2" width="50.42578125" style="629" customWidth="1"/>
    <col min="3" max="4" width="17" style="600" bestFit="1" customWidth="1"/>
    <col min="5" max="5" width="15.85546875" style="600" bestFit="1" customWidth="1"/>
    <col min="6" max="6" width="18.5703125" style="601" bestFit="1" customWidth="1"/>
    <col min="7" max="7" width="18.7109375" style="601" customWidth="1"/>
    <col min="8" max="8" width="26.42578125" style="629" customWidth="1"/>
    <col min="9" max="10" width="17.85546875" style="629" customWidth="1"/>
    <col min="11" max="11" width="12.28515625" style="701" customWidth="1"/>
    <col min="12" max="12" width="16.85546875" style="629" customWidth="1"/>
    <col min="13" max="16384" width="9.140625" style="629"/>
  </cols>
  <sheetData>
    <row r="1" spans="1:10" ht="15" customHeight="1" x14ac:dyDescent="0.25">
      <c r="A1" s="1151" t="s">
        <v>726</v>
      </c>
      <c r="B1" s="1152"/>
      <c r="C1" s="1152"/>
      <c r="D1" s="1152"/>
      <c r="E1" s="1152"/>
      <c r="F1" s="1152"/>
      <c r="G1" s="1152"/>
      <c r="H1" s="1153"/>
      <c r="I1" s="588"/>
      <c r="J1" s="588"/>
    </row>
    <row r="2" spans="1:10" ht="15" customHeight="1" x14ac:dyDescent="0.25">
      <c r="A2" s="1154"/>
      <c r="B2" s="1155"/>
      <c r="C2" s="1155"/>
      <c r="D2" s="1155"/>
      <c r="E2" s="1155"/>
      <c r="F2" s="1155"/>
      <c r="G2" s="1155"/>
      <c r="H2" s="1156"/>
      <c r="I2" s="588"/>
      <c r="J2" s="588"/>
    </row>
    <row r="3" spans="1:10" ht="15" customHeight="1" x14ac:dyDescent="0.25">
      <c r="A3" s="1154"/>
      <c r="B3" s="1155"/>
      <c r="C3" s="1155"/>
      <c r="D3" s="1155"/>
      <c r="E3" s="1155"/>
      <c r="F3" s="1155"/>
      <c r="G3" s="1155"/>
      <c r="H3" s="1156"/>
      <c r="I3" s="588"/>
      <c r="J3" s="588"/>
    </row>
    <row r="4" spans="1:10" ht="15" customHeight="1" x14ac:dyDescent="0.25">
      <c r="A4" s="1154"/>
      <c r="B4" s="1155"/>
      <c r="C4" s="1155"/>
      <c r="D4" s="1155"/>
      <c r="E4" s="1155"/>
      <c r="F4" s="1155"/>
      <c r="G4" s="1155"/>
      <c r="H4" s="1156"/>
      <c r="I4" s="588"/>
      <c r="J4" s="588"/>
    </row>
    <row r="5" spans="1:10" ht="15.75" customHeight="1" thickBot="1" x14ac:dyDescent="0.3">
      <c r="A5" s="1157"/>
      <c r="B5" s="1158"/>
      <c r="C5" s="1158"/>
      <c r="D5" s="1158"/>
      <c r="E5" s="1158"/>
      <c r="F5" s="1158"/>
      <c r="G5" s="1158"/>
      <c r="H5" s="1159"/>
      <c r="I5" s="588"/>
      <c r="J5" s="588"/>
    </row>
    <row r="6" spans="1:10" ht="20.25" thickBot="1" x14ac:dyDescent="0.3">
      <c r="A6" s="589"/>
      <c r="B6" s="590"/>
      <c r="C6" s="590"/>
      <c r="D6" s="591"/>
      <c r="E6" s="591"/>
      <c r="F6" s="591"/>
      <c r="G6" s="592"/>
    </row>
    <row r="7" spans="1:10" ht="20.25" thickBot="1" x14ac:dyDescent="0.3">
      <c r="A7" s="593" t="s">
        <v>159</v>
      </c>
      <c r="B7" s="1160" t="s">
        <v>727</v>
      </c>
      <c r="C7" s="1161"/>
      <c r="D7" s="1161"/>
      <c r="E7" s="1161"/>
      <c r="F7" s="1161"/>
      <c r="G7" s="1161"/>
      <c r="H7" s="1162"/>
      <c r="I7" s="630"/>
      <c r="J7" s="630"/>
    </row>
    <row r="8" spans="1:10" ht="20.25" thickBot="1" x14ac:dyDescent="0.3">
      <c r="A8" s="594" t="s">
        <v>0</v>
      </c>
      <c r="B8" s="1160" t="s">
        <v>728</v>
      </c>
      <c r="C8" s="1161"/>
      <c r="D8" s="1161"/>
      <c r="E8" s="1161"/>
      <c r="F8" s="1161"/>
      <c r="G8" s="1161"/>
      <c r="H8" s="1162"/>
      <c r="I8" s="630"/>
      <c r="J8" s="630"/>
    </row>
    <row r="9" spans="1:10" ht="20.25" thickBot="1" x14ac:dyDescent="0.3">
      <c r="A9" s="594" t="s">
        <v>160</v>
      </c>
      <c r="B9" s="1163">
        <v>45275</v>
      </c>
      <c r="C9" s="1164"/>
      <c r="D9" s="1164"/>
      <c r="E9" s="1164"/>
      <c r="F9" s="1164"/>
      <c r="G9" s="1164"/>
      <c r="H9" s="1165"/>
      <c r="I9" s="631"/>
      <c r="J9" s="631"/>
    </row>
    <row r="10" spans="1:10" ht="20.25" thickBot="1" x14ac:dyDescent="0.3">
      <c r="A10" s="595" t="s">
        <v>409</v>
      </c>
      <c r="B10" s="1160" t="s">
        <v>1059</v>
      </c>
      <c r="C10" s="1161"/>
      <c r="D10" s="1161"/>
      <c r="E10" s="1161"/>
      <c r="F10" s="1161"/>
      <c r="G10" s="1161"/>
      <c r="H10" s="1162"/>
      <c r="I10" s="630"/>
      <c r="J10" s="630"/>
    </row>
    <row r="11" spans="1:10" ht="39.75" thickBot="1" x14ac:dyDescent="0.3">
      <c r="A11" s="596" t="s">
        <v>729</v>
      </c>
      <c r="B11" s="1166">
        <v>2774.87</v>
      </c>
      <c r="C11" s="1167"/>
      <c r="D11" s="1167"/>
      <c r="E11" s="1167"/>
      <c r="F11" s="1167"/>
      <c r="G11" s="1167"/>
      <c r="H11" s="1168"/>
      <c r="I11" s="632"/>
      <c r="J11" s="632"/>
    </row>
    <row r="12" spans="1:10" ht="39.75" thickBot="1" x14ac:dyDescent="0.3">
      <c r="A12" s="596" t="s">
        <v>730</v>
      </c>
      <c r="B12" s="597">
        <v>2836.93</v>
      </c>
      <c r="C12" s="598"/>
      <c r="D12" s="598"/>
      <c r="E12" s="598"/>
      <c r="F12" s="598"/>
      <c r="G12" s="598"/>
      <c r="H12" s="599"/>
      <c r="I12" s="633"/>
      <c r="J12" s="633"/>
    </row>
    <row r="13" spans="1:10" ht="15.75" thickBot="1" x14ac:dyDescent="0.3"/>
    <row r="14" spans="1:10" ht="34.5" customHeight="1" thickBot="1" x14ac:dyDescent="0.3">
      <c r="A14" s="635" t="s">
        <v>731</v>
      </c>
      <c r="B14" s="636" t="s">
        <v>732</v>
      </c>
      <c r="C14" s="602" t="s">
        <v>18</v>
      </c>
      <c r="D14" s="602" t="s">
        <v>123</v>
      </c>
      <c r="E14" s="602" t="s">
        <v>1060</v>
      </c>
      <c r="F14" s="602" t="s">
        <v>733</v>
      </c>
      <c r="G14" s="602" t="s">
        <v>734</v>
      </c>
      <c r="H14" s="602" t="s">
        <v>735</v>
      </c>
      <c r="I14" s="637" t="s">
        <v>1061</v>
      </c>
      <c r="J14" s="637" t="s">
        <v>1062</v>
      </c>
    </row>
    <row r="15" spans="1:10" ht="15.75" customHeight="1" thickBot="1" x14ac:dyDescent="0.3">
      <c r="A15" s="638">
        <v>1</v>
      </c>
      <c r="B15" s="639" t="s">
        <v>550</v>
      </c>
      <c r="C15" s="603"/>
      <c r="D15" s="603"/>
      <c r="E15" s="603"/>
      <c r="F15" s="604">
        <v>31315258.793006986</v>
      </c>
      <c r="G15" s="604">
        <v>31866647.276566323</v>
      </c>
      <c r="H15" s="640"/>
      <c r="I15" s="641"/>
      <c r="J15" s="641"/>
    </row>
    <row r="16" spans="1:10" ht="15.75" customHeight="1" outlineLevel="1" x14ac:dyDescent="0.25">
      <c r="A16" s="642" t="s">
        <v>736</v>
      </c>
      <c r="B16" s="643" t="s">
        <v>550</v>
      </c>
      <c r="C16" s="605"/>
      <c r="D16" s="605"/>
      <c r="E16" s="605"/>
      <c r="F16" s="606">
        <v>31315258.793006986</v>
      </c>
      <c r="G16" s="606">
        <v>31866647.276566323</v>
      </c>
      <c r="H16" s="644"/>
      <c r="I16" s="645"/>
      <c r="J16" s="645"/>
    </row>
    <row r="17" spans="1:10" ht="15.75" customHeight="1" outlineLevel="2" thickBot="1" x14ac:dyDescent="0.3">
      <c r="A17" s="646" t="s">
        <v>737</v>
      </c>
      <c r="B17" s="647" t="s">
        <v>738</v>
      </c>
      <c r="C17" s="607">
        <v>1</v>
      </c>
      <c r="D17" s="607" t="s">
        <v>27</v>
      </c>
      <c r="E17" s="607">
        <v>31315258.793006986</v>
      </c>
      <c r="F17" s="608">
        <v>31315258.793006986</v>
      </c>
      <c r="G17" s="608">
        <v>31866647.276566323</v>
      </c>
      <c r="H17" s="648"/>
      <c r="I17" s="649"/>
      <c r="J17" s="649"/>
    </row>
    <row r="18" spans="1:10" ht="15.75" customHeight="1" outlineLevel="2" thickBot="1" x14ac:dyDescent="0.3">
      <c r="A18" s="650">
        <v>2</v>
      </c>
      <c r="B18" s="651" t="s">
        <v>117</v>
      </c>
      <c r="C18" s="609"/>
      <c r="D18" s="609"/>
      <c r="E18" s="609"/>
      <c r="F18" s="610">
        <v>4513723.6417755093</v>
      </c>
      <c r="G18" s="610">
        <v>4614673.1238083933</v>
      </c>
      <c r="H18" s="640"/>
      <c r="I18" s="641"/>
      <c r="J18" s="641"/>
    </row>
    <row r="19" spans="1:10" ht="15.75" customHeight="1" outlineLevel="2" x14ac:dyDescent="0.25">
      <c r="A19" s="642" t="s">
        <v>739</v>
      </c>
      <c r="B19" s="643" t="s">
        <v>117</v>
      </c>
      <c r="C19" s="605"/>
      <c r="D19" s="605"/>
      <c r="E19" s="605"/>
      <c r="F19" s="606">
        <v>4513723.6417755093</v>
      </c>
      <c r="G19" s="606">
        <v>4614673.1238083933</v>
      </c>
      <c r="H19" s="644"/>
      <c r="I19" s="645"/>
      <c r="J19" s="645"/>
    </row>
    <row r="20" spans="1:10" ht="15.75" customHeight="1" outlineLevel="2" x14ac:dyDescent="0.25">
      <c r="A20" s="646" t="s">
        <v>740</v>
      </c>
      <c r="B20" s="647" t="s">
        <v>741</v>
      </c>
      <c r="C20" s="607">
        <v>94932</v>
      </c>
      <c r="D20" s="607" t="s">
        <v>742</v>
      </c>
      <c r="E20" s="607">
        <v>30</v>
      </c>
      <c r="F20" s="608">
        <v>2847960</v>
      </c>
      <c r="G20" s="608">
        <v>2911654.6587047321</v>
      </c>
      <c r="H20" s="648" t="s">
        <v>743</v>
      </c>
      <c r="I20" s="652"/>
      <c r="J20" s="652"/>
    </row>
    <row r="21" spans="1:10" ht="15.75" customHeight="1" outlineLevel="2" x14ac:dyDescent="0.25">
      <c r="A21" s="646" t="s">
        <v>744</v>
      </c>
      <c r="B21" s="653" t="s">
        <v>20</v>
      </c>
      <c r="C21" s="611">
        <v>5998.1750000000002</v>
      </c>
      <c r="D21" s="611" t="s">
        <v>742</v>
      </c>
      <c r="E21" s="607">
        <v>70.000125038032394</v>
      </c>
      <c r="F21" s="612">
        <v>419873</v>
      </c>
      <c r="G21" s="608">
        <v>429263.46455509629</v>
      </c>
      <c r="H21" s="654"/>
      <c r="I21" s="654"/>
      <c r="J21" s="654"/>
    </row>
    <row r="22" spans="1:10" ht="15.75" customHeight="1" outlineLevel="2" x14ac:dyDescent="0.25">
      <c r="A22" s="646" t="s">
        <v>745</v>
      </c>
      <c r="B22" s="653" t="s">
        <v>21</v>
      </c>
      <c r="C22" s="611">
        <v>1199.635</v>
      </c>
      <c r="D22" s="611" t="s">
        <v>742</v>
      </c>
      <c r="E22" s="607">
        <v>25.000104198360336</v>
      </c>
      <c r="F22" s="612">
        <v>29991</v>
      </c>
      <c r="G22" s="608">
        <v>30661.749065721997</v>
      </c>
      <c r="H22" s="654"/>
      <c r="I22" s="654"/>
      <c r="J22" s="654"/>
    </row>
    <row r="23" spans="1:10" ht="16.5" customHeight="1" outlineLevel="2" x14ac:dyDescent="0.25">
      <c r="A23" s="646" t="s">
        <v>746</v>
      </c>
      <c r="B23" s="653" t="s">
        <v>747</v>
      </c>
      <c r="C23" s="611">
        <v>12976.818241950106</v>
      </c>
      <c r="D23" s="611" t="s">
        <v>742</v>
      </c>
      <c r="E23" s="607">
        <v>90</v>
      </c>
      <c r="F23" s="612">
        <v>1167913.6417755096</v>
      </c>
      <c r="G23" s="608">
        <v>1194034.0440316831</v>
      </c>
      <c r="H23" s="654">
        <v>81.790223611614991</v>
      </c>
      <c r="I23" s="654"/>
      <c r="J23" s="655"/>
    </row>
    <row r="24" spans="1:10" ht="150.75" outlineLevel="2" thickBot="1" x14ac:dyDescent="0.3">
      <c r="A24" s="646" t="s">
        <v>748</v>
      </c>
      <c r="B24" s="656" t="s">
        <v>749</v>
      </c>
      <c r="C24" s="613">
        <v>5998.1750000000002</v>
      </c>
      <c r="D24" s="613" t="s">
        <v>196</v>
      </c>
      <c r="E24" s="607">
        <v>8.0001000304259211</v>
      </c>
      <c r="F24" s="614">
        <v>47986</v>
      </c>
      <c r="G24" s="608">
        <v>49059.207451159877</v>
      </c>
      <c r="H24" s="654">
        <v>599.8175</v>
      </c>
      <c r="I24" s="657" t="s">
        <v>1063</v>
      </c>
      <c r="J24" s="658" t="s">
        <v>1064</v>
      </c>
    </row>
    <row r="25" spans="1:10" ht="15.75" customHeight="1" outlineLevel="2" thickBot="1" x14ac:dyDescent="0.3">
      <c r="A25" s="650">
        <v>3</v>
      </c>
      <c r="B25" s="651" t="s">
        <v>118</v>
      </c>
      <c r="C25" s="609"/>
      <c r="D25" s="609"/>
      <c r="E25" s="609"/>
      <c r="F25" s="610">
        <v>17109406.219999999</v>
      </c>
      <c r="G25" s="610">
        <v>17492058.290191829</v>
      </c>
      <c r="H25" s="640"/>
      <c r="I25" s="641"/>
      <c r="J25" s="641"/>
    </row>
    <row r="26" spans="1:10" ht="15.75" customHeight="1" outlineLevel="2" x14ac:dyDescent="0.25">
      <c r="A26" s="642" t="s">
        <v>750</v>
      </c>
      <c r="B26" s="643" t="s">
        <v>751</v>
      </c>
      <c r="C26" s="605"/>
      <c r="D26" s="605"/>
      <c r="E26" s="605"/>
      <c r="F26" s="606">
        <v>7785843</v>
      </c>
      <c r="G26" s="606">
        <v>7959973.4697445286</v>
      </c>
      <c r="H26" s="644"/>
      <c r="I26" s="645"/>
      <c r="J26" s="645"/>
    </row>
    <row r="27" spans="1:10" ht="15.75" customHeight="1" outlineLevel="2" x14ac:dyDescent="0.25">
      <c r="A27" s="646" t="s">
        <v>752</v>
      </c>
      <c r="B27" s="647" t="s">
        <v>753</v>
      </c>
      <c r="C27" s="607">
        <v>6600</v>
      </c>
      <c r="D27" s="607" t="s">
        <v>4</v>
      </c>
      <c r="E27" s="607">
        <v>75</v>
      </c>
      <c r="F27" s="608">
        <v>495000</v>
      </c>
      <c r="G27" s="608">
        <v>506070.68078864954</v>
      </c>
      <c r="H27" s="648" t="s">
        <v>754</v>
      </c>
      <c r="I27" s="652"/>
      <c r="J27" s="652"/>
    </row>
    <row r="28" spans="1:10" ht="15.75" customHeight="1" outlineLevel="2" x14ac:dyDescent="0.25">
      <c r="A28" s="646" t="s">
        <v>755</v>
      </c>
      <c r="B28" s="647" t="s">
        <v>756</v>
      </c>
      <c r="C28" s="611">
        <v>5600</v>
      </c>
      <c r="D28" s="611" t="s">
        <v>4</v>
      </c>
      <c r="E28" s="607">
        <v>120</v>
      </c>
      <c r="F28" s="612">
        <v>672000</v>
      </c>
      <c r="G28" s="608">
        <v>687029.2878585303</v>
      </c>
      <c r="H28" s="648" t="s">
        <v>757</v>
      </c>
      <c r="I28" s="648"/>
      <c r="J28" s="648"/>
    </row>
    <row r="29" spans="1:10" ht="15.75" customHeight="1" outlineLevel="2" x14ac:dyDescent="0.25">
      <c r="A29" s="646" t="s">
        <v>758</v>
      </c>
      <c r="B29" s="653" t="s">
        <v>759</v>
      </c>
      <c r="C29" s="611">
        <v>362853.95148962113</v>
      </c>
      <c r="D29" s="611" t="s">
        <v>26</v>
      </c>
      <c r="E29" s="607">
        <v>7.3000004247597827</v>
      </c>
      <c r="F29" s="612">
        <v>2648834</v>
      </c>
      <c r="G29" s="608">
        <v>2708075.2033861047</v>
      </c>
      <c r="H29" s="648" t="s">
        <v>760</v>
      </c>
      <c r="I29" s="648" t="s">
        <v>1065</v>
      </c>
      <c r="J29" s="648"/>
    </row>
    <row r="30" spans="1:10" ht="15.75" customHeight="1" outlineLevel="2" x14ac:dyDescent="0.25">
      <c r="A30" s="646" t="s">
        <v>761</v>
      </c>
      <c r="B30" s="653" t="s">
        <v>24</v>
      </c>
      <c r="C30" s="611">
        <v>5183.627878423159</v>
      </c>
      <c r="D30" s="611" t="s">
        <v>742</v>
      </c>
      <c r="E30" s="607">
        <v>708.00008914150749</v>
      </c>
      <c r="F30" s="612">
        <v>3670009</v>
      </c>
      <c r="G30" s="608">
        <v>3752088.7942029717</v>
      </c>
      <c r="H30" s="648" t="s">
        <v>762</v>
      </c>
      <c r="I30" s="648" t="s">
        <v>1066</v>
      </c>
      <c r="J30" s="648"/>
    </row>
    <row r="31" spans="1:10" ht="120.75" outlineLevel="2" thickBot="1" x14ac:dyDescent="0.3">
      <c r="A31" s="646" t="s">
        <v>763</v>
      </c>
      <c r="B31" s="653" t="s">
        <v>106</v>
      </c>
      <c r="C31" s="611">
        <v>1</v>
      </c>
      <c r="D31" s="611" t="s">
        <v>27</v>
      </c>
      <c r="E31" s="607">
        <v>300000</v>
      </c>
      <c r="F31" s="612">
        <v>300000</v>
      </c>
      <c r="G31" s="608">
        <v>306709.50350827246</v>
      </c>
      <c r="H31" s="648" t="s">
        <v>764</v>
      </c>
      <c r="I31" s="658" t="s">
        <v>1067</v>
      </c>
      <c r="J31" s="658" t="s">
        <v>1068</v>
      </c>
    </row>
    <row r="32" spans="1:10" ht="15.75" customHeight="1" outlineLevel="2" x14ac:dyDescent="0.25">
      <c r="A32" s="659" t="s">
        <v>765</v>
      </c>
      <c r="B32" s="660" t="s">
        <v>107</v>
      </c>
      <c r="C32" s="615"/>
      <c r="D32" s="615"/>
      <c r="E32" s="615"/>
      <c r="F32" s="616">
        <v>9323563.2200000007</v>
      </c>
      <c r="G32" s="616">
        <v>9532084.8204473015</v>
      </c>
      <c r="H32" s="644"/>
      <c r="I32" s="645"/>
      <c r="J32" s="645"/>
    </row>
    <row r="33" spans="1:10" ht="15.75" customHeight="1" outlineLevel="2" x14ac:dyDescent="0.25">
      <c r="A33" s="661" t="s">
        <v>766</v>
      </c>
      <c r="B33" s="662" t="s">
        <v>767</v>
      </c>
      <c r="C33" s="617">
        <v>5998.1750000000002</v>
      </c>
      <c r="D33" s="617" t="s">
        <v>2</v>
      </c>
      <c r="E33" s="617">
        <v>50</v>
      </c>
      <c r="F33" s="618">
        <v>299908.75</v>
      </c>
      <c r="G33" s="608">
        <v>306616.21270095534</v>
      </c>
      <c r="H33" s="648" t="s">
        <v>768</v>
      </c>
      <c r="I33" s="652"/>
      <c r="J33" s="652"/>
    </row>
    <row r="34" spans="1:10" ht="15.75" customHeight="1" outlineLevel="2" x14ac:dyDescent="0.25">
      <c r="A34" s="663" t="s">
        <v>769</v>
      </c>
      <c r="B34" s="653" t="s">
        <v>759</v>
      </c>
      <c r="C34" s="611">
        <v>335897.8</v>
      </c>
      <c r="D34" s="611" t="s">
        <v>26</v>
      </c>
      <c r="E34" s="617">
        <v>7.3</v>
      </c>
      <c r="F34" s="612">
        <v>2452053.94</v>
      </c>
      <c r="G34" s="608">
        <v>2506894.1550430111</v>
      </c>
      <c r="H34" s="648" t="s">
        <v>760</v>
      </c>
      <c r="I34" s="648" t="s">
        <v>1065</v>
      </c>
      <c r="J34" s="648"/>
    </row>
    <row r="35" spans="1:10" ht="15.75" customHeight="1" outlineLevel="2" x14ac:dyDescent="0.25">
      <c r="A35" s="663" t="s">
        <v>770</v>
      </c>
      <c r="B35" s="653" t="s">
        <v>24</v>
      </c>
      <c r="C35" s="611">
        <v>4798.54</v>
      </c>
      <c r="D35" s="611" t="s">
        <v>22</v>
      </c>
      <c r="E35" s="617">
        <v>619.50000000000011</v>
      </c>
      <c r="F35" s="612">
        <v>2972695.5300000003</v>
      </c>
      <c r="G35" s="608">
        <v>3039179.9002918699</v>
      </c>
      <c r="H35" s="648" t="s">
        <v>771</v>
      </c>
      <c r="I35" s="648" t="s">
        <v>1066</v>
      </c>
      <c r="J35" s="648"/>
    </row>
    <row r="36" spans="1:10" ht="15.75" customHeight="1" outlineLevel="2" thickBot="1" x14ac:dyDescent="0.3">
      <c r="A36" s="663" t="s">
        <v>772</v>
      </c>
      <c r="B36" s="653" t="s">
        <v>773</v>
      </c>
      <c r="C36" s="611">
        <v>17994.525000000001</v>
      </c>
      <c r="D36" s="611" t="s">
        <v>27</v>
      </c>
      <c r="E36" s="617">
        <v>200</v>
      </c>
      <c r="F36" s="612">
        <v>3598905.0000000005</v>
      </c>
      <c r="G36" s="608">
        <v>3679394.552411465</v>
      </c>
      <c r="H36" s="648" t="s">
        <v>774</v>
      </c>
      <c r="I36" s="658" t="s">
        <v>1069</v>
      </c>
      <c r="J36" s="658"/>
    </row>
    <row r="37" spans="1:10" ht="15.75" customHeight="1" outlineLevel="2" thickBot="1" x14ac:dyDescent="0.3">
      <c r="A37" s="650">
        <v>4</v>
      </c>
      <c r="B37" s="651" t="s">
        <v>156</v>
      </c>
      <c r="C37" s="609"/>
      <c r="D37" s="609"/>
      <c r="E37" s="609"/>
      <c r="F37" s="610">
        <v>4072621.7317045773</v>
      </c>
      <c r="G37" s="610">
        <v>4163705.9643603731</v>
      </c>
      <c r="H37" s="640"/>
      <c r="I37" s="641"/>
      <c r="J37" s="641"/>
    </row>
    <row r="38" spans="1:10" ht="15.75" customHeight="1" outlineLevel="2" x14ac:dyDescent="0.25">
      <c r="A38" s="659" t="s">
        <v>775</v>
      </c>
      <c r="B38" s="643" t="s">
        <v>156</v>
      </c>
      <c r="C38" s="605"/>
      <c r="D38" s="605"/>
      <c r="E38" s="605"/>
      <c r="F38" s="606">
        <v>4072621.7317045773</v>
      </c>
      <c r="G38" s="606">
        <v>4163705.9643603731</v>
      </c>
      <c r="H38" s="644"/>
      <c r="I38" s="645"/>
      <c r="J38" s="645"/>
    </row>
    <row r="39" spans="1:10" ht="15.75" customHeight="1" outlineLevel="2" x14ac:dyDescent="0.25">
      <c r="A39" s="663" t="s">
        <v>776</v>
      </c>
      <c r="B39" s="647" t="s">
        <v>777</v>
      </c>
      <c r="C39" s="607">
        <v>2628</v>
      </c>
      <c r="D39" s="607" t="s">
        <v>4</v>
      </c>
      <c r="E39" s="607">
        <v>80</v>
      </c>
      <c r="F39" s="608">
        <v>210240</v>
      </c>
      <c r="G39" s="608">
        <v>214942.02005859735</v>
      </c>
      <c r="H39" s="648" t="s">
        <v>778</v>
      </c>
      <c r="I39" s="652"/>
      <c r="J39" s="652"/>
    </row>
    <row r="40" spans="1:10" ht="15.75" customHeight="1" outlineLevel="2" x14ac:dyDescent="0.25">
      <c r="A40" s="663" t="s">
        <v>779</v>
      </c>
      <c r="B40" s="653" t="s">
        <v>23</v>
      </c>
      <c r="C40" s="611">
        <v>183960</v>
      </c>
      <c r="D40" s="611" t="s">
        <v>26</v>
      </c>
      <c r="E40" s="607">
        <v>7.3</v>
      </c>
      <c r="F40" s="612">
        <v>1342908</v>
      </c>
      <c r="G40" s="608">
        <v>1372942.1531242905</v>
      </c>
      <c r="H40" s="648" t="s">
        <v>760</v>
      </c>
      <c r="I40" s="648"/>
      <c r="J40" s="648"/>
    </row>
    <row r="41" spans="1:10" ht="15.75" customHeight="1" outlineLevel="2" x14ac:dyDescent="0.25">
      <c r="A41" s="663" t="s">
        <v>780</v>
      </c>
      <c r="B41" s="653" t="s">
        <v>24</v>
      </c>
      <c r="C41" s="611">
        <v>516.00659335212356</v>
      </c>
      <c r="D41" s="611" t="s">
        <v>22</v>
      </c>
      <c r="E41" s="607">
        <v>708</v>
      </c>
      <c r="F41" s="612">
        <v>365332.66809330345</v>
      </c>
      <c r="G41" s="608">
        <v>373503.33748749865</v>
      </c>
      <c r="H41" s="648" t="s">
        <v>762</v>
      </c>
      <c r="I41" s="648"/>
      <c r="J41" s="648"/>
    </row>
    <row r="42" spans="1:10" ht="15.75" customHeight="1" outlineLevel="2" x14ac:dyDescent="0.25">
      <c r="A42" s="663" t="s">
        <v>781</v>
      </c>
      <c r="B42" s="653" t="s">
        <v>782</v>
      </c>
      <c r="C42" s="611">
        <v>175.18</v>
      </c>
      <c r="D42" s="611" t="s">
        <v>4</v>
      </c>
      <c r="E42" s="607">
        <v>6163.2599999999993</v>
      </c>
      <c r="F42" s="612">
        <v>1079679.8868</v>
      </c>
      <c r="G42" s="608">
        <v>1103826.9400943194</v>
      </c>
      <c r="H42" s="648" t="s">
        <v>783</v>
      </c>
      <c r="I42" s="648"/>
      <c r="J42" s="648"/>
    </row>
    <row r="43" spans="1:10" ht="15.75" customHeight="1" outlineLevel="2" x14ac:dyDescent="0.25">
      <c r="A43" s="663" t="s">
        <v>784</v>
      </c>
      <c r="B43" s="653" t="s">
        <v>785</v>
      </c>
      <c r="C43" s="611">
        <v>175.18</v>
      </c>
      <c r="D43" s="611" t="s">
        <v>4</v>
      </c>
      <c r="E43" s="607">
        <v>400</v>
      </c>
      <c r="F43" s="612">
        <v>70072</v>
      </c>
      <c r="G43" s="608">
        <v>71639.16109943889</v>
      </c>
      <c r="H43" s="648" t="s">
        <v>786</v>
      </c>
      <c r="I43" s="648"/>
      <c r="J43" s="648"/>
    </row>
    <row r="44" spans="1:10" ht="15.75" customHeight="1" outlineLevel="2" x14ac:dyDescent="0.25">
      <c r="A44" s="663" t="s">
        <v>787</v>
      </c>
      <c r="B44" s="653" t="s">
        <v>788</v>
      </c>
      <c r="C44" s="611">
        <v>183960</v>
      </c>
      <c r="D44" s="611" t="s">
        <v>26</v>
      </c>
      <c r="E44" s="607">
        <v>2.5</v>
      </c>
      <c r="F44" s="612">
        <v>459900</v>
      </c>
      <c r="G44" s="608">
        <v>470185.66887818166</v>
      </c>
      <c r="H44" s="648"/>
      <c r="I44" s="648"/>
      <c r="J44" s="648"/>
    </row>
    <row r="45" spans="1:10" ht="15.75" customHeight="1" outlineLevel="2" x14ac:dyDescent="0.25">
      <c r="A45" s="663" t="s">
        <v>789</v>
      </c>
      <c r="B45" s="653" t="s">
        <v>790</v>
      </c>
      <c r="C45" s="611">
        <v>516.00659335212356</v>
      </c>
      <c r="D45" s="611" t="s">
        <v>22</v>
      </c>
      <c r="E45" s="607">
        <v>600</v>
      </c>
      <c r="F45" s="612">
        <v>309603.95601127413</v>
      </c>
      <c r="G45" s="608">
        <v>316528.2521080497</v>
      </c>
      <c r="H45" s="648"/>
      <c r="I45" s="648"/>
      <c r="J45" s="648"/>
    </row>
    <row r="46" spans="1:10" ht="15.75" customHeight="1" outlineLevel="2" x14ac:dyDescent="0.25">
      <c r="A46" s="663" t="s">
        <v>791</v>
      </c>
      <c r="B46" s="653" t="s">
        <v>792</v>
      </c>
      <c r="C46" s="611">
        <v>175.18</v>
      </c>
      <c r="D46" s="611" t="s">
        <v>4</v>
      </c>
      <c r="E46" s="607">
        <v>100</v>
      </c>
      <c r="F46" s="612">
        <v>17518</v>
      </c>
      <c r="G46" s="608">
        <v>17909.790274859723</v>
      </c>
      <c r="H46" s="648"/>
      <c r="I46" s="648"/>
      <c r="J46" s="648"/>
    </row>
    <row r="47" spans="1:10" ht="15.75" customHeight="1" outlineLevel="2" x14ac:dyDescent="0.25">
      <c r="A47" s="663" t="s">
        <v>793</v>
      </c>
      <c r="B47" s="653" t="s">
        <v>106</v>
      </c>
      <c r="C47" s="611">
        <v>1</v>
      </c>
      <c r="D47" s="611" t="s">
        <v>27</v>
      </c>
      <c r="E47" s="607">
        <v>150000</v>
      </c>
      <c r="F47" s="612">
        <v>150000</v>
      </c>
      <c r="G47" s="608">
        <v>153354.75175413623</v>
      </c>
      <c r="H47" s="648" t="s">
        <v>764</v>
      </c>
      <c r="I47" s="648"/>
      <c r="J47" s="648"/>
    </row>
    <row r="48" spans="1:10" ht="15.75" customHeight="1" outlineLevel="2" x14ac:dyDescent="0.25">
      <c r="A48" s="663" t="s">
        <v>794</v>
      </c>
      <c r="B48" s="653" t="s">
        <v>795</v>
      </c>
      <c r="C48" s="611">
        <v>140.14400000000001</v>
      </c>
      <c r="D48" s="611" t="s">
        <v>196</v>
      </c>
      <c r="E48" s="607">
        <v>50</v>
      </c>
      <c r="F48" s="612">
        <v>7007.2000000000007</v>
      </c>
      <c r="G48" s="608">
        <v>7163.9161099438898</v>
      </c>
      <c r="H48" s="648" t="s">
        <v>768</v>
      </c>
      <c r="I48" s="648"/>
      <c r="J48" s="648"/>
    </row>
    <row r="49" spans="1:10" ht="15.75" customHeight="1" outlineLevel="2" x14ac:dyDescent="0.25">
      <c r="A49" s="663" t="s">
        <v>796</v>
      </c>
      <c r="B49" s="653" t="s">
        <v>797</v>
      </c>
      <c r="C49" s="611">
        <v>28.028800000000004</v>
      </c>
      <c r="D49" s="611" t="s">
        <v>742</v>
      </c>
      <c r="E49" s="607">
        <v>619.5</v>
      </c>
      <c r="F49" s="612">
        <v>17363.841600000003</v>
      </c>
      <c r="G49" s="608">
        <v>17752.184120440961</v>
      </c>
      <c r="H49" s="648" t="s">
        <v>771</v>
      </c>
      <c r="I49" s="648"/>
      <c r="J49" s="648"/>
    </row>
    <row r="50" spans="1:10" ht="15.75" customHeight="1" outlineLevel="2" x14ac:dyDescent="0.25">
      <c r="A50" s="663" t="s">
        <v>798</v>
      </c>
      <c r="B50" s="653" t="s">
        <v>799</v>
      </c>
      <c r="C50" s="611">
        <v>2242.3040000000001</v>
      </c>
      <c r="D50" s="611" t="s">
        <v>27</v>
      </c>
      <c r="E50" s="607">
        <v>7.3</v>
      </c>
      <c r="F50" s="612">
        <v>16368.8192</v>
      </c>
      <c r="G50" s="608">
        <v>16734.908032828924</v>
      </c>
      <c r="H50" s="648" t="s">
        <v>760</v>
      </c>
      <c r="I50" s="648"/>
      <c r="J50" s="648"/>
    </row>
    <row r="51" spans="1:10" ht="15.75" customHeight="1" outlineLevel="2" thickBot="1" x14ac:dyDescent="0.3">
      <c r="A51" s="663" t="s">
        <v>800</v>
      </c>
      <c r="B51" s="653" t="s">
        <v>801</v>
      </c>
      <c r="C51" s="611">
        <v>28.028800000000004</v>
      </c>
      <c r="D51" s="611" t="s">
        <v>22</v>
      </c>
      <c r="E51" s="607">
        <v>950</v>
      </c>
      <c r="F51" s="612">
        <v>26627.360000000004</v>
      </c>
      <c r="G51" s="608">
        <v>27222.881217786784</v>
      </c>
      <c r="H51" s="648"/>
      <c r="I51" s="658"/>
      <c r="J51" s="658"/>
    </row>
    <row r="52" spans="1:10" ht="15.75" customHeight="1" thickBot="1" x14ac:dyDescent="0.3">
      <c r="A52" s="650">
        <v>5</v>
      </c>
      <c r="B52" s="651" t="s">
        <v>28</v>
      </c>
      <c r="C52" s="609"/>
      <c r="D52" s="609"/>
      <c r="E52" s="609"/>
      <c r="F52" s="610">
        <v>53675067.746250018</v>
      </c>
      <c r="G52" s="610">
        <v>54875511.264084108</v>
      </c>
      <c r="H52" s="640"/>
      <c r="I52" s="641"/>
      <c r="J52" s="641"/>
    </row>
    <row r="53" spans="1:10" ht="15.75" customHeight="1" outlineLevel="1" x14ac:dyDescent="0.25">
      <c r="A53" s="659" t="s">
        <v>802</v>
      </c>
      <c r="B53" s="660" t="s">
        <v>803</v>
      </c>
      <c r="C53" s="615"/>
      <c r="D53" s="615"/>
      <c r="E53" s="615"/>
      <c r="F53" s="616">
        <v>3543821.0062500015</v>
      </c>
      <c r="G53" s="616">
        <v>3623078.6044970811</v>
      </c>
      <c r="H53" s="644"/>
      <c r="I53" s="645"/>
      <c r="J53" s="645"/>
    </row>
    <row r="54" spans="1:10" ht="16.899999999999999" customHeight="1" outlineLevel="2" x14ac:dyDescent="0.25">
      <c r="A54" s="663" t="s">
        <v>804</v>
      </c>
      <c r="B54" s="653" t="s">
        <v>29</v>
      </c>
      <c r="C54" s="611">
        <v>27052.068750000006</v>
      </c>
      <c r="D54" s="611" t="s">
        <v>2</v>
      </c>
      <c r="E54" s="611">
        <v>95.000000000000014</v>
      </c>
      <c r="F54" s="612">
        <v>2569946.5312500009</v>
      </c>
      <c r="G54" s="608">
        <v>2627423.4154749825</v>
      </c>
      <c r="H54" s="648" t="s">
        <v>805</v>
      </c>
      <c r="I54" s="652"/>
      <c r="J54" s="652"/>
    </row>
    <row r="55" spans="1:10" ht="15.75" customHeight="1" outlineLevel="2" thickBot="1" x14ac:dyDescent="0.3">
      <c r="A55" s="663" t="s">
        <v>806</v>
      </c>
      <c r="B55" s="653" t="s">
        <v>30</v>
      </c>
      <c r="C55" s="611">
        <v>216416.55000000005</v>
      </c>
      <c r="D55" s="611" t="s">
        <v>2</v>
      </c>
      <c r="E55" s="611">
        <v>4.5000000000000009</v>
      </c>
      <c r="F55" s="612">
        <v>973874.47500000033</v>
      </c>
      <c r="G55" s="608">
        <v>995655.18902209867</v>
      </c>
      <c r="H55" s="648"/>
      <c r="I55" s="658"/>
      <c r="J55" s="658"/>
    </row>
    <row r="56" spans="1:10" ht="15.75" customHeight="1" outlineLevel="1" x14ac:dyDescent="0.25">
      <c r="A56" s="659" t="s">
        <v>807</v>
      </c>
      <c r="B56" s="660" t="s">
        <v>808</v>
      </c>
      <c r="C56" s="615"/>
      <c r="D56" s="615"/>
      <c r="E56" s="615"/>
      <c r="F56" s="616">
        <v>3945644.1</v>
      </c>
      <c r="G56" s="616">
        <v>4033888.476437815</v>
      </c>
      <c r="H56" s="644"/>
      <c r="I56" s="645"/>
      <c r="J56" s="645"/>
    </row>
    <row r="57" spans="1:10" ht="15.75" customHeight="1" outlineLevel="2" x14ac:dyDescent="0.25">
      <c r="A57" s="663" t="s">
        <v>809</v>
      </c>
      <c r="B57" s="653" t="s">
        <v>32</v>
      </c>
      <c r="C57" s="611">
        <v>51981.599999999999</v>
      </c>
      <c r="D57" s="611" t="s">
        <v>2</v>
      </c>
      <c r="E57" s="611">
        <v>45</v>
      </c>
      <c r="F57" s="612">
        <v>2339172</v>
      </c>
      <c r="G57" s="608">
        <v>2391487.6091348422</v>
      </c>
      <c r="H57" s="648" t="s">
        <v>810</v>
      </c>
      <c r="I57" s="652"/>
      <c r="J57" s="652"/>
    </row>
    <row r="58" spans="1:10" ht="15.75" customHeight="1" outlineLevel="2" thickBot="1" x14ac:dyDescent="0.3">
      <c r="A58" s="663" t="s">
        <v>811</v>
      </c>
      <c r="B58" s="653" t="s">
        <v>33</v>
      </c>
      <c r="C58" s="611">
        <v>35699.380000000005</v>
      </c>
      <c r="D58" s="611" t="s">
        <v>2</v>
      </c>
      <c r="E58" s="611">
        <v>45</v>
      </c>
      <c r="F58" s="612">
        <v>1606472.1</v>
      </c>
      <c r="G58" s="608">
        <v>1642400.8673029728</v>
      </c>
      <c r="H58" s="648" t="s">
        <v>810</v>
      </c>
      <c r="I58" s="658"/>
      <c r="J58" s="658"/>
    </row>
    <row r="59" spans="1:10" ht="15.6" customHeight="1" outlineLevel="1" x14ac:dyDescent="0.25">
      <c r="A59" s="659" t="s">
        <v>812</v>
      </c>
      <c r="B59" s="660" t="s">
        <v>813</v>
      </c>
      <c r="C59" s="615"/>
      <c r="D59" s="615"/>
      <c r="E59" s="615"/>
      <c r="F59" s="616">
        <v>14218567.335000005</v>
      </c>
      <c r="G59" s="616">
        <v>14536565.759722641</v>
      </c>
      <c r="H59" s="644"/>
      <c r="I59" s="645"/>
      <c r="J59" s="645"/>
    </row>
    <row r="60" spans="1:10" ht="15" customHeight="1" outlineLevel="2" thickBot="1" x14ac:dyDescent="0.3">
      <c r="A60" s="663" t="s">
        <v>814</v>
      </c>
      <c r="B60" s="653" t="s">
        <v>31</v>
      </c>
      <c r="C60" s="611">
        <v>1947748.9500000007</v>
      </c>
      <c r="D60" s="611" t="s">
        <v>26</v>
      </c>
      <c r="E60" s="611">
        <v>7.3</v>
      </c>
      <c r="F60" s="612">
        <v>14218567.335000005</v>
      </c>
      <c r="G60" s="608">
        <v>14536565.759722641</v>
      </c>
      <c r="H60" s="648" t="s">
        <v>815</v>
      </c>
      <c r="I60" s="649"/>
      <c r="J60" s="649"/>
    </row>
    <row r="61" spans="1:10" ht="15.75" customHeight="1" outlineLevel="1" x14ac:dyDescent="0.25">
      <c r="A61" s="659" t="s">
        <v>816</v>
      </c>
      <c r="B61" s="660" t="s">
        <v>817</v>
      </c>
      <c r="C61" s="615"/>
      <c r="D61" s="615"/>
      <c r="E61" s="615"/>
      <c r="F61" s="616">
        <v>14088717.405000005</v>
      </c>
      <c r="G61" s="616">
        <v>14403811.734519694</v>
      </c>
      <c r="H61" s="644"/>
      <c r="I61" s="645"/>
      <c r="J61" s="645"/>
    </row>
    <row r="62" spans="1:10" ht="15.75" customHeight="1" outlineLevel="2" thickBot="1" x14ac:dyDescent="0.3">
      <c r="A62" s="663" t="s">
        <v>818</v>
      </c>
      <c r="B62" s="653" t="s">
        <v>24</v>
      </c>
      <c r="C62" s="611">
        <v>21641.655000000006</v>
      </c>
      <c r="D62" s="611" t="s">
        <v>22</v>
      </c>
      <c r="E62" s="611">
        <v>651</v>
      </c>
      <c r="F62" s="612">
        <v>14088717.405000005</v>
      </c>
      <c r="G62" s="608">
        <v>14403811.734519694</v>
      </c>
      <c r="H62" s="648" t="s">
        <v>819</v>
      </c>
      <c r="I62" s="649"/>
      <c r="J62" s="649"/>
    </row>
    <row r="63" spans="1:10" ht="15.75" customHeight="1" outlineLevel="2" x14ac:dyDescent="0.25">
      <c r="A63" s="659" t="s">
        <v>820</v>
      </c>
      <c r="B63" s="660" t="s">
        <v>270</v>
      </c>
      <c r="C63" s="615"/>
      <c r="D63" s="615"/>
      <c r="E63" s="615"/>
      <c r="F63" s="616">
        <v>564993.9</v>
      </c>
      <c r="G63" s="616">
        <v>577629.99518067518</v>
      </c>
      <c r="H63" s="644"/>
      <c r="I63" s="645"/>
      <c r="J63" s="645"/>
    </row>
    <row r="64" spans="1:10" ht="15.75" customHeight="1" outlineLevel="2" x14ac:dyDescent="0.25">
      <c r="A64" s="663" t="s">
        <v>821</v>
      </c>
      <c r="B64" s="653" t="s">
        <v>822</v>
      </c>
      <c r="C64" s="611">
        <v>748.59</v>
      </c>
      <c r="D64" s="611" t="s">
        <v>4</v>
      </c>
      <c r="E64" s="611">
        <v>79.999999999999986</v>
      </c>
      <c r="F64" s="612">
        <v>59887.199999999997</v>
      </c>
      <c r="G64" s="608">
        <v>61226.577928335377</v>
      </c>
      <c r="H64" s="648" t="s">
        <v>389</v>
      </c>
      <c r="I64" s="652"/>
      <c r="J64" s="652"/>
    </row>
    <row r="65" spans="1:10" ht="15.75" customHeight="1" outlineLevel="2" thickBot="1" x14ac:dyDescent="0.3">
      <c r="A65" s="663" t="s">
        <v>821</v>
      </c>
      <c r="B65" s="653" t="s">
        <v>823</v>
      </c>
      <c r="C65" s="611">
        <v>687.22</v>
      </c>
      <c r="D65" s="611" t="s">
        <v>2</v>
      </c>
      <c r="E65" s="611">
        <v>735</v>
      </c>
      <c r="F65" s="612">
        <v>505106.7</v>
      </c>
      <c r="G65" s="608">
        <v>516403.41725233977</v>
      </c>
      <c r="H65" s="648" t="s">
        <v>824</v>
      </c>
      <c r="I65" s="658"/>
      <c r="J65" s="658"/>
    </row>
    <row r="66" spans="1:10" ht="15.75" customHeight="1" outlineLevel="2" x14ac:dyDescent="0.25">
      <c r="A66" s="659">
        <v>5.6</v>
      </c>
      <c r="B66" s="660" t="s">
        <v>825</v>
      </c>
      <c r="C66" s="615"/>
      <c r="D66" s="615"/>
      <c r="E66" s="615"/>
      <c r="F66" s="616">
        <v>17313324.000000007</v>
      </c>
      <c r="G66" s="616">
        <v>17700536.693726201</v>
      </c>
      <c r="H66" s="644"/>
      <c r="I66" s="645"/>
      <c r="J66" s="645"/>
    </row>
    <row r="67" spans="1:10" ht="150.75" outlineLevel="2" thickBot="1" x14ac:dyDescent="0.3">
      <c r="A67" s="663" t="s">
        <v>826</v>
      </c>
      <c r="B67" s="653" t="s">
        <v>827</v>
      </c>
      <c r="C67" s="611">
        <v>86566.620000000024</v>
      </c>
      <c r="D67" s="611" t="s">
        <v>2</v>
      </c>
      <c r="E67" s="611">
        <v>200.00000000000003</v>
      </c>
      <c r="F67" s="612">
        <v>17313324.000000007</v>
      </c>
      <c r="G67" s="608">
        <v>17700536.693726201</v>
      </c>
      <c r="H67" s="648" t="s">
        <v>828</v>
      </c>
      <c r="I67" s="649" t="s">
        <v>1070</v>
      </c>
      <c r="J67" s="649" t="s">
        <v>1071</v>
      </c>
    </row>
    <row r="68" spans="1:10" ht="15.75" customHeight="1" x14ac:dyDescent="0.25">
      <c r="A68" s="650">
        <v>6</v>
      </c>
      <c r="B68" s="651" t="s">
        <v>162</v>
      </c>
      <c r="C68" s="609"/>
      <c r="D68" s="609"/>
      <c r="E68" s="609"/>
      <c r="F68" s="610">
        <v>10102860.6</v>
      </c>
      <c r="G68" s="610">
        <v>10328811.195464293</v>
      </c>
      <c r="H68" s="640" t="s">
        <v>829</v>
      </c>
      <c r="I68" s="641"/>
      <c r="J68" s="641"/>
    </row>
    <row r="69" spans="1:10" ht="15.75" customHeight="1" outlineLevel="1" x14ac:dyDescent="0.25">
      <c r="A69" s="659" t="s">
        <v>830</v>
      </c>
      <c r="B69" s="660" t="s">
        <v>162</v>
      </c>
      <c r="C69" s="615"/>
      <c r="D69" s="615"/>
      <c r="E69" s="615"/>
      <c r="F69" s="616">
        <v>10102860.6</v>
      </c>
      <c r="G69" s="616">
        <v>10328811.195464293</v>
      </c>
      <c r="H69" s="664"/>
      <c r="I69" s="664"/>
      <c r="J69" s="664"/>
    </row>
    <row r="70" spans="1:10" ht="45" outlineLevel="2" x14ac:dyDescent="0.25">
      <c r="A70" s="665" t="s">
        <v>831</v>
      </c>
      <c r="B70" s="653" t="s">
        <v>832</v>
      </c>
      <c r="C70" s="611">
        <v>36045.94</v>
      </c>
      <c r="D70" s="611" t="s">
        <v>2</v>
      </c>
      <c r="E70" s="611">
        <v>41</v>
      </c>
      <c r="F70" s="612">
        <v>1477883.54</v>
      </c>
      <c r="G70" s="608">
        <v>1510936.4226548271</v>
      </c>
      <c r="H70" s="648" t="s">
        <v>833</v>
      </c>
      <c r="I70" s="652"/>
      <c r="J70" s="652"/>
    </row>
    <row r="71" spans="1:10" ht="45" outlineLevel="2" x14ac:dyDescent="0.25">
      <c r="A71" s="665" t="s">
        <v>834</v>
      </c>
      <c r="B71" s="653" t="s">
        <v>835</v>
      </c>
      <c r="C71" s="611">
        <v>53117.560000000005</v>
      </c>
      <c r="D71" s="611" t="s">
        <v>2</v>
      </c>
      <c r="E71" s="611">
        <v>29.999999999999996</v>
      </c>
      <c r="F71" s="612">
        <v>1593526.8</v>
      </c>
      <c r="G71" s="608">
        <v>1629166.0455170874</v>
      </c>
      <c r="H71" s="648" t="s">
        <v>836</v>
      </c>
      <c r="I71" s="648"/>
      <c r="J71" s="648"/>
    </row>
    <row r="72" spans="1:10" ht="15.75" customHeight="1" outlineLevel="2" x14ac:dyDescent="0.25">
      <c r="A72" s="665" t="s">
        <v>837</v>
      </c>
      <c r="B72" s="653" t="s">
        <v>838</v>
      </c>
      <c r="C72" s="611">
        <v>2860.42</v>
      </c>
      <c r="D72" s="611" t="s">
        <v>2</v>
      </c>
      <c r="E72" s="611">
        <v>320</v>
      </c>
      <c r="F72" s="612">
        <v>915334.4</v>
      </c>
      <c r="G72" s="608">
        <v>935805.86456014158</v>
      </c>
      <c r="H72" s="648" t="s">
        <v>839</v>
      </c>
      <c r="I72" s="648"/>
      <c r="J72" s="648"/>
    </row>
    <row r="73" spans="1:10" ht="15.75" customHeight="1" outlineLevel="2" x14ac:dyDescent="0.25">
      <c r="A73" s="665" t="s">
        <v>840</v>
      </c>
      <c r="B73" s="653" t="s">
        <v>168</v>
      </c>
      <c r="C73" s="611">
        <v>89163.5</v>
      </c>
      <c r="D73" s="611" t="s">
        <v>2</v>
      </c>
      <c r="E73" s="611">
        <v>8.1999999999999993</v>
      </c>
      <c r="F73" s="612">
        <v>731140.7</v>
      </c>
      <c r="G73" s="608">
        <v>747492.6703056359</v>
      </c>
      <c r="H73" s="648"/>
      <c r="I73" s="648"/>
      <c r="J73" s="648"/>
    </row>
    <row r="74" spans="1:10" ht="15.75" customHeight="1" outlineLevel="2" x14ac:dyDescent="0.25">
      <c r="A74" s="665" t="s">
        <v>841</v>
      </c>
      <c r="B74" s="653" t="s">
        <v>842</v>
      </c>
      <c r="C74" s="611">
        <v>2102.16</v>
      </c>
      <c r="D74" s="611" t="s">
        <v>2</v>
      </c>
      <c r="E74" s="611">
        <v>635.5</v>
      </c>
      <c r="F74" s="612">
        <v>1335922.68</v>
      </c>
      <c r="G74" s="608">
        <v>1365800.6063608024</v>
      </c>
      <c r="H74" s="648" t="s">
        <v>843</v>
      </c>
      <c r="I74" s="648"/>
      <c r="J74" s="648"/>
    </row>
    <row r="75" spans="1:10" ht="15.75" customHeight="1" outlineLevel="2" x14ac:dyDescent="0.25">
      <c r="A75" s="665" t="s">
        <v>844</v>
      </c>
      <c r="B75" s="653" t="s">
        <v>25</v>
      </c>
      <c r="C75" s="611">
        <v>48823.794999999998</v>
      </c>
      <c r="D75" s="611" t="s">
        <v>2</v>
      </c>
      <c r="E75" s="611">
        <v>82.931949062951801</v>
      </c>
      <c r="F75" s="612">
        <v>4049052.4800000004</v>
      </c>
      <c r="G75" s="608">
        <v>4139609.5860657981</v>
      </c>
      <c r="H75" s="648"/>
      <c r="I75" s="658"/>
      <c r="J75" s="658"/>
    </row>
    <row r="76" spans="1:10" ht="60.75" thickBot="1" x14ac:dyDescent="0.3">
      <c r="A76" s="650">
        <v>7</v>
      </c>
      <c r="B76" s="651" t="s">
        <v>845</v>
      </c>
      <c r="C76" s="609"/>
      <c r="D76" s="609"/>
      <c r="E76" s="609"/>
      <c r="F76" s="610">
        <v>27961018.260000005</v>
      </c>
      <c r="G76" s="610">
        <v>28586366.760367811</v>
      </c>
      <c r="H76" s="666" t="s">
        <v>846</v>
      </c>
      <c r="I76" s="666"/>
      <c r="J76" s="666"/>
    </row>
    <row r="77" spans="1:10" ht="15.75" customHeight="1" outlineLevel="1" x14ac:dyDescent="0.25">
      <c r="A77" s="642" t="s">
        <v>847</v>
      </c>
      <c r="B77" s="643" t="s">
        <v>848</v>
      </c>
      <c r="C77" s="605"/>
      <c r="D77" s="605"/>
      <c r="E77" s="605"/>
      <c r="F77" s="606">
        <v>13461109.410000006</v>
      </c>
      <c r="G77" s="606">
        <v>13762167.279372118</v>
      </c>
      <c r="H77" s="644"/>
      <c r="I77" s="645"/>
      <c r="J77" s="645"/>
    </row>
    <row r="78" spans="1:10" outlineLevel="2" x14ac:dyDescent="0.25">
      <c r="A78" s="663" t="s">
        <v>849</v>
      </c>
      <c r="B78" s="653" t="s">
        <v>228</v>
      </c>
      <c r="C78" s="611">
        <v>1</v>
      </c>
      <c r="D78" s="611" t="s">
        <v>27</v>
      </c>
      <c r="E78" s="611">
        <v>476116.41000000015</v>
      </c>
      <c r="F78" s="612">
        <v>476116.41000000015</v>
      </c>
      <c r="G78" s="608">
        <v>486764.75907747046</v>
      </c>
      <c r="H78" s="667"/>
      <c r="I78" s="668"/>
      <c r="J78" s="668"/>
    </row>
    <row r="79" spans="1:10" outlineLevel="2" x14ac:dyDescent="0.25">
      <c r="A79" s="663" t="s">
        <v>850</v>
      </c>
      <c r="B79" s="653" t="s">
        <v>229</v>
      </c>
      <c r="C79" s="611">
        <v>1</v>
      </c>
      <c r="D79" s="611" t="s">
        <v>27</v>
      </c>
      <c r="E79" s="611">
        <v>865666.20000000019</v>
      </c>
      <c r="F79" s="612">
        <v>865666.20000000019</v>
      </c>
      <c r="G79" s="608">
        <v>885026.8346863098</v>
      </c>
      <c r="H79" s="667"/>
      <c r="I79" s="667"/>
      <c r="J79" s="667"/>
    </row>
    <row r="80" spans="1:10" outlineLevel="2" x14ac:dyDescent="0.25">
      <c r="A80" s="663" t="s">
        <v>851</v>
      </c>
      <c r="B80" s="653" t="s">
        <v>852</v>
      </c>
      <c r="C80" s="611">
        <v>1</v>
      </c>
      <c r="D80" s="611" t="s">
        <v>27</v>
      </c>
      <c r="E80" s="611">
        <v>1298499.3000000003</v>
      </c>
      <c r="F80" s="612">
        <v>1298499.3000000003</v>
      </c>
      <c r="G80" s="608">
        <v>1327540.2520294648</v>
      </c>
      <c r="H80" s="667"/>
      <c r="I80" s="667"/>
      <c r="J80" s="667"/>
    </row>
    <row r="81" spans="1:10" outlineLevel="2" x14ac:dyDescent="0.25">
      <c r="A81" s="663" t="s">
        <v>853</v>
      </c>
      <c r="B81" s="653" t="s">
        <v>230</v>
      </c>
      <c r="C81" s="611">
        <v>1</v>
      </c>
      <c r="D81" s="611" t="s">
        <v>27</v>
      </c>
      <c r="E81" s="611">
        <v>2596998.6000000006</v>
      </c>
      <c r="F81" s="612">
        <v>2596998.6000000006</v>
      </c>
      <c r="G81" s="608">
        <v>2655080.5040589296</v>
      </c>
      <c r="H81" s="667"/>
      <c r="I81" s="667"/>
      <c r="J81" s="667"/>
    </row>
    <row r="82" spans="1:10" outlineLevel="2" x14ac:dyDescent="0.25">
      <c r="A82" s="663" t="s">
        <v>854</v>
      </c>
      <c r="B82" s="653" t="s">
        <v>231</v>
      </c>
      <c r="C82" s="611">
        <v>1</v>
      </c>
      <c r="D82" s="611" t="s">
        <v>27</v>
      </c>
      <c r="E82" s="611">
        <v>1298499.3000000003</v>
      </c>
      <c r="F82" s="612">
        <v>1298499.3000000003</v>
      </c>
      <c r="G82" s="608">
        <v>1327540.2520294648</v>
      </c>
      <c r="H82" s="667"/>
      <c r="I82" s="667"/>
      <c r="J82" s="667"/>
    </row>
    <row r="83" spans="1:10" outlineLevel="2" x14ac:dyDescent="0.25">
      <c r="A83" s="663" t="s">
        <v>855</v>
      </c>
      <c r="B83" s="653" t="s">
        <v>232</v>
      </c>
      <c r="C83" s="611">
        <v>1</v>
      </c>
      <c r="D83" s="611" t="s">
        <v>27</v>
      </c>
      <c r="E83" s="611">
        <v>1298499.3000000003</v>
      </c>
      <c r="F83" s="612">
        <v>1298499.3000000003</v>
      </c>
      <c r="G83" s="608">
        <v>1327540.2520294648</v>
      </c>
      <c r="H83" s="667"/>
      <c r="I83" s="667"/>
      <c r="J83" s="667"/>
    </row>
    <row r="84" spans="1:10" outlineLevel="2" x14ac:dyDescent="0.25">
      <c r="A84" s="663" t="s">
        <v>856</v>
      </c>
      <c r="B84" s="653" t="s">
        <v>233</v>
      </c>
      <c r="C84" s="611">
        <v>1</v>
      </c>
      <c r="D84" s="611" t="s">
        <v>27</v>
      </c>
      <c r="E84" s="611">
        <v>1298499.3000000003</v>
      </c>
      <c r="F84" s="612">
        <v>1298499.3000000003</v>
      </c>
      <c r="G84" s="608">
        <v>1327540.2520294648</v>
      </c>
      <c r="H84" s="667"/>
      <c r="I84" s="667"/>
      <c r="J84" s="667"/>
    </row>
    <row r="85" spans="1:10" outlineLevel="2" x14ac:dyDescent="0.25">
      <c r="A85" s="663" t="s">
        <v>857</v>
      </c>
      <c r="B85" s="669" t="s">
        <v>234</v>
      </c>
      <c r="C85" s="611">
        <v>1</v>
      </c>
      <c r="D85" s="611" t="s">
        <v>27</v>
      </c>
      <c r="E85" s="611">
        <v>4328331.0000000019</v>
      </c>
      <c r="F85" s="612">
        <v>4328331.0000000019</v>
      </c>
      <c r="G85" s="608">
        <v>4425134.1734315502</v>
      </c>
      <c r="H85" s="670"/>
      <c r="I85" s="670"/>
      <c r="J85" s="670"/>
    </row>
    <row r="86" spans="1:10" ht="15.75" customHeight="1" outlineLevel="1" x14ac:dyDescent="0.25">
      <c r="A86" s="659" t="s">
        <v>858</v>
      </c>
      <c r="B86" s="660" t="s">
        <v>859</v>
      </c>
      <c r="C86" s="615"/>
      <c r="D86" s="615"/>
      <c r="E86" s="615"/>
      <c r="F86" s="616">
        <v>11946193.560000002</v>
      </c>
      <c r="G86" s="616">
        <v>12213370.318671076</v>
      </c>
      <c r="H86" s="664"/>
      <c r="I86" s="664"/>
      <c r="J86" s="664"/>
    </row>
    <row r="87" spans="1:10" ht="15.75" customHeight="1" outlineLevel="2" x14ac:dyDescent="0.25">
      <c r="A87" s="663" t="s">
        <v>860</v>
      </c>
      <c r="B87" s="653" t="s">
        <v>236</v>
      </c>
      <c r="C87" s="611">
        <v>1</v>
      </c>
      <c r="D87" s="611" t="s">
        <v>27</v>
      </c>
      <c r="E87" s="611">
        <v>1731332.4000000004</v>
      </c>
      <c r="F87" s="612">
        <v>1731332.4000000004</v>
      </c>
      <c r="G87" s="608">
        <v>1770053.6693726196</v>
      </c>
      <c r="H87" s="667"/>
      <c r="I87" s="668"/>
      <c r="J87" s="668"/>
    </row>
    <row r="88" spans="1:10" ht="15.75" customHeight="1" outlineLevel="2" x14ac:dyDescent="0.25">
      <c r="A88" s="663" t="s">
        <v>861</v>
      </c>
      <c r="B88" s="653" t="s">
        <v>237</v>
      </c>
      <c r="C88" s="611">
        <v>1</v>
      </c>
      <c r="D88" s="611" t="s">
        <v>27</v>
      </c>
      <c r="E88" s="611">
        <v>1558199.1600000004</v>
      </c>
      <c r="F88" s="612">
        <v>1558199.1600000004</v>
      </c>
      <c r="G88" s="608">
        <v>1593048.3024353578</v>
      </c>
      <c r="H88" s="667"/>
      <c r="I88" s="667"/>
      <c r="J88" s="667"/>
    </row>
    <row r="89" spans="1:10" ht="15.75" customHeight="1" outlineLevel="2" x14ac:dyDescent="0.25">
      <c r="A89" s="663" t="s">
        <v>862</v>
      </c>
      <c r="B89" s="653" t="s">
        <v>238</v>
      </c>
      <c r="C89" s="611">
        <v>1</v>
      </c>
      <c r="D89" s="611" t="s">
        <v>27</v>
      </c>
      <c r="E89" s="611">
        <v>865666.20000000019</v>
      </c>
      <c r="F89" s="612">
        <v>865666.20000000019</v>
      </c>
      <c r="G89" s="608">
        <v>885026.8346863098</v>
      </c>
      <c r="H89" s="667"/>
      <c r="I89" s="667"/>
      <c r="J89" s="667"/>
    </row>
    <row r="90" spans="1:10" outlineLevel="2" x14ac:dyDescent="0.25">
      <c r="A90" s="663" t="s">
        <v>863</v>
      </c>
      <c r="B90" s="653" t="s">
        <v>239</v>
      </c>
      <c r="C90" s="611">
        <v>1</v>
      </c>
      <c r="D90" s="611" t="s">
        <v>27</v>
      </c>
      <c r="E90" s="611">
        <v>1298499.3000000003</v>
      </c>
      <c r="F90" s="612">
        <v>1298499.3000000003</v>
      </c>
      <c r="G90" s="608">
        <v>1327540.2520294648</v>
      </c>
      <c r="H90" s="667"/>
      <c r="I90" s="667"/>
      <c r="J90" s="667"/>
    </row>
    <row r="91" spans="1:10" ht="120" outlineLevel="2" x14ac:dyDescent="0.25">
      <c r="A91" s="663" t="s">
        <v>864</v>
      </c>
      <c r="B91" s="653" t="s">
        <v>240</v>
      </c>
      <c r="C91" s="611">
        <v>1</v>
      </c>
      <c r="D91" s="611" t="s">
        <v>27</v>
      </c>
      <c r="E91" s="611">
        <v>2596998.6000000006</v>
      </c>
      <c r="F91" s="612">
        <v>2596998.6000000006</v>
      </c>
      <c r="G91" s="608">
        <v>2655080.5040589296</v>
      </c>
      <c r="H91" s="667"/>
      <c r="I91" s="648" t="s">
        <v>1072</v>
      </c>
      <c r="J91" s="648" t="s">
        <v>1073</v>
      </c>
    </row>
    <row r="92" spans="1:10" ht="15.75" customHeight="1" outlineLevel="2" x14ac:dyDescent="0.25">
      <c r="A92" s="663" t="s">
        <v>865</v>
      </c>
      <c r="B92" s="669" t="s">
        <v>241</v>
      </c>
      <c r="C92" s="611">
        <v>1</v>
      </c>
      <c r="D92" s="611" t="s">
        <v>27</v>
      </c>
      <c r="E92" s="611">
        <v>3895497.9000000013</v>
      </c>
      <c r="F92" s="612">
        <v>3895497.9000000013</v>
      </c>
      <c r="G92" s="608">
        <v>3982620.7560883947</v>
      </c>
      <c r="H92" s="670"/>
      <c r="I92" s="670"/>
      <c r="J92" s="670"/>
    </row>
    <row r="93" spans="1:10" ht="15.75" customHeight="1" outlineLevel="1" x14ac:dyDescent="0.25">
      <c r="A93" s="659" t="s">
        <v>866</v>
      </c>
      <c r="B93" s="660" t="s">
        <v>867</v>
      </c>
      <c r="C93" s="615"/>
      <c r="D93" s="615"/>
      <c r="E93" s="615"/>
      <c r="F93" s="616">
        <v>2553715.2900000005</v>
      </c>
      <c r="G93" s="616">
        <v>2610829.1623246139</v>
      </c>
      <c r="H93" s="664"/>
      <c r="I93" s="664"/>
      <c r="J93" s="664"/>
    </row>
    <row r="94" spans="1:10" ht="15.75" customHeight="1" outlineLevel="2" x14ac:dyDescent="0.25">
      <c r="A94" s="663" t="s">
        <v>868</v>
      </c>
      <c r="B94" s="653" t="s">
        <v>243</v>
      </c>
      <c r="C94" s="611">
        <v>1</v>
      </c>
      <c r="D94" s="611" t="s">
        <v>27</v>
      </c>
      <c r="E94" s="611">
        <v>822382.89000000025</v>
      </c>
      <c r="F94" s="612">
        <v>822382.89000000025</v>
      </c>
      <c r="G94" s="608">
        <v>840775.49295199441</v>
      </c>
      <c r="H94" s="667"/>
      <c r="I94" s="668"/>
      <c r="J94" s="668"/>
    </row>
    <row r="95" spans="1:10" ht="15.75" customHeight="1" outlineLevel="2" x14ac:dyDescent="0.25">
      <c r="A95" s="663" t="s">
        <v>869</v>
      </c>
      <c r="B95" s="653" t="s">
        <v>244</v>
      </c>
      <c r="C95" s="611">
        <v>1</v>
      </c>
      <c r="D95" s="611" t="s">
        <v>27</v>
      </c>
      <c r="E95" s="611">
        <v>432833.10000000009</v>
      </c>
      <c r="F95" s="612">
        <v>432833.10000000009</v>
      </c>
      <c r="G95" s="608">
        <v>442513.4173431549</v>
      </c>
      <c r="H95" s="667"/>
      <c r="I95" s="667"/>
      <c r="J95" s="667"/>
    </row>
    <row r="96" spans="1:10" ht="15.75" customHeight="1" outlineLevel="2" x14ac:dyDescent="0.25">
      <c r="A96" s="663" t="s">
        <v>870</v>
      </c>
      <c r="B96" s="653" t="s">
        <v>245</v>
      </c>
      <c r="C96" s="611">
        <v>1</v>
      </c>
      <c r="D96" s="611" t="s">
        <v>27</v>
      </c>
      <c r="E96" s="611">
        <v>259699.86000000007</v>
      </c>
      <c r="F96" s="612">
        <v>259699.86000000007</v>
      </c>
      <c r="G96" s="608">
        <v>265508.05040589295</v>
      </c>
      <c r="H96" s="667"/>
      <c r="I96" s="667"/>
      <c r="J96" s="667"/>
    </row>
    <row r="97" spans="1:10" ht="15.75" customHeight="1" outlineLevel="2" x14ac:dyDescent="0.25">
      <c r="A97" s="663" t="s">
        <v>871</v>
      </c>
      <c r="B97" s="669" t="s">
        <v>872</v>
      </c>
      <c r="C97" s="611">
        <v>1</v>
      </c>
      <c r="D97" s="611" t="s">
        <v>27</v>
      </c>
      <c r="E97" s="611">
        <v>1038799.4400000003</v>
      </c>
      <c r="F97" s="612">
        <v>1038799.4400000003</v>
      </c>
      <c r="G97" s="608">
        <v>1062032.2016235718</v>
      </c>
      <c r="H97" s="670"/>
      <c r="I97" s="670"/>
      <c r="J97" s="670"/>
    </row>
    <row r="98" spans="1:10" ht="15.75" customHeight="1" x14ac:dyDescent="0.25">
      <c r="A98" s="650">
        <v>8</v>
      </c>
      <c r="B98" s="651" t="s">
        <v>247</v>
      </c>
      <c r="C98" s="609"/>
      <c r="D98" s="609"/>
      <c r="E98" s="609"/>
      <c r="F98" s="610">
        <v>26550839.869400002</v>
      </c>
      <c r="G98" s="610">
        <v>27144649.713571068</v>
      </c>
      <c r="H98" s="666"/>
      <c r="I98" s="666"/>
      <c r="J98" s="666"/>
    </row>
    <row r="99" spans="1:10" ht="15.75" customHeight="1" x14ac:dyDescent="0.25">
      <c r="A99" s="659" t="s">
        <v>873</v>
      </c>
      <c r="B99" s="660" t="s">
        <v>874</v>
      </c>
      <c r="C99" s="615"/>
      <c r="D99" s="615"/>
      <c r="E99" s="615"/>
      <c r="F99" s="616">
        <v>10604665</v>
      </c>
      <c r="G99" s="616">
        <v>10841838.456738515</v>
      </c>
      <c r="H99" s="664"/>
      <c r="I99" s="664"/>
      <c r="J99" s="664"/>
    </row>
    <row r="100" spans="1:10" ht="60" x14ac:dyDescent="0.25">
      <c r="A100" s="663" t="s">
        <v>875</v>
      </c>
      <c r="B100" s="653" t="s">
        <v>250</v>
      </c>
      <c r="C100" s="619">
        <v>63963.1</v>
      </c>
      <c r="D100" s="619" t="s">
        <v>2</v>
      </c>
      <c r="E100" s="619">
        <v>150</v>
      </c>
      <c r="F100" s="620">
        <v>9594465</v>
      </c>
      <c r="G100" s="608">
        <v>9809045.3219249919</v>
      </c>
      <c r="H100" s="671" t="s">
        <v>876</v>
      </c>
      <c r="I100" s="672"/>
      <c r="J100" s="672"/>
    </row>
    <row r="101" spans="1:10" ht="45" x14ac:dyDescent="0.25">
      <c r="A101" s="663" t="s">
        <v>877</v>
      </c>
      <c r="B101" s="653" t="s">
        <v>251</v>
      </c>
      <c r="C101" s="611">
        <v>29</v>
      </c>
      <c r="D101" s="611" t="s">
        <v>3</v>
      </c>
      <c r="E101" s="619">
        <v>6000</v>
      </c>
      <c r="F101" s="620">
        <v>174000</v>
      </c>
      <c r="G101" s="608">
        <v>177891.51203479804</v>
      </c>
      <c r="H101" s="648" t="s">
        <v>878</v>
      </c>
      <c r="I101" s="648"/>
      <c r="J101" s="648"/>
    </row>
    <row r="102" spans="1:10" ht="15.75" customHeight="1" x14ac:dyDescent="0.25">
      <c r="A102" s="663" t="s">
        <v>879</v>
      </c>
      <c r="B102" s="653" t="s">
        <v>252</v>
      </c>
      <c r="C102" s="619">
        <v>378</v>
      </c>
      <c r="D102" s="619" t="s">
        <v>3</v>
      </c>
      <c r="E102" s="619">
        <v>900</v>
      </c>
      <c r="F102" s="620">
        <v>340200</v>
      </c>
      <c r="G102" s="608">
        <v>347808.57697838097</v>
      </c>
      <c r="H102" s="671" t="s">
        <v>880</v>
      </c>
      <c r="I102" s="671"/>
      <c r="J102" s="671"/>
    </row>
    <row r="103" spans="1:10" ht="15.75" customHeight="1" x14ac:dyDescent="0.25">
      <c r="A103" s="663" t="s">
        <v>881</v>
      </c>
      <c r="B103" s="669" t="s">
        <v>253</v>
      </c>
      <c r="C103" s="621">
        <v>248</v>
      </c>
      <c r="D103" s="621" t="s">
        <v>3</v>
      </c>
      <c r="E103" s="619">
        <v>2000</v>
      </c>
      <c r="F103" s="620">
        <v>496000</v>
      </c>
      <c r="G103" s="608">
        <v>507093.0458003438</v>
      </c>
      <c r="H103" s="673" t="s">
        <v>882</v>
      </c>
      <c r="I103" s="673"/>
      <c r="J103" s="673"/>
    </row>
    <row r="104" spans="1:10" ht="15.75" customHeight="1" x14ac:dyDescent="0.25">
      <c r="A104" s="659" t="s">
        <v>883</v>
      </c>
      <c r="B104" s="660" t="s">
        <v>254</v>
      </c>
      <c r="C104" s="615"/>
      <c r="D104" s="615"/>
      <c r="E104" s="615"/>
      <c r="F104" s="616">
        <v>1471632.5400000005</v>
      </c>
      <c r="G104" s="616">
        <v>1504545.6189667268</v>
      </c>
      <c r="H104" s="674"/>
      <c r="I104" s="674"/>
      <c r="J104" s="674"/>
    </row>
    <row r="105" spans="1:10" ht="15.75" customHeight="1" x14ac:dyDescent="0.25">
      <c r="A105" s="663" t="s">
        <v>884</v>
      </c>
      <c r="B105" s="653" t="s">
        <v>255</v>
      </c>
      <c r="C105" s="619">
        <v>1</v>
      </c>
      <c r="D105" s="619" t="s">
        <v>27</v>
      </c>
      <c r="E105" s="619">
        <v>173133.24000000005</v>
      </c>
      <c r="F105" s="620">
        <v>173133.24000000005</v>
      </c>
      <c r="G105" s="608">
        <v>177005.36693726198</v>
      </c>
      <c r="H105" s="671"/>
      <c r="I105" s="672"/>
      <c r="J105" s="672"/>
    </row>
    <row r="106" spans="1:10" ht="15.75" customHeight="1" x14ac:dyDescent="0.25">
      <c r="A106" s="663" t="s">
        <v>885</v>
      </c>
      <c r="B106" s="653" t="s">
        <v>256</v>
      </c>
      <c r="C106" s="611">
        <v>1</v>
      </c>
      <c r="D106" s="611" t="s">
        <v>27</v>
      </c>
      <c r="E106" s="619">
        <v>605966.3400000002</v>
      </c>
      <c r="F106" s="620">
        <v>605966.3400000002</v>
      </c>
      <c r="G106" s="608">
        <v>619518.7842804169</v>
      </c>
      <c r="H106" s="648"/>
      <c r="I106" s="648"/>
      <c r="J106" s="648"/>
    </row>
    <row r="107" spans="1:10" ht="15.75" customHeight="1" x14ac:dyDescent="0.25">
      <c r="A107" s="663" t="s">
        <v>886</v>
      </c>
      <c r="B107" s="653" t="s">
        <v>257</v>
      </c>
      <c r="C107" s="619">
        <v>1</v>
      </c>
      <c r="D107" s="619" t="s">
        <v>27</v>
      </c>
      <c r="E107" s="619">
        <v>692532.9600000002</v>
      </c>
      <c r="F107" s="620">
        <v>692532.9600000002</v>
      </c>
      <c r="G107" s="608">
        <v>708021.46774904791</v>
      </c>
      <c r="H107" s="671"/>
      <c r="I107" s="675"/>
      <c r="J107" s="675"/>
    </row>
    <row r="108" spans="1:10" ht="15.75" customHeight="1" x14ac:dyDescent="0.25">
      <c r="A108" s="659" t="s">
        <v>887</v>
      </c>
      <c r="B108" s="660" t="s">
        <v>888</v>
      </c>
      <c r="C108" s="615"/>
      <c r="D108" s="615"/>
      <c r="E108" s="615"/>
      <c r="F108" s="616">
        <v>2596998.6000000006</v>
      </c>
      <c r="G108" s="616">
        <v>2655080.5040589296</v>
      </c>
      <c r="H108" s="674"/>
      <c r="I108" s="674"/>
      <c r="J108" s="674"/>
    </row>
    <row r="109" spans="1:10" ht="15.75" customHeight="1" x14ac:dyDescent="0.25">
      <c r="A109" s="663" t="s">
        <v>889</v>
      </c>
      <c r="B109" s="653" t="s">
        <v>268</v>
      </c>
      <c r="C109" s="619">
        <v>1</v>
      </c>
      <c r="D109" s="619" t="s">
        <v>27</v>
      </c>
      <c r="E109" s="619">
        <v>2596998.6000000006</v>
      </c>
      <c r="F109" s="620">
        <v>2596998.6000000006</v>
      </c>
      <c r="G109" s="608">
        <v>2655080.5040589296</v>
      </c>
      <c r="H109" s="671"/>
      <c r="I109" s="673"/>
      <c r="J109" s="673"/>
    </row>
    <row r="110" spans="1:10" outlineLevel="1" x14ac:dyDescent="0.25">
      <c r="A110" s="659" t="s">
        <v>890</v>
      </c>
      <c r="B110" s="660" t="s">
        <v>247</v>
      </c>
      <c r="C110" s="615"/>
      <c r="D110" s="615"/>
      <c r="E110" s="615"/>
      <c r="F110" s="616">
        <v>11877543.7294</v>
      </c>
      <c r="G110" s="616">
        <v>12143185.133806897</v>
      </c>
      <c r="H110" s="674"/>
      <c r="I110" s="674"/>
      <c r="J110" s="674"/>
    </row>
    <row r="111" spans="1:10" outlineLevel="1" x14ac:dyDescent="0.25">
      <c r="A111" s="663" t="s">
        <v>1074</v>
      </c>
      <c r="B111" s="653" t="s">
        <v>261</v>
      </c>
      <c r="C111" s="611">
        <v>1</v>
      </c>
      <c r="D111" s="611" t="s">
        <v>3</v>
      </c>
      <c r="E111" s="611">
        <v>300000</v>
      </c>
      <c r="F111" s="612">
        <v>300000</v>
      </c>
      <c r="G111" s="608">
        <v>306709.50350827246</v>
      </c>
      <c r="H111" s="648"/>
      <c r="I111" s="652"/>
      <c r="J111" s="652"/>
    </row>
    <row r="112" spans="1:10" outlineLevel="1" x14ac:dyDescent="0.25">
      <c r="A112" s="663" t="s">
        <v>1075</v>
      </c>
      <c r="B112" s="653" t="s">
        <v>262</v>
      </c>
      <c r="C112" s="611">
        <v>2</v>
      </c>
      <c r="D112" s="611" t="s">
        <v>3</v>
      </c>
      <c r="E112" s="611">
        <v>245000</v>
      </c>
      <c r="F112" s="612">
        <v>490000</v>
      </c>
      <c r="G112" s="608">
        <v>500958.85573017836</v>
      </c>
      <c r="H112" s="648"/>
      <c r="I112" s="648"/>
      <c r="J112" s="648"/>
    </row>
    <row r="113" spans="1:10" ht="15.75" customHeight="1" outlineLevel="2" x14ac:dyDescent="0.25">
      <c r="A113" s="663" t="s">
        <v>891</v>
      </c>
      <c r="B113" s="653" t="s">
        <v>892</v>
      </c>
      <c r="C113" s="611">
        <v>6</v>
      </c>
      <c r="D113" s="611" t="s">
        <v>3</v>
      </c>
      <c r="E113" s="611">
        <v>1627824.18</v>
      </c>
      <c r="F113" s="612">
        <v>9766945.0800000001</v>
      </c>
      <c r="G113" s="608">
        <v>9985382.9209312145</v>
      </c>
      <c r="H113" s="648" t="s">
        <v>893</v>
      </c>
      <c r="I113" s="648"/>
      <c r="J113" s="648"/>
    </row>
    <row r="114" spans="1:10" ht="15.75" customHeight="1" outlineLevel="2" x14ac:dyDescent="0.25">
      <c r="A114" s="663" t="s">
        <v>894</v>
      </c>
      <c r="B114" s="653" t="s">
        <v>895</v>
      </c>
      <c r="C114" s="611">
        <v>1</v>
      </c>
      <c r="D114" s="611" t="s">
        <v>3</v>
      </c>
      <c r="E114" s="611">
        <v>27000</v>
      </c>
      <c r="F114" s="612">
        <v>27000</v>
      </c>
      <c r="G114" s="608">
        <v>27603.85531574452</v>
      </c>
      <c r="H114" s="648"/>
      <c r="I114" s="648"/>
      <c r="J114" s="648"/>
    </row>
    <row r="115" spans="1:10" ht="15.75" customHeight="1" outlineLevel="2" x14ac:dyDescent="0.25">
      <c r="A115" s="663" t="s">
        <v>896</v>
      </c>
      <c r="B115" s="653" t="s">
        <v>897</v>
      </c>
      <c r="C115" s="611">
        <v>5</v>
      </c>
      <c r="D115" s="611" t="s">
        <v>3</v>
      </c>
      <c r="E115" s="611">
        <v>15913.8</v>
      </c>
      <c r="F115" s="612">
        <v>79569</v>
      </c>
      <c r="G115" s="608">
        <v>81348.5616154991</v>
      </c>
      <c r="H115" s="648"/>
      <c r="I115" s="648"/>
      <c r="J115" s="648"/>
    </row>
    <row r="116" spans="1:10" ht="15.75" customHeight="1" outlineLevel="2" x14ac:dyDescent="0.25">
      <c r="A116" s="663" t="s">
        <v>898</v>
      </c>
      <c r="B116" s="653" t="s">
        <v>899</v>
      </c>
      <c r="C116" s="611">
        <v>1</v>
      </c>
      <c r="D116" s="611" t="s">
        <v>27</v>
      </c>
      <c r="E116" s="611">
        <v>32029.649400000009</v>
      </c>
      <c r="F116" s="612">
        <v>32029.649400000009</v>
      </c>
      <c r="G116" s="608">
        <v>32745.992883393465</v>
      </c>
      <c r="H116" s="648"/>
      <c r="I116" s="648"/>
      <c r="J116" s="648"/>
    </row>
    <row r="117" spans="1:10" outlineLevel="2" x14ac:dyDescent="0.25">
      <c r="A117" s="663" t="s">
        <v>900</v>
      </c>
      <c r="B117" s="676" t="s">
        <v>901</v>
      </c>
      <c r="C117" s="619">
        <v>6</v>
      </c>
      <c r="D117" s="619" t="s">
        <v>3</v>
      </c>
      <c r="E117" s="611">
        <v>175000</v>
      </c>
      <c r="F117" s="612">
        <v>1050000</v>
      </c>
      <c r="G117" s="608">
        <v>1073483.2622789536</v>
      </c>
      <c r="H117" s="671"/>
      <c r="I117" s="671"/>
      <c r="J117" s="671"/>
    </row>
    <row r="118" spans="1:10" ht="45" outlineLevel="2" x14ac:dyDescent="0.25">
      <c r="A118" s="663" t="s">
        <v>902</v>
      </c>
      <c r="B118" s="676" t="s">
        <v>903</v>
      </c>
      <c r="C118" s="619">
        <v>120</v>
      </c>
      <c r="D118" s="619" t="s">
        <v>3</v>
      </c>
      <c r="E118" s="611">
        <v>1100</v>
      </c>
      <c r="F118" s="612">
        <v>132000</v>
      </c>
      <c r="G118" s="608">
        <v>134952.18154363989</v>
      </c>
      <c r="H118" s="671" t="s">
        <v>904</v>
      </c>
      <c r="I118" s="675"/>
      <c r="J118" s="675"/>
    </row>
    <row r="119" spans="1:10" ht="15.75" customHeight="1" x14ac:dyDescent="0.25">
      <c r="A119" s="650">
        <v>9</v>
      </c>
      <c r="B119" s="651" t="s">
        <v>216</v>
      </c>
      <c r="C119" s="609"/>
      <c r="D119" s="609"/>
      <c r="E119" s="609"/>
      <c r="F119" s="610">
        <v>9391529.9990000017</v>
      </c>
      <c r="G119" s="610">
        <v>9601571.677254457</v>
      </c>
      <c r="H119" s="677"/>
      <c r="I119" s="677"/>
      <c r="J119" s="677"/>
    </row>
    <row r="120" spans="1:10" outlineLevel="1" x14ac:dyDescent="0.25">
      <c r="A120" s="659" t="s">
        <v>905</v>
      </c>
      <c r="B120" s="660" t="s">
        <v>216</v>
      </c>
      <c r="C120" s="615"/>
      <c r="D120" s="615"/>
      <c r="E120" s="615"/>
      <c r="F120" s="616">
        <v>9391529.9990000017</v>
      </c>
      <c r="G120" s="616">
        <v>9601571.677254457</v>
      </c>
      <c r="H120" s="674"/>
      <c r="I120" s="674"/>
      <c r="J120" s="674"/>
    </row>
    <row r="121" spans="1:10" ht="15.75" customHeight="1" outlineLevel="2" x14ac:dyDescent="0.25">
      <c r="A121" s="663" t="s">
        <v>906</v>
      </c>
      <c r="B121" s="676" t="s">
        <v>217</v>
      </c>
      <c r="C121" s="611">
        <v>53671.304400000015</v>
      </c>
      <c r="D121" s="611" t="s">
        <v>2</v>
      </c>
      <c r="E121" s="611">
        <v>15</v>
      </c>
      <c r="F121" s="612">
        <v>805069.56600000022</v>
      </c>
      <c r="G121" s="608">
        <v>823074.95625826821</v>
      </c>
      <c r="H121" s="648" t="s">
        <v>907</v>
      </c>
      <c r="I121" s="652"/>
      <c r="J121" s="652"/>
    </row>
    <row r="122" spans="1:10" ht="15.75" customHeight="1" outlineLevel="2" x14ac:dyDescent="0.25">
      <c r="A122" s="663" t="s">
        <v>908</v>
      </c>
      <c r="B122" s="676" t="s">
        <v>218</v>
      </c>
      <c r="C122" s="611">
        <v>190.32</v>
      </c>
      <c r="D122" s="611" t="s">
        <v>2</v>
      </c>
      <c r="E122" s="611">
        <v>45</v>
      </c>
      <c r="F122" s="612">
        <v>8564.4</v>
      </c>
      <c r="G122" s="608">
        <v>8755.9429061541614</v>
      </c>
      <c r="H122" s="648"/>
      <c r="I122" s="648"/>
      <c r="J122" s="648"/>
    </row>
    <row r="123" spans="1:10" ht="15.75" customHeight="1" outlineLevel="2" x14ac:dyDescent="0.25">
      <c r="A123" s="663" t="s">
        <v>909</v>
      </c>
      <c r="B123" s="676" t="s">
        <v>219</v>
      </c>
      <c r="C123" s="611">
        <v>4198.72</v>
      </c>
      <c r="D123" s="611" t="s">
        <v>2</v>
      </c>
      <c r="E123" s="611">
        <v>40.000023816782253</v>
      </c>
      <c r="F123" s="612">
        <v>167948.9</v>
      </c>
      <c r="G123" s="608">
        <v>171705.07911253499</v>
      </c>
      <c r="H123" s="648"/>
      <c r="I123" s="648"/>
      <c r="J123" s="648"/>
    </row>
    <row r="124" spans="1:10" ht="15.75" customHeight="1" outlineLevel="2" x14ac:dyDescent="0.25">
      <c r="A124" s="663" t="s">
        <v>909</v>
      </c>
      <c r="B124" s="676" t="s">
        <v>220</v>
      </c>
      <c r="C124" s="611">
        <v>1</v>
      </c>
      <c r="D124" s="611" t="s">
        <v>27</v>
      </c>
      <c r="E124" s="611">
        <v>86566.620000000024</v>
      </c>
      <c r="F124" s="612">
        <v>86566.620000000024</v>
      </c>
      <c r="G124" s="608">
        <v>88502.683468630989</v>
      </c>
      <c r="H124" s="648"/>
      <c r="I124" s="648"/>
      <c r="J124" s="648"/>
    </row>
    <row r="125" spans="1:10" ht="15.75" customHeight="1" outlineLevel="2" x14ac:dyDescent="0.25">
      <c r="A125" s="663" t="s">
        <v>910</v>
      </c>
      <c r="B125" s="676" t="s">
        <v>221</v>
      </c>
      <c r="C125" s="611">
        <v>17313.324000000008</v>
      </c>
      <c r="D125" s="611" t="s">
        <v>2</v>
      </c>
      <c r="E125" s="611">
        <v>60</v>
      </c>
      <c r="F125" s="612">
        <v>1038799.4400000004</v>
      </c>
      <c r="G125" s="608">
        <v>1062032.201623572</v>
      </c>
      <c r="H125" s="648" t="s">
        <v>912</v>
      </c>
      <c r="I125" s="648"/>
      <c r="J125" s="648"/>
    </row>
    <row r="126" spans="1:10" ht="15.75" customHeight="1" outlineLevel="2" x14ac:dyDescent="0.25">
      <c r="A126" s="663" t="s">
        <v>911</v>
      </c>
      <c r="B126" s="676" t="s">
        <v>222</v>
      </c>
      <c r="C126" s="611">
        <v>30298.317000000006</v>
      </c>
      <c r="D126" s="611" t="s">
        <v>2</v>
      </c>
      <c r="E126" s="611">
        <v>160</v>
      </c>
      <c r="F126" s="612">
        <v>4847730.7200000007</v>
      </c>
      <c r="G126" s="608">
        <v>4956150.2742433343</v>
      </c>
      <c r="H126" s="648" t="s">
        <v>914</v>
      </c>
      <c r="I126" s="648"/>
      <c r="J126" s="648"/>
    </row>
    <row r="127" spans="1:10" ht="15.75" customHeight="1" outlineLevel="2" x14ac:dyDescent="0.25">
      <c r="A127" s="663" t="s">
        <v>913</v>
      </c>
      <c r="B127" s="676" t="s">
        <v>916</v>
      </c>
      <c r="C127" s="611">
        <v>6059.6634000000013</v>
      </c>
      <c r="D127" s="611" t="s">
        <v>2</v>
      </c>
      <c r="E127" s="611">
        <v>160.00000000000003</v>
      </c>
      <c r="F127" s="612">
        <v>969546.14400000032</v>
      </c>
      <c r="G127" s="608">
        <v>991230.05484866712</v>
      </c>
      <c r="H127" s="648" t="s">
        <v>917</v>
      </c>
      <c r="I127" s="648"/>
      <c r="J127" s="648"/>
    </row>
    <row r="128" spans="1:10" ht="15.75" customHeight="1" outlineLevel="2" x14ac:dyDescent="0.25">
      <c r="A128" s="663" t="s">
        <v>915</v>
      </c>
      <c r="B128" s="676" t="s">
        <v>223</v>
      </c>
      <c r="C128" s="611">
        <v>2</v>
      </c>
      <c r="D128" s="611" t="s">
        <v>27</v>
      </c>
      <c r="E128" s="611">
        <v>6492.4965000000011</v>
      </c>
      <c r="F128" s="612">
        <v>12984.993000000002</v>
      </c>
      <c r="G128" s="608">
        <v>13275.402520294647</v>
      </c>
      <c r="H128" s="648"/>
      <c r="I128" s="648"/>
      <c r="J128" s="648"/>
    </row>
    <row r="129" spans="1:10" ht="45" outlineLevel="2" x14ac:dyDescent="0.25">
      <c r="A129" s="663" t="s">
        <v>918</v>
      </c>
      <c r="B129" s="676" t="s">
        <v>224</v>
      </c>
      <c r="C129" s="611">
        <v>36357.980400000008</v>
      </c>
      <c r="D129" s="611" t="s">
        <v>2</v>
      </c>
      <c r="E129" s="611">
        <v>40.000000000000007</v>
      </c>
      <c r="F129" s="612">
        <v>1454319.2160000005</v>
      </c>
      <c r="G129" s="608">
        <v>1486845.0822730006</v>
      </c>
      <c r="H129" s="648" t="s">
        <v>919</v>
      </c>
      <c r="I129" s="658"/>
      <c r="J129" s="658"/>
    </row>
    <row r="130" spans="1:10" ht="15.75" customHeight="1" x14ac:dyDescent="0.25">
      <c r="A130" s="650">
        <v>10</v>
      </c>
      <c r="B130" s="651" t="s">
        <v>171</v>
      </c>
      <c r="C130" s="609"/>
      <c r="D130" s="609"/>
      <c r="E130" s="609"/>
      <c r="F130" s="610">
        <v>13294460.019599998</v>
      </c>
      <c r="G130" s="610">
        <v>13591790.773406979</v>
      </c>
      <c r="H130" s="666"/>
      <c r="I130" s="666"/>
      <c r="J130" s="666"/>
    </row>
    <row r="131" spans="1:10" outlineLevel="1" x14ac:dyDescent="0.25">
      <c r="A131" s="659" t="s">
        <v>920</v>
      </c>
      <c r="B131" s="660" t="s">
        <v>921</v>
      </c>
      <c r="C131" s="615"/>
      <c r="D131" s="615"/>
      <c r="E131" s="615"/>
      <c r="F131" s="616">
        <v>5254757.9339999994</v>
      </c>
      <c r="G131" s="616">
        <v>5372280.6566443183</v>
      </c>
      <c r="H131" s="664"/>
      <c r="I131" s="664"/>
      <c r="J131" s="664"/>
    </row>
    <row r="132" spans="1:10" ht="14.45" customHeight="1" outlineLevel="2" x14ac:dyDescent="0.25">
      <c r="A132" s="678" t="s">
        <v>922</v>
      </c>
      <c r="B132" s="679" t="s">
        <v>923</v>
      </c>
      <c r="C132" s="680">
        <v>23613.360000000001</v>
      </c>
      <c r="D132" s="680" t="s">
        <v>2</v>
      </c>
      <c r="E132" s="680">
        <v>16.899999999999999</v>
      </c>
      <c r="F132" s="681">
        <v>399065.78399999999</v>
      </c>
      <c r="G132" s="682">
        <v>407990.89492593164</v>
      </c>
      <c r="H132" s="648" t="s">
        <v>924</v>
      </c>
      <c r="I132" s="652" t="s">
        <v>1076</v>
      </c>
      <c r="J132" s="652" t="s">
        <v>1077</v>
      </c>
    </row>
    <row r="133" spans="1:10" ht="15.75" customHeight="1" outlineLevel="2" x14ac:dyDescent="0.25">
      <c r="A133" s="663" t="s">
        <v>925</v>
      </c>
      <c r="B133" s="653" t="s">
        <v>926</v>
      </c>
      <c r="C133" s="611">
        <v>56411.909999999996</v>
      </c>
      <c r="D133" s="611" t="s">
        <v>2</v>
      </c>
      <c r="E133" s="611">
        <v>65</v>
      </c>
      <c r="F133" s="612">
        <v>3666774.1499999994</v>
      </c>
      <c r="G133" s="608">
        <v>3748781.5967448922</v>
      </c>
      <c r="H133" s="648" t="s">
        <v>927</v>
      </c>
      <c r="I133" s="648"/>
      <c r="J133" s="648"/>
    </row>
    <row r="134" spans="1:10" ht="15.75" customHeight="1" outlineLevel="2" x14ac:dyDescent="0.25">
      <c r="A134" s="678" t="s">
        <v>928</v>
      </c>
      <c r="B134" s="679" t="s">
        <v>176</v>
      </c>
      <c r="C134" s="680">
        <v>44415.56</v>
      </c>
      <c r="D134" s="680" t="s">
        <v>2</v>
      </c>
      <c r="E134" s="680">
        <v>25</v>
      </c>
      <c r="F134" s="681">
        <v>1110389</v>
      </c>
      <c r="G134" s="682">
        <v>1135222.8629701571</v>
      </c>
      <c r="H134" s="648" t="s">
        <v>929</v>
      </c>
      <c r="I134" s="1145" t="s">
        <v>1078</v>
      </c>
      <c r="J134" s="1145" t="s">
        <v>1079</v>
      </c>
    </row>
    <row r="135" spans="1:10" ht="33" customHeight="1" outlineLevel="2" x14ac:dyDescent="0.25">
      <c r="A135" s="663" t="s">
        <v>930</v>
      </c>
      <c r="B135" s="653" t="s">
        <v>931</v>
      </c>
      <c r="C135" s="611">
        <v>1570.58</v>
      </c>
      <c r="D135" s="622" t="s">
        <v>2</v>
      </c>
      <c r="E135" s="611">
        <v>50</v>
      </c>
      <c r="F135" s="612">
        <v>78529</v>
      </c>
      <c r="G135" s="608">
        <v>80285.302003337099</v>
      </c>
      <c r="H135" s="649"/>
      <c r="I135" s="1146"/>
      <c r="J135" s="1146"/>
    </row>
    <row r="136" spans="1:10" outlineLevel="1" x14ac:dyDescent="0.25">
      <c r="A136" s="659" t="s">
        <v>932</v>
      </c>
      <c r="B136" s="660" t="s">
        <v>933</v>
      </c>
      <c r="C136" s="615"/>
      <c r="D136" s="615"/>
      <c r="E136" s="615"/>
      <c r="F136" s="616">
        <v>8039702.0855999989</v>
      </c>
      <c r="G136" s="616">
        <v>8219510.1167626614</v>
      </c>
      <c r="H136" s="674"/>
      <c r="I136" s="674"/>
      <c r="J136" s="674"/>
    </row>
    <row r="137" spans="1:10" ht="15.75" customHeight="1" outlineLevel="2" x14ac:dyDescent="0.25">
      <c r="A137" s="663" t="s">
        <v>934</v>
      </c>
      <c r="B137" s="653" t="s">
        <v>177</v>
      </c>
      <c r="C137" s="611">
        <v>147280.28639999998</v>
      </c>
      <c r="D137" s="611" t="s">
        <v>2</v>
      </c>
      <c r="E137" s="611">
        <v>6</v>
      </c>
      <c r="F137" s="612">
        <v>883681.7183999999</v>
      </c>
      <c r="G137" s="608">
        <v>903445.27036600339</v>
      </c>
      <c r="H137" s="648" t="s">
        <v>935</v>
      </c>
      <c r="I137" s="652"/>
      <c r="J137" s="652"/>
    </row>
    <row r="138" spans="1:10" ht="15.75" customHeight="1" outlineLevel="2" x14ac:dyDescent="0.25">
      <c r="A138" s="663" t="s">
        <v>936</v>
      </c>
      <c r="B138" s="653" t="s">
        <v>178</v>
      </c>
      <c r="C138" s="611">
        <v>147280.28639999998</v>
      </c>
      <c r="D138" s="611" t="s">
        <v>2</v>
      </c>
      <c r="E138" s="611">
        <v>48</v>
      </c>
      <c r="F138" s="612">
        <v>7069453.7471999992</v>
      </c>
      <c r="G138" s="608">
        <v>7227562.1629280271</v>
      </c>
      <c r="H138" s="648" t="s">
        <v>935</v>
      </c>
      <c r="I138" s="648"/>
      <c r="J138" s="648"/>
    </row>
    <row r="139" spans="1:10" ht="15.75" customHeight="1" outlineLevel="2" x14ac:dyDescent="0.25">
      <c r="A139" s="663" t="s">
        <v>937</v>
      </c>
      <c r="B139" s="653" t="s">
        <v>182</v>
      </c>
      <c r="C139" s="611">
        <v>1</v>
      </c>
      <c r="D139" s="611" t="s">
        <v>27</v>
      </c>
      <c r="E139" s="611">
        <v>86566.620000000024</v>
      </c>
      <c r="F139" s="612">
        <v>86566.620000000024</v>
      </c>
      <c r="G139" s="608">
        <v>88502.683468630989</v>
      </c>
      <c r="H139" s="648" t="s">
        <v>938</v>
      </c>
      <c r="I139" s="658"/>
      <c r="J139" s="658"/>
    </row>
    <row r="140" spans="1:10" ht="15.75" customHeight="1" x14ac:dyDescent="0.25">
      <c r="A140" s="650">
        <v>11</v>
      </c>
      <c r="B140" s="651" t="s">
        <v>185</v>
      </c>
      <c r="C140" s="609"/>
      <c r="D140" s="609"/>
      <c r="E140" s="609"/>
      <c r="F140" s="610">
        <v>18415086.967500001</v>
      </c>
      <c r="G140" s="610">
        <v>18826940.602878615</v>
      </c>
      <c r="H140" s="666" t="s">
        <v>829</v>
      </c>
      <c r="I140" s="666"/>
      <c r="J140" s="666"/>
    </row>
    <row r="141" spans="1:10" ht="15" customHeight="1" outlineLevel="1" x14ac:dyDescent="0.25">
      <c r="A141" s="659" t="s">
        <v>939</v>
      </c>
      <c r="B141" s="660" t="s">
        <v>723</v>
      </c>
      <c r="C141" s="615"/>
      <c r="D141" s="615"/>
      <c r="E141" s="615"/>
      <c r="F141" s="616">
        <v>14294152.558000002</v>
      </c>
      <c r="G141" s="616">
        <v>14613841.447118944</v>
      </c>
      <c r="H141" s="664"/>
      <c r="I141" s="664"/>
      <c r="J141" s="664"/>
    </row>
    <row r="142" spans="1:10" ht="15" customHeight="1" outlineLevel="2" x14ac:dyDescent="0.25">
      <c r="A142" s="663" t="s">
        <v>940</v>
      </c>
      <c r="B142" s="653" t="s">
        <v>941</v>
      </c>
      <c r="C142" s="619">
        <v>23984.78</v>
      </c>
      <c r="D142" s="619" t="s">
        <v>187</v>
      </c>
      <c r="E142" s="619">
        <v>124.49999999999999</v>
      </c>
      <c r="F142" s="620">
        <v>2986105.1099999994</v>
      </c>
      <c r="G142" s="608">
        <v>3052889.385705384</v>
      </c>
      <c r="H142" s="671" t="s">
        <v>942</v>
      </c>
      <c r="I142" s="672"/>
      <c r="J142" s="672"/>
    </row>
    <row r="143" spans="1:10" ht="15" customHeight="1" outlineLevel="2" x14ac:dyDescent="0.25">
      <c r="A143" s="663" t="s">
        <v>943</v>
      </c>
      <c r="B143" s="653" t="s">
        <v>944</v>
      </c>
      <c r="C143" s="619">
        <v>2669.39</v>
      </c>
      <c r="D143" s="619" t="s">
        <v>187</v>
      </c>
      <c r="E143" s="619">
        <v>227.99999999999997</v>
      </c>
      <c r="F143" s="620">
        <v>608620.91999999993</v>
      </c>
      <c r="G143" s="608">
        <v>622232.73399315996</v>
      </c>
      <c r="H143" s="671" t="s">
        <v>945</v>
      </c>
      <c r="I143" s="671"/>
      <c r="J143" s="671"/>
    </row>
    <row r="144" spans="1:10" ht="15" customHeight="1" outlineLevel="2" x14ac:dyDescent="0.25">
      <c r="A144" s="663" t="s">
        <v>946</v>
      </c>
      <c r="B144" s="653" t="s">
        <v>947</v>
      </c>
      <c r="C144" s="619">
        <v>746.96</v>
      </c>
      <c r="D144" s="619" t="s">
        <v>187</v>
      </c>
      <c r="E144" s="619">
        <v>173.95</v>
      </c>
      <c r="F144" s="620">
        <v>129933.692</v>
      </c>
      <c r="G144" s="608">
        <v>132839.66054105599</v>
      </c>
      <c r="H144" s="671"/>
      <c r="I144" s="671"/>
      <c r="J144" s="671"/>
    </row>
    <row r="145" spans="1:12" ht="15" customHeight="1" outlineLevel="2" x14ac:dyDescent="0.25">
      <c r="A145" s="663" t="s">
        <v>948</v>
      </c>
      <c r="B145" s="653" t="s">
        <v>949</v>
      </c>
      <c r="C145" s="619">
        <v>13622.57</v>
      </c>
      <c r="D145" s="619" t="s">
        <v>187</v>
      </c>
      <c r="E145" s="619">
        <v>250</v>
      </c>
      <c r="F145" s="620">
        <v>3405642.5</v>
      </c>
      <c r="G145" s="608">
        <v>3481809.7343389061</v>
      </c>
      <c r="H145" s="671" t="s">
        <v>950</v>
      </c>
      <c r="I145" s="671"/>
      <c r="J145" s="671"/>
    </row>
    <row r="146" spans="1:12" ht="15" customHeight="1" outlineLevel="2" x14ac:dyDescent="0.25">
      <c r="A146" s="663" t="s">
        <v>951</v>
      </c>
      <c r="B146" s="653" t="s">
        <v>952</v>
      </c>
      <c r="C146" s="619">
        <v>7116.1900000000005</v>
      </c>
      <c r="D146" s="619" t="s">
        <v>2</v>
      </c>
      <c r="E146" s="619">
        <v>45</v>
      </c>
      <c r="F146" s="620">
        <v>320228.55000000005</v>
      </c>
      <c r="G146" s="608">
        <v>327390.46526558005</v>
      </c>
      <c r="H146" s="671" t="s">
        <v>953</v>
      </c>
      <c r="I146" s="671"/>
      <c r="J146" s="671"/>
    </row>
    <row r="147" spans="1:12" ht="15" customHeight="1" outlineLevel="2" x14ac:dyDescent="0.25">
      <c r="A147" s="663" t="s">
        <v>954</v>
      </c>
      <c r="B147" s="653" t="s">
        <v>955</v>
      </c>
      <c r="C147" s="619">
        <v>1727.28</v>
      </c>
      <c r="D147" s="619" t="s">
        <v>2</v>
      </c>
      <c r="E147" s="619">
        <v>45.000000000000007</v>
      </c>
      <c r="F147" s="620">
        <v>77727.600000000006</v>
      </c>
      <c r="G147" s="608">
        <v>79465.978682965331</v>
      </c>
      <c r="H147" s="683"/>
      <c r="I147" s="683"/>
      <c r="J147" s="683"/>
    </row>
    <row r="148" spans="1:12" ht="15" customHeight="1" outlineLevel="2" x14ac:dyDescent="0.25">
      <c r="A148" s="663" t="s">
        <v>956</v>
      </c>
      <c r="B148" s="653" t="s">
        <v>190</v>
      </c>
      <c r="C148" s="619">
        <v>474.98</v>
      </c>
      <c r="D148" s="619" t="s">
        <v>187</v>
      </c>
      <c r="E148" s="619">
        <v>68.799999999999983</v>
      </c>
      <c r="F148" s="620">
        <v>32678.623999999996</v>
      </c>
      <c r="G148" s="608">
        <v>33409.481807911718</v>
      </c>
      <c r="H148" s="671" t="s">
        <v>957</v>
      </c>
      <c r="I148" s="671"/>
      <c r="J148" s="671"/>
    </row>
    <row r="149" spans="1:12" ht="15" customHeight="1" outlineLevel="2" x14ac:dyDescent="0.25">
      <c r="A149" s="663" t="s">
        <v>958</v>
      </c>
      <c r="B149" s="653" t="s">
        <v>959</v>
      </c>
      <c r="C149" s="619">
        <v>1398.95</v>
      </c>
      <c r="D149" s="619" t="s">
        <v>187</v>
      </c>
      <c r="E149" s="619">
        <v>193.99999999999997</v>
      </c>
      <c r="F149" s="620">
        <v>271396.3</v>
      </c>
      <c r="G149" s="608">
        <v>277466.08142327389</v>
      </c>
      <c r="H149" s="671" t="s">
        <v>957</v>
      </c>
      <c r="I149" s="671"/>
      <c r="J149" s="671"/>
    </row>
    <row r="150" spans="1:12" ht="15" customHeight="1" outlineLevel="2" x14ac:dyDescent="0.25">
      <c r="A150" s="663" t="s">
        <v>960</v>
      </c>
      <c r="B150" s="653" t="s">
        <v>961</v>
      </c>
      <c r="C150" s="619">
        <v>3322.35</v>
      </c>
      <c r="D150" s="619" t="s">
        <v>187</v>
      </c>
      <c r="E150" s="619">
        <v>135</v>
      </c>
      <c r="F150" s="620">
        <v>448517.25</v>
      </c>
      <c r="G150" s="608">
        <v>458548.34354131907</v>
      </c>
      <c r="H150" s="671" t="s">
        <v>962</v>
      </c>
      <c r="I150" s="671"/>
      <c r="J150" s="671"/>
    </row>
    <row r="151" spans="1:12" ht="15" customHeight="1" outlineLevel="2" x14ac:dyDescent="0.25">
      <c r="A151" s="663" t="s">
        <v>963</v>
      </c>
      <c r="B151" s="653" t="s">
        <v>964</v>
      </c>
      <c r="C151" s="619">
        <v>482.46</v>
      </c>
      <c r="D151" s="619" t="s">
        <v>187</v>
      </c>
      <c r="E151" s="619">
        <v>229.99999999999997</v>
      </c>
      <c r="F151" s="620">
        <v>110965.79999999999</v>
      </c>
      <c r="G151" s="608">
        <v>113447.55141466086</v>
      </c>
      <c r="H151" s="671" t="s">
        <v>965</v>
      </c>
      <c r="I151" s="671"/>
      <c r="J151" s="671"/>
    </row>
    <row r="152" spans="1:12" ht="15" customHeight="1" outlineLevel="2" x14ac:dyDescent="0.25">
      <c r="A152" s="663" t="s">
        <v>966</v>
      </c>
      <c r="B152" s="653" t="s">
        <v>967</v>
      </c>
      <c r="C152" s="619">
        <v>866</v>
      </c>
      <c r="D152" s="619" t="s">
        <v>187</v>
      </c>
      <c r="E152" s="619">
        <v>300</v>
      </c>
      <c r="F152" s="620">
        <v>259800</v>
      </c>
      <c r="G152" s="608">
        <v>265610.43003816396</v>
      </c>
      <c r="H152" s="683"/>
      <c r="I152" s="683"/>
      <c r="J152" s="683"/>
    </row>
    <row r="153" spans="1:12" ht="15" customHeight="1" outlineLevel="2" x14ac:dyDescent="0.25">
      <c r="A153" s="663" t="s">
        <v>968</v>
      </c>
      <c r="B153" s="653" t="s">
        <v>969</v>
      </c>
      <c r="C153" s="619">
        <v>2754.1600000000003</v>
      </c>
      <c r="D153" s="619" t="s">
        <v>187</v>
      </c>
      <c r="E153" s="619">
        <v>144</v>
      </c>
      <c r="F153" s="620">
        <v>396599.04000000004</v>
      </c>
      <c r="G153" s="608">
        <v>405468.98216752498</v>
      </c>
      <c r="H153" s="671" t="s">
        <v>970</v>
      </c>
      <c r="I153" s="671"/>
      <c r="J153" s="671"/>
    </row>
    <row r="154" spans="1:12" ht="15" customHeight="1" outlineLevel="2" x14ac:dyDescent="0.25">
      <c r="A154" s="663" t="s">
        <v>971</v>
      </c>
      <c r="B154" s="653" t="s">
        <v>972</v>
      </c>
      <c r="C154" s="619">
        <v>1</v>
      </c>
      <c r="D154" s="619" t="s">
        <v>27</v>
      </c>
      <c r="E154" s="619">
        <v>4328331.0000000019</v>
      </c>
      <c r="F154" s="620">
        <v>4328331.0000000019</v>
      </c>
      <c r="G154" s="608">
        <v>4425134.1734315502</v>
      </c>
      <c r="H154" s="683"/>
      <c r="I154" s="683"/>
      <c r="J154" s="683"/>
    </row>
    <row r="155" spans="1:12" ht="15.75" customHeight="1" outlineLevel="2" x14ac:dyDescent="0.25">
      <c r="A155" s="663" t="s">
        <v>973</v>
      </c>
      <c r="B155" s="653" t="s">
        <v>191</v>
      </c>
      <c r="C155" s="619">
        <v>1</v>
      </c>
      <c r="D155" s="619" t="s">
        <v>27</v>
      </c>
      <c r="E155" s="619">
        <v>917606.17200000025</v>
      </c>
      <c r="F155" s="620">
        <v>917606.17200000025</v>
      </c>
      <c r="G155" s="608">
        <v>938128.44476748852</v>
      </c>
      <c r="H155" s="683"/>
      <c r="I155" s="684"/>
      <c r="J155" s="684"/>
    </row>
    <row r="156" spans="1:12" ht="14.45" customHeight="1" outlineLevel="1" x14ac:dyDescent="0.25">
      <c r="A156" s="659" t="s">
        <v>974</v>
      </c>
      <c r="B156" s="660" t="s">
        <v>975</v>
      </c>
      <c r="C156" s="615"/>
      <c r="D156" s="615"/>
      <c r="E156" s="615"/>
      <c r="F156" s="616">
        <v>4120934.4095000001</v>
      </c>
      <c r="G156" s="616">
        <v>4213099.1557596698</v>
      </c>
      <c r="H156" s="664"/>
      <c r="I156" s="664"/>
      <c r="J156" s="664"/>
    </row>
    <row r="157" spans="1:12" ht="15.75" customHeight="1" outlineLevel="2" x14ac:dyDescent="0.25">
      <c r="A157" s="663" t="s">
        <v>976</v>
      </c>
      <c r="B157" s="653" t="s">
        <v>977</v>
      </c>
      <c r="C157" s="619">
        <v>894.66</v>
      </c>
      <c r="D157" s="619" t="s">
        <v>187</v>
      </c>
      <c r="E157" s="619">
        <v>124.5</v>
      </c>
      <c r="F157" s="620">
        <v>111385.17</v>
      </c>
      <c r="G157" s="608">
        <v>113876.30062961509</v>
      </c>
      <c r="H157" s="671" t="s">
        <v>978</v>
      </c>
      <c r="I157" s="672"/>
      <c r="J157" s="672"/>
    </row>
    <row r="158" spans="1:12" ht="15.75" customHeight="1" outlineLevel="2" x14ac:dyDescent="0.25">
      <c r="A158" s="663" t="s">
        <v>979</v>
      </c>
      <c r="B158" s="653" t="s">
        <v>980</v>
      </c>
      <c r="C158" s="619">
        <v>23050.010000000002</v>
      </c>
      <c r="D158" s="619" t="s">
        <v>187</v>
      </c>
      <c r="E158" s="619">
        <v>173.95</v>
      </c>
      <c r="F158" s="620">
        <v>4009549.2395000001</v>
      </c>
      <c r="G158" s="608">
        <v>4099222.855130055</v>
      </c>
      <c r="H158" s="671" t="s">
        <v>978</v>
      </c>
      <c r="I158" s="675"/>
      <c r="J158" s="675"/>
    </row>
    <row r="159" spans="1:12" ht="15.75" customHeight="1" x14ac:dyDescent="0.25">
      <c r="A159" s="650">
        <v>12</v>
      </c>
      <c r="B159" s="651" t="s">
        <v>553</v>
      </c>
      <c r="C159" s="609"/>
      <c r="D159" s="609"/>
      <c r="E159" s="609"/>
      <c r="F159" s="610">
        <v>5942681.7870000005</v>
      </c>
      <c r="G159" s="610">
        <v>6075589.9346614126</v>
      </c>
      <c r="H159" s="666" t="s">
        <v>829</v>
      </c>
      <c r="I159" s="666"/>
      <c r="J159" s="666"/>
      <c r="K159" s="702">
        <v>86566.62</v>
      </c>
      <c r="L159" s="587" t="s">
        <v>8</v>
      </c>
    </row>
    <row r="160" spans="1:12" ht="15" customHeight="1" outlineLevel="1" x14ac:dyDescent="0.25">
      <c r="A160" s="659" t="s">
        <v>981</v>
      </c>
      <c r="B160" s="660" t="s">
        <v>982</v>
      </c>
      <c r="C160" s="615"/>
      <c r="D160" s="615"/>
      <c r="E160" s="615"/>
      <c r="F160" s="616">
        <v>5942681.7870000005</v>
      </c>
      <c r="G160" s="616">
        <v>6075589.9346614126</v>
      </c>
      <c r="H160" s="664"/>
      <c r="I160" s="664"/>
      <c r="J160" s="664"/>
      <c r="K160" s="702">
        <f>G156/K159</f>
        <v>48.668865155641633</v>
      </c>
      <c r="L160" s="587"/>
    </row>
    <row r="161" spans="1:12" ht="15.75" customHeight="1" outlineLevel="2" x14ac:dyDescent="0.25">
      <c r="A161" s="663" t="s">
        <v>983</v>
      </c>
      <c r="B161" s="653" t="s">
        <v>984</v>
      </c>
      <c r="C161" s="619">
        <v>32302.028000000002</v>
      </c>
      <c r="D161" s="619" t="s">
        <v>2</v>
      </c>
      <c r="E161" s="619">
        <v>99.999999999999986</v>
      </c>
      <c r="F161" s="620">
        <v>3230202.8</v>
      </c>
      <c r="G161" s="608">
        <v>3302446.3233967717</v>
      </c>
      <c r="H161" s="671" t="s">
        <v>985</v>
      </c>
      <c r="I161" s="672"/>
      <c r="J161" s="672"/>
      <c r="K161" s="702"/>
      <c r="L161" s="587"/>
    </row>
    <row r="162" spans="1:12" ht="15.75" customHeight="1" outlineLevel="2" x14ac:dyDescent="0.25">
      <c r="A162" s="663" t="s">
        <v>986</v>
      </c>
      <c r="B162" s="653" t="s">
        <v>987</v>
      </c>
      <c r="C162" s="619">
        <v>8075.5070000000005</v>
      </c>
      <c r="D162" s="619" t="s">
        <v>2</v>
      </c>
      <c r="E162" s="619">
        <v>120</v>
      </c>
      <c r="F162" s="620">
        <v>969060.84000000008</v>
      </c>
      <c r="G162" s="608">
        <v>990733.89701903157</v>
      </c>
      <c r="H162" s="671" t="s">
        <v>988</v>
      </c>
      <c r="I162" s="671"/>
      <c r="J162" s="671"/>
      <c r="K162" s="702">
        <f>20*25</f>
        <v>500</v>
      </c>
      <c r="L162" s="587" t="s">
        <v>1058</v>
      </c>
    </row>
    <row r="163" spans="1:12" ht="15.75" customHeight="1" outlineLevel="2" x14ac:dyDescent="0.25">
      <c r="A163" s="663" t="s">
        <v>989</v>
      </c>
      <c r="B163" s="653" t="s">
        <v>181</v>
      </c>
      <c r="C163" s="619">
        <v>44415.28850000001</v>
      </c>
      <c r="D163" s="619" t="s">
        <v>4</v>
      </c>
      <c r="E163" s="619">
        <v>21.999999999999996</v>
      </c>
      <c r="F163" s="620">
        <v>977136.34700000007</v>
      </c>
      <c r="G163" s="608">
        <v>998990.01282752352</v>
      </c>
      <c r="H163" s="671"/>
      <c r="I163" s="671"/>
      <c r="J163" s="671"/>
      <c r="K163" s="702">
        <f>G156/K162</f>
        <v>8426.1983115193398</v>
      </c>
      <c r="L163" s="587"/>
    </row>
    <row r="164" spans="1:12" ht="15.75" customHeight="1" outlineLevel="2" x14ac:dyDescent="0.25">
      <c r="A164" s="663" t="s">
        <v>990</v>
      </c>
      <c r="B164" s="653" t="s">
        <v>182</v>
      </c>
      <c r="C164" s="619">
        <v>38314.090000000026</v>
      </c>
      <c r="D164" s="619" t="s">
        <v>2</v>
      </c>
      <c r="E164" s="619">
        <v>20.000000000000004</v>
      </c>
      <c r="F164" s="620">
        <v>766281.80000000063</v>
      </c>
      <c r="G164" s="608">
        <v>783419.70141808514</v>
      </c>
      <c r="H164" s="671" t="s">
        <v>991</v>
      </c>
      <c r="I164" s="675"/>
      <c r="J164" s="675"/>
    </row>
    <row r="165" spans="1:12" ht="15.75" customHeight="1" x14ac:dyDescent="0.25">
      <c r="A165" s="650">
        <v>13</v>
      </c>
      <c r="B165" s="651" t="s">
        <v>554</v>
      </c>
      <c r="C165" s="609"/>
      <c r="D165" s="609"/>
      <c r="E165" s="609"/>
      <c r="F165" s="610">
        <v>10081785.718799999</v>
      </c>
      <c r="G165" s="610">
        <v>10307264.9742998</v>
      </c>
      <c r="H165" s="666" t="s">
        <v>829</v>
      </c>
      <c r="I165" s="666"/>
      <c r="J165" s="666"/>
    </row>
    <row r="166" spans="1:12" ht="15" customHeight="1" outlineLevel="1" x14ac:dyDescent="0.25">
      <c r="A166" s="659" t="s">
        <v>992</v>
      </c>
      <c r="B166" s="660" t="s">
        <v>554</v>
      </c>
      <c r="C166" s="615"/>
      <c r="D166" s="615"/>
      <c r="E166" s="615"/>
      <c r="F166" s="616">
        <v>10081785.718799999</v>
      </c>
      <c r="G166" s="616">
        <v>10307264.9742998</v>
      </c>
      <c r="H166" s="664"/>
      <c r="I166" s="664"/>
      <c r="J166" s="664"/>
    </row>
    <row r="167" spans="1:12" ht="15.75" customHeight="1" outlineLevel="2" x14ac:dyDescent="0.25">
      <c r="A167" s="663" t="s">
        <v>993</v>
      </c>
      <c r="B167" s="676" t="s">
        <v>195</v>
      </c>
      <c r="C167" s="619">
        <v>22517.48</v>
      </c>
      <c r="D167" s="619" t="s">
        <v>196</v>
      </c>
      <c r="E167" s="619">
        <v>100</v>
      </c>
      <c r="F167" s="620">
        <v>2251748</v>
      </c>
      <c r="G167" s="608">
        <v>2302108.3703524852</v>
      </c>
      <c r="H167" s="671" t="s">
        <v>994</v>
      </c>
      <c r="I167" s="672"/>
      <c r="J167" s="672"/>
    </row>
    <row r="168" spans="1:12" ht="15.75" customHeight="1" outlineLevel="2" x14ac:dyDescent="0.25">
      <c r="A168" s="663" t="s">
        <v>995</v>
      </c>
      <c r="B168" s="676" t="s">
        <v>996</v>
      </c>
      <c r="C168" s="619">
        <v>4288.34</v>
      </c>
      <c r="D168" s="619" t="s">
        <v>196</v>
      </c>
      <c r="E168" s="619">
        <v>62</v>
      </c>
      <c r="F168" s="620">
        <v>265877.08</v>
      </c>
      <c r="G168" s="608">
        <v>271823.42400343082</v>
      </c>
      <c r="H168" s="671" t="s">
        <v>997</v>
      </c>
      <c r="I168" s="671"/>
      <c r="J168" s="671"/>
    </row>
    <row r="169" spans="1:12" ht="15.75" customHeight="1" outlineLevel="2" x14ac:dyDescent="0.25">
      <c r="A169" s="663" t="s">
        <v>998</v>
      </c>
      <c r="B169" s="676" t="s">
        <v>999</v>
      </c>
      <c r="C169" s="619">
        <v>123335.6164</v>
      </c>
      <c r="D169" s="619" t="s">
        <v>196</v>
      </c>
      <c r="E169" s="619">
        <v>59.999999999999993</v>
      </c>
      <c r="F169" s="620">
        <v>7400136.9839999992</v>
      </c>
      <c r="G169" s="608">
        <v>7565641.1341861486</v>
      </c>
      <c r="H169" s="671" t="s">
        <v>1000</v>
      </c>
      <c r="I169" s="671"/>
      <c r="J169" s="671"/>
    </row>
    <row r="170" spans="1:12" ht="15.75" customHeight="1" outlineLevel="2" x14ac:dyDescent="0.25">
      <c r="A170" s="663" t="s">
        <v>1001</v>
      </c>
      <c r="B170" s="676" t="s">
        <v>1002</v>
      </c>
      <c r="C170" s="619">
        <v>3814.5036</v>
      </c>
      <c r="D170" s="619" t="s">
        <v>196</v>
      </c>
      <c r="E170" s="619">
        <v>43</v>
      </c>
      <c r="F170" s="620">
        <v>164023.65479999999</v>
      </c>
      <c r="G170" s="608">
        <v>167692.04575773422</v>
      </c>
      <c r="H170" s="671" t="s">
        <v>1003</v>
      </c>
      <c r="I170" s="675"/>
      <c r="J170" s="675"/>
      <c r="K170" s="701">
        <f>G170/86566.62</f>
        <v>1.9371444300093295</v>
      </c>
    </row>
    <row r="171" spans="1:12" ht="15.75" customHeight="1" x14ac:dyDescent="0.25">
      <c r="A171" s="650">
        <v>14</v>
      </c>
      <c r="B171" s="651" t="s">
        <v>207</v>
      </c>
      <c r="C171" s="609"/>
      <c r="D171" s="609"/>
      <c r="E171" s="609"/>
      <c r="F171" s="610">
        <v>31409911.720000003</v>
      </c>
      <c r="G171" s="610">
        <v>32112394.762932889</v>
      </c>
      <c r="H171" s="666"/>
      <c r="I171" s="666"/>
      <c r="J171" s="666"/>
    </row>
    <row r="172" spans="1:12" ht="15" customHeight="1" outlineLevel="1" x14ac:dyDescent="0.25">
      <c r="A172" s="659" t="s">
        <v>1004</v>
      </c>
      <c r="B172" s="660" t="s">
        <v>541</v>
      </c>
      <c r="C172" s="615"/>
      <c r="D172" s="615"/>
      <c r="E172" s="615"/>
      <c r="F172" s="616">
        <v>24116545.800000001</v>
      </c>
      <c r="G172" s="616">
        <v>24655912.628841709</v>
      </c>
      <c r="H172" s="664"/>
      <c r="I172" s="664"/>
      <c r="J172" s="664"/>
    </row>
    <row r="173" spans="1:12" ht="15.75" customHeight="1" outlineLevel="2" x14ac:dyDescent="0.25">
      <c r="A173" s="663" t="s">
        <v>1005</v>
      </c>
      <c r="B173" s="676" t="s">
        <v>208</v>
      </c>
      <c r="C173" s="619">
        <v>5160.55</v>
      </c>
      <c r="D173" s="619" t="s">
        <v>2</v>
      </c>
      <c r="E173" s="619">
        <v>1200</v>
      </c>
      <c r="F173" s="620">
        <v>6192660</v>
      </c>
      <c r="G173" s="608">
        <v>6331158.9133184617</v>
      </c>
      <c r="H173" s="671" t="s">
        <v>1006</v>
      </c>
      <c r="I173" s="672" t="s">
        <v>1080</v>
      </c>
      <c r="J173" s="1147" t="s">
        <v>1081</v>
      </c>
    </row>
    <row r="174" spans="1:12" ht="15.75" customHeight="1" outlineLevel="2" x14ac:dyDescent="0.25">
      <c r="A174" s="663" t="s">
        <v>1007</v>
      </c>
      <c r="B174" s="676" t="s">
        <v>1008</v>
      </c>
      <c r="C174" s="619">
        <v>8316.9599999999991</v>
      </c>
      <c r="D174" s="619" t="s">
        <v>2</v>
      </c>
      <c r="E174" s="619">
        <v>1000</v>
      </c>
      <c r="F174" s="620">
        <v>8316959.9999999991</v>
      </c>
      <c r="G174" s="608">
        <v>8502968.9076605383</v>
      </c>
      <c r="H174" s="671"/>
      <c r="I174" s="672" t="s">
        <v>1080</v>
      </c>
      <c r="J174" s="1148"/>
    </row>
    <row r="175" spans="1:12" ht="15.75" customHeight="1" outlineLevel="2" x14ac:dyDescent="0.25">
      <c r="A175" s="663" t="s">
        <v>1009</v>
      </c>
      <c r="B175" s="676" t="s">
        <v>1010</v>
      </c>
      <c r="C175" s="619">
        <v>9101.51</v>
      </c>
      <c r="D175" s="619" t="s">
        <v>2</v>
      </c>
      <c r="E175" s="619">
        <v>1000</v>
      </c>
      <c r="F175" s="620">
        <v>9101510</v>
      </c>
      <c r="G175" s="608">
        <v>9305065.3775852565</v>
      </c>
      <c r="H175" s="671" t="s">
        <v>1011</v>
      </c>
      <c r="I175" s="671"/>
      <c r="J175" s="671"/>
    </row>
    <row r="176" spans="1:12" ht="15.75" customHeight="1" outlineLevel="2" x14ac:dyDescent="0.25">
      <c r="A176" s="663" t="s">
        <v>1012</v>
      </c>
      <c r="B176" s="676" t="s">
        <v>1013</v>
      </c>
      <c r="C176" s="619">
        <v>14713.86</v>
      </c>
      <c r="D176" s="619" t="s">
        <v>4</v>
      </c>
      <c r="E176" s="619">
        <v>30.000000000000004</v>
      </c>
      <c r="F176" s="620">
        <v>441415.80000000005</v>
      </c>
      <c r="G176" s="608">
        <v>451288.06952902302</v>
      </c>
      <c r="H176" s="671" t="s">
        <v>1014</v>
      </c>
      <c r="I176" s="671"/>
      <c r="J176" s="671"/>
    </row>
    <row r="177" spans="1:10" ht="15" customHeight="1" outlineLevel="2" x14ac:dyDescent="0.25">
      <c r="A177" s="663" t="s">
        <v>1015</v>
      </c>
      <c r="B177" s="676" t="s">
        <v>213</v>
      </c>
      <c r="C177" s="619">
        <v>4</v>
      </c>
      <c r="D177" s="619" t="s">
        <v>3</v>
      </c>
      <c r="E177" s="619">
        <v>16000</v>
      </c>
      <c r="F177" s="620">
        <v>64000</v>
      </c>
      <c r="G177" s="608">
        <v>65431.360748431456</v>
      </c>
      <c r="H177" s="683"/>
      <c r="I177" s="684"/>
      <c r="J177" s="684"/>
    </row>
    <row r="178" spans="1:10" ht="15" customHeight="1" outlineLevel="1" x14ac:dyDescent="0.25">
      <c r="A178" s="659" t="s">
        <v>1016</v>
      </c>
      <c r="B178" s="660" t="s">
        <v>1017</v>
      </c>
      <c r="C178" s="615"/>
      <c r="D178" s="615"/>
      <c r="E178" s="615"/>
      <c r="F178" s="616">
        <v>1869815.9200000004</v>
      </c>
      <c r="G178" s="616">
        <v>1911634.3749168795</v>
      </c>
      <c r="H178" s="664"/>
      <c r="I178" s="664"/>
      <c r="J178" s="664"/>
    </row>
    <row r="179" spans="1:10" ht="15.75" customHeight="1" outlineLevel="2" x14ac:dyDescent="0.25">
      <c r="A179" s="663" t="s">
        <v>1018</v>
      </c>
      <c r="B179" s="676" t="s">
        <v>1019</v>
      </c>
      <c r="C179" s="619">
        <v>277</v>
      </c>
      <c r="D179" s="619" t="s">
        <v>3</v>
      </c>
      <c r="E179" s="619">
        <v>1750</v>
      </c>
      <c r="F179" s="620">
        <v>484750</v>
      </c>
      <c r="G179" s="608">
        <v>495591.43941878359</v>
      </c>
      <c r="H179" s="683"/>
      <c r="I179" s="685"/>
      <c r="J179" s="685"/>
    </row>
    <row r="180" spans="1:10" ht="15.75" customHeight="1" outlineLevel="2" x14ac:dyDescent="0.25">
      <c r="A180" s="663" t="s">
        <v>1020</v>
      </c>
      <c r="B180" s="676" t="s">
        <v>211</v>
      </c>
      <c r="C180" s="619">
        <v>1</v>
      </c>
      <c r="D180" s="619" t="s">
        <v>27</v>
      </c>
      <c r="E180" s="619">
        <v>1385065.9200000004</v>
      </c>
      <c r="F180" s="620">
        <v>1385065.9200000004</v>
      </c>
      <c r="G180" s="608">
        <v>1416042.9354980958</v>
      </c>
      <c r="H180" s="683"/>
      <c r="I180" s="684"/>
      <c r="J180" s="684"/>
    </row>
    <row r="181" spans="1:10" ht="15" customHeight="1" outlineLevel="1" x14ac:dyDescent="0.25">
      <c r="A181" s="659" t="s">
        <v>1021</v>
      </c>
      <c r="B181" s="660" t="s">
        <v>534</v>
      </c>
      <c r="C181" s="615"/>
      <c r="D181" s="615"/>
      <c r="E181" s="615"/>
      <c r="F181" s="616">
        <v>5423550</v>
      </c>
      <c r="G181" s="616">
        <v>5544847.7591743041</v>
      </c>
      <c r="H181" s="664"/>
      <c r="I181" s="664"/>
      <c r="J181" s="664"/>
    </row>
    <row r="182" spans="1:10" ht="15" customHeight="1" outlineLevel="2" x14ac:dyDescent="0.25">
      <c r="A182" s="663" t="s">
        <v>1022</v>
      </c>
      <c r="B182" s="676" t="s">
        <v>214</v>
      </c>
      <c r="C182" s="619">
        <v>3135</v>
      </c>
      <c r="D182" s="619" t="s">
        <v>3</v>
      </c>
      <c r="E182" s="619">
        <v>1730</v>
      </c>
      <c r="F182" s="620">
        <v>5423550</v>
      </c>
      <c r="G182" s="608">
        <v>5544847.7591743041</v>
      </c>
      <c r="H182" s="671" t="s">
        <v>1023</v>
      </c>
      <c r="I182" s="673"/>
      <c r="J182" s="673"/>
    </row>
    <row r="183" spans="1:10" ht="15" customHeight="1" outlineLevel="2" x14ac:dyDescent="0.25">
      <c r="A183" s="650">
        <v>15</v>
      </c>
      <c r="B183" s="651" t="s">
        <v>194</v>
      </c>
      <c r="C183" s="609"/>
      <c r="D183" s="609"/>
      <c r="E183" s="609"/>
      <c r="F183" s="610">
        <v>1306885.7</v>
      </c>
      <c r="G183" s="610">
        <v>1336114.213963537</v>
      </c>
      <c r="H183" s="666"/>
      <c r="I183" s="666"/>
      <c r="J183" s="666"/>
    </row>
    <row r="184" spans="1:10" ht="15" customHeight="1" outlineLevel="2" x14ac:dyDescent="0.25">
      <c r="A184" s="659" t="s">
        <v>1024</v>
      </c>
      <c r="B184" s="660" t="s">
        <v>194</v>
      </c>
      <c r="C184" s="615"/>
      <c r="D184" s="615"/>
      <c r="E184" s="615"/>
      <c r="F184" s="616">
        <v>1306885.7</v>
      </c>
      <c r="G184" s="616">
        <v>1336114.213963537</v>
      </c>
      <c r="H184" s="664"/>
      <c r="I184" s="664"/>
      <c r="J184" s="664"/>
    </row>
    <row r="185" spans="1:10" ht="75" outlineLevel="2" x14ac:dyDescent="0.25">
      <c r="A185" s="678" t="s">
        <v>1025</v>
      </c>
      <c r="B185" s="686" t="s">
        <v>1026</v>
      </c>
      <c r="C185" s="687">
        <v>1247.42</v>
      </c>
      <c r="D185" s="687" t="s">
        <v>2</v>
      </c>
      <c r="E185" s="687">
        <v>335</v>
      </c>
      <c r="F185" s="688">
        <v>417885.7</v>
      </c>
      <c r="G185" s="682">
        <v>427231.71856735635</v>
      </c>
      <c r="H185" s="689" t="s">
        <v>1027</v>
      </c>
      <c r="I185" s="690"/>
      <c r="J185" s="690" t="s">
        <v>1082</v>
      </c>
    </row>
    <row r="186" spans="1:10" ht="15" customHeight="1" outlineLevel="2" x14ac:dyDescent="0.25">
      <c r="A186" s="663" t="s">
        <v>1083</v>
      </c>
      <c r="B186" s="691" t="s">
        <v>1084</v>
      </c>
      <c r="C186" s="625">
        <v>1270</v>
      </c>
      <c r="D186" s="625" t="s">
        <v>2</v>
      </c>
      <c r="E186" s="623">
        <v>700</v>
      </c>
      <c r="F186" s="626">
        <v>889000</v>
      </c>
      <c r="G186" s="608">
        <v>908882.49539618078</v>
      </c>
      <c r="H186" s="692" t="s">
        <v>1085</v>
      </c>
      <c r="I186" s="692"/>
      <c r="J186" s="692"/>
    </row>
    <row r="187" spans="1:10" ht="15.75" customHeight="1" x14ac:dyDescent="0.25">
      <c r="A187" s="650">
        <v>16</v>
      </c>
      <c r="B187" s="651" t="s">
        <v>556</v>
      </c>
      <c r="C187" s="609"/>
      <c r="D187" s="609"/>
      <c r="E187" s="609"/>
      <c r="F187" s="610">
        <v>13443719.020000003</v>
      </c>
      <c r="G187" s="610">
        <v>13744387.953096401</v>
      </c>
      <c r="H187" s="666"/>
      <c r="I187" s="666"/>
      <c r="J187" s="666"/>
    </row>
    <row r="188" spans="1:10" ht="15" customHeight="1" outlineLevel="1" x14ac:dyDescent="0.25">
      <c r="A188" s="659" t="s">
        <v>1028</v>
      </c>
      <c r="B188" s="660" t="s">
        <v>1029</v>
      </c>
      <c r="C188" s="615"/>
      <c r="D188" s="615"/>
      <c r="E188" s="615"/>
      <c r="F188" s="616">
        <v>3758739.9200000009</v>
      </c>
      <c r="G188" s="616">
        <v>3842804.1822664132</v>
      </c>
      <c r="H188" s="664"/>
      <c r="I188" s="664"/>
      <c r="J188" s="664"/>
    </row>
    <row r="189" spans="1:10" outlineLevel="2" x14ac:dyDescent="0.25">
      <c r="A189" s="663" t="s">
        <v>1030</v>
      </c>
      <c r="B189" s="676" t="s">
        <v>1031</v>
      </c>
      <c r="C189" s="623">
        <v>57826.768000000011</v>
      </c>
      <c r="D189" s="623" t="s">
        <v>2</v>
      </c>
      <c r="E189" s="623">
        <v>65</v>
      </c>
      <c r="F189" s="624">
        <v>3758739.9200000009</v>
      </c>
      <c r="G189" s="608">
        <v>3842804.1822664132</v>
      </c>
      <c r="H189" s="693"/>
      <c r="I189" s="694"/>
      <c r="J189" s="694"/>
    </row>
    <row r="190" spans="1:10" ht="15" customHeight="1" outlineLevel="1" x14ac:dyDescent="0.25">
      <c r="A190" s="659" t="s">
        <v>1032</v>
      </c>
      <c r="B190" s="660" t="s">
        <v>1033</v>
      </c>
      <c r="C190" s="615"/>
      <c r="D190" s="615"/>
      <c r="E190" s="615"/>
      <c r="F190" s="616">
        <v>9684979.1000000015</v>
      </c>
      <c r="G190" s="616">
        <v>9901583.7708299868</v>
      </c>
      <c r="H190" s="664"/>
      <c r="I190" s="664"/>
      <c r="J190" s="664"/>
    </row>
    <row r="191" spans="1:10" outlineLevel="2" x14ac:dyDescent="0.25">
      <c r="A191" s="663" t="s">
        <v>1034</v>
      </c>
      <c r="B191" s="676" t="s">
        <v>1035</v>
      </c>
      <c r="C191" s="623">
        <v>37607.490000000005</v>
      </c>
      <c r="D191" s="623" t="s">
        <v>2</v>
      </c>
      <c r="E191" s="623">
        <v>150</v>
      </c>
      <c r="F191" s="624">
        <v>5641123.5000000009</v>
      </c>
      <c r="G191" s="608">
        <v>5767287.2930461615</v>
      </c>
      <c r="H191" s="693"/>
      <c r="I191" s="695"/>
      <c r="J191" s="695"/>
    </row>
    <row r="192" spans="1:10" outlineLevel="2" x14ac:dyDescent="0.25">
      <c r="A192" s="663" t="s">
        <v>1036</v>
      </c>
      <c r="B192" s="691" t="s">
        <v>1037</v>
      </c>
      <c r="C192" s="623">
        <v>20219.278000000002</v>
      </c>
      <c r="D192" s="625" t="s">
        <v>2</v>
      </c>
      <c r="E192" s="623">
        <v>200</v>
      </c>
      <c r="F192" s="624">
        <v>4043855.6000000006</v>
      </c>
      <c r="G192" s="608">
        <v>4134296.4777838248</v>
      </c>
      <c r="H192" s="694"/>
      <c r="I192" s="694"/>
      <c r="J192" s="694"/>
    </row>
    <row r="193" spans="1:10" ht="15.75" customHeight="1" x14ac:dyDescent="0.25">
      <c r="A193" s="650">
        <v>17</v>
      </c>
      <c r="B193" s="651" t="s">
        <v>271</v>
      </c>
      <c r="C193" s="609"/>
      <c r="D193" s="609"/>
      <c r="E193" s="609"/>
      <c r="F193" s="610">
        <v>19054424.385000002</v>
      </c>
      <c r="G193" s="610">
        <v>19480576.809197564</v>
      </c>
      <c r="H193" s="666"/>
      <c r="I193" s="666"/>
      <c r="J193" s="666"/>
    </row>
    <row r="194" spans="1:10" ht="15" customHeight="1" outlineLevel="1" x14ac:dyDescent="0.25">
      <c r="A194" s="659" t="s">
        <v>1038</v>
      </c>
      <c r="B194" s="660" t="s">
        <v>271</v>
      </c>
      <c r="C194" s="615"/>
      <c r="D194" s="615"/>
      <c r="E194" s="615"/>
      <c r="F194" s="616">
        <v>19054424.385000002</v>
      </c>
      <c r="G194" s="616">
        <v>19480576.809197564</v>
      </c>
      <c r="H194" s="664"/>
      <c r="I194" s="664"/>
      <c r="J194" s="664"/>
    </row>
    <row r="195" spans="1:10" ht="60" outlineLevel="2" x14ac:dyDescent="0.25">
      <c r="A195" s="663" t="s">
        <v>1039</v>
      </c>
      <c r="B195" s="676" t="s">
        <v>272</v>
      </c>
      <c r="C195" s="623">
        <v>1</v>
      </c>
      <c r="D195" s="623" t="s">
        <v>27</v>
      </c>
      <c r="E195" s="623">
        <v>9711784.375</v>
      </c>
      <c r="F195" s="624">
        <v>9711784.375</v>
      </c>
      <c r="G195" s="608">
        <v>9928988.5461188275</v>
      </c>
      <c r="H195" s="696" t="s">
        <v>1040</v>
      </c>
      <c r="I195" s="690"/>
      <c r="J195" s="690"/>
    </row>
    <row r="196" spans="1:10" outlineLevel="2" x14ac:dyDescent="0.25">
      <c r="A196" s="663" t="s">
        <v>1041</v>
      </c>
      <c r="B196" s="676" t="s">
        <v>273</v>
      </c>
      <c r="C196" s="623">
        <v>1</v>
      </c>
      <c r="D196" s="623" t="s">
        <v>27</v>
      </c>
      <c r="E196" s="623">
        <v>1731332.4000000004</v>
      </c>
      <c r="F196" s="624">
        <v>1731332.4000000004</v>
      </c>
      <c r="G196" s="608">
        <v>1770053.6693726196</v>
      </c>
      <c r="H196" s="696"/>
      <c r="I196" s="696"/>
      <c r="J196" s="696"/>
    </row>
    <row r="197" spans="1:10" ht="30" outlineLevel="2" x14ac:dyDescent="0.25">
      <c r="A197" s="663" t="s">
        <v>1042</v>
      </c>
      <c r="B197" s="676" t="s">
        <v>274</v>
      </c>
      <c r="C197" s="623">
        <v>1</v>
      </c>
      <c r="D197" s="623" t="s">
        <v>27</v>
      </c>
      <c r="E197" s="623">
        <v>2343208.02</v>
      </c>
      <c r="F197" s="624">
        <v>2343208.02</v>
      </c>
      <c r="G197" s="608">
        <v>2395613.8947693408</v>
      </c>
      <c r="H197" s="696" t="s">
        <v>1043</v>
      </c>
      <c r="I197" s="696"/>
      <c r="J197" s="696"/>
    </row>
    <row r="198" spans="1:10" ht="16.5" customHeight="1" outlineLevel="2" x14ac:dyDescent="0.25">
      <c r="A198" s="663" t="s">
        <v>1044</v>
      </c>
      <c r="B198" s="676" t="s">
        <v>1045</v>
      </c>
      <c r="C198" s="623">
        <v>1</v>
      </c>
      <c r="D198" s="623" t="s">
        <v>27</v>
      </c>
      <c r="E198" s="623">
        <v>1971707.8899999997</v>
      </c>
      <c r="F198" s="624">
        <v>1971707.8899999997</v>
      </c>
      <c r="G198" s="608">
        <v>2015805.160017478</v>
      </c>
      <c r="H198" s="696" t="s">
        <v>1046</v>
      </c>
      <c r="I198" s="696"/>
      <c r="J198" s="696"/>
    </row>
    <row r="199" spans="1:10" outlineLevel="2" x14ac:dyDescent="0.25">
      <c r="A199" s="663" t="s">
        <v>1047</v>
      </c>
      <c r="B199" s="676" t="s">
        <v>1048</v>
      </c>
      <c r="C199" s="623">
        <v>833</v>
      </c>
      <c r="D199" s="623" t="s">
        <v>2</v>
      </c>
      <c r="E199" s="623">
        <v>320</v>
      </c>
      <c r="F199" s="624">
        <v>266560</v>
      </c>
      <c r="G199" s="608">
        <v>272521.617517217</v>
      </c>
      <c r="H199" s="696" t="s">
        <v>1049</v>
      </c>
      <c r="I199" s="696"/>
      <c r="J199" s="696"/>
    </row>
    <row r="200" spans="1:10" outlineLevel="2" x14ac:dyDescent="0.25">
      <c r="A200" s="663" t="s">
        <v>1050</v>
      </c>
      <c r="B200" s="676" t="s">
        <v>275</v>
      </c>
      <c r="C200" s="623">
        <v>1</v>
      </c>
      <c r="D200" s="623" t="s">
        <v>27</v>
      </c>
      <c r="E200" s="623">
        <v>1298499.3000000003</v>
      </c>
      <c r="F200" s="624">
        <v>1298499.3000000003</v>
      </c>
      <c r="G200" s="608">
        <v>1327540.2520294648</v>
      </c>
      <c r="H200" s="696"/>
      <c r="I200" s="696"/>
      <c r="J200" s="696"/>
    </row>
    <row r="201" spans="1:10" ht="30" outlineLevel="2" x14ac:dyDescent="0.25">
      <c r="A201" s="663" t="s">
        <v>1051</v>
      </c>
      <c r="B201" s="676" t="s">
        <v>276</v>
      </c>
      <c r="C201" s="623">
        <v>1</v>
      </c>
      <c r="D201" s="623" t="s">
        <v>27</v>
      </c>
      <c r="E201" s="623">
        <v>432833.10000000009</v>
      </c>
      <c r="F201" s="624">
        <v>432833.10000000009</v>
      </c>
      <c r="G201" s="608">
        <v>442513.4173431549</v>
      </c>
      <c r="H201" s="696" t="s">
        <v>1052</v>
      </c>
      <c r="I201" s="696"/>
      <c r="J201" s="696"/>
    </row>
    <row r="202" spans="1:10" outlineLevel="2" x14ac:dyDescent="0.25">
      <c r="A202" s="663" t="s">
        <v>1053</v>
      </c>
      <c r="B202" s="676" t="s">
        <v>277</v>
      </c>
      <c r="C202" s="623">
        <v>1</v>
      </c>
      <c r="D202" s="623" t="s">
        <v>27</v>
      </c>
      <c r="E202" s="623">
        <v>1298499.3000000003</v>
      </c>
      <c r="F202" s="624">
        <v>1298499.3000000003</v>
      </c>
      <c r="G202" s="608">
        <v>1327540.2520294648</v>
      </c>
      <c r="H202" s="696" t="s">
        <v>1054</v>
      </c>
      <c r="I202" s="697"/>
      <c r="J202" s="697"/>
    </row>
    <row r="203" spans="1:10" ht="15.75" customHeight="1" thickBot="1" x14ac:dyDescent="0.3">
      <c r="A203" s="650">
        <v>18</v>
      </c>
      <c r="B203" s="651" t="s">
        <v>585</v>
      </c>
      <c r="C203" s="609"/>
      <c r="D203" s="609"/>
      <c r="E203" s="609"/>
      <c r="F203" s="610">
        <v>1486100.3873347896</v>
      </c>
      <c r="G203" s="610">
        <v>1519337.039876349</v>
      </c>
      <c r="H203" s="666"/>
      <c r="I203" s="666"/>
      <c r="J203" s="666"/>
    </row>
    <row r="204" spans="1:10" ht="15.75" customHeight="1" outlineLevel="1" x14ac:dyDescent="0.25">
      <c r="A204" s="642" t="s">
        <v>1055</v>
      </c>
      <c r="B204" s="643" t="s">
        <v>585</v>
      </c>
      <c r="C204" s="605"/>
      <c r="D204" s="605"/>
      <c r="E204" s="605"/>
      <c r="F204" s="606">
        <v>1486100.3873347896</v>
      </c>
      <c r="G204" s="606">
        <v>1519337.039876349</v>
      </c>
      <c r="H204" s="644"/>
      <c r="I204" s="645"/>
      <c r="J204" s="645"/>
    </row>
    <row r="205" spans="1:10" ht="15.75" customHeight="1" outlineLevel="2" thickBot="1" x14ac:dyDescent="0.3">
      <c r="A205" s="646" t="s">
        <v>1056</v>
      </c>
      <c r="B205" s="647" t="s">
        <v>1057</v>
      </c>
      <c r="C205" s="607">
        <v>1</v>
      </c>
      <c r="D205" s="607" t="s">
        <v>27</v>
      </c>
      <c r="E205" s="607">
        <v>1486100.3873347896</v>
      </c>
      <c r="F205" s="608">
        <v>1486100.3873347896</v>
      </c>
      <c r="G205" s="608">
        <v>1519337.039876349</v>
      </c>
      <c r="H205" s="693"/>
      <c r="I205" s="695"/>
      <c r="J205" s="695"/>
    </row>
    <row r="206" spans="1:10" ht="15.75" thickBot="1" x14ac:dyDescent="0.3">
      <c r="A206" s="1149" t="s">
        <v>17</v>
      </c>
      <c r="B206" s="1150"/>
      <c r="C206" s="602"/>
      <c r="D206" s="602"/>
      <c r="E206" s="602"/>
      <c r="F206" s="627">
        <v>299127382.5663718</v>
      </c>
      <c r="G206" s="627">
        <v>305668392.32998216</v>
      </c>
      <c r="H206" s="698"/>
      <c r="I206" s="698"/>
      <c r="J206" s="698"/>
    </row>
    <row r="207" spans="1:10" x14ac:dyDescent="0.25">
      <c r="G207" s="601">
        <v>45850258.849497326</v>
      </c>
    </row>
    <row r="208" spans="1:10" x14ac:dyDescent="0.25">
      <c r="G208" s="601">
        <v>453962.9589059141</v>
      </c>
    </row>
    <row r="209" spans="1:7" x14ac:dyDescent="0.25">
      <c r="G209" s="601">
        <v>30566839.232998218</v>
      </c>
    </row>
    <row r="210" spans="1:7" x14ac:dyDescent="0.25">
      <c r="C210" s="600" t="s">
        <v>1086</v>
      </c>
      <c r="D210" s="600" t="s">
        <v>1086</v>
      </c>
      <c r="F210" s="601" t="s">
        <v>520</v>
      </c>
      <c r="G210" s="601">
        <v>424539.4337916419</v>
      </c>
    </row>
    <row r="211" spans="1:7" x14ac:dyDescent="0.25">
      <c r="B211" s="629" t="s">
        <v>16</v>
      </c>
      <c r="C211" s="600">
        <v>168249129.08484372</v>
      </c>
      <c r="D211" s="600">
        <v>130878253.48152815</v>
      </c>
      <c r="F211" s="601">
        <v>299127382.56637186</v>
      </c>
    </row>
    <row r="212" spans="1:7" x14ac:dyDescent="0.25">
      <c r="B212" s="629" t="s">
        <v>1087</v>
      </c>
      <c r="C212" s="600">
        <v>54</v>
      </c>
      <c r="D212" s="600">
        <v>47</v>
      </c>
      <c r="F212" s="601">
        <v>101</v>
      </c>
    </row>
    <row r="213" spans="1:7" x14ac:dyDescent="0.25">
      <c r="B213" s="629" t="s">
        <v>1088</v>
      </c>
      <c r="C213" s="600">
        <v>22470543.611445934</v>
      </c>
      <c r="D213" s="600">
        <v>8844715.1815610528</v>
      </c>
      <c r="F213" s="601">
        <v>31315258.793006986</v>
      </c>
    </row>
    <row r="214" spans="1:7" x14ac:dyDescent="0.25">
      <c r="B214" s="629" t="s">
        <v>1089</v>
      </c>
      <c r="C214" s="600">
        <v>9542781.8075288609</v>
      </c>
      <c r="D214" s="600">
        <v>318636.36363636365</v>
      </c>
      <c r="F214" s="601">
        <v>9861418.1711652242</v>
      </c>
    </row>
    <row r="215" spans="1:7" x14ac:dyDescent="0.25">
      <c r="B215" s="629" t="s">
        <v>1090</v>
      </c>
      <c r="C215" s="600">
        <v>145778585.47339779</v>
      </c>
      <c r="D215" s="600">
        <v>122033538.2999671</v>
      </c>
      <c r="F215" s="601">
        <v>267812123.7733649</v>
      </c>
    </row>
    <row r="216" spans="1:7" x14ac:dyDescent="0.25">
      <c r="B216" s="629" t="s">
        <v>1091</v>
      </c>
      <c r="C216" s="600">
        <v>158706347.27731487</v>
      </c>
      <c r="D216" s="600">
        <v>130559617.11789179</v>
      </c>
      <c r="F216" s="601">
        <v>289265964.39520669</v>
      </c>
    </row>
    <row r="217" spans="1:7" x14ac:dyDescent="0.25">
      <c r="A217" s="699">
        <v>0.125</v>
      </c>
      <c r="B217" s="629" t="s">
        <v>1092</v>
      </c>
      <c r="C217" s="600">
        <v>19838293.409664359</v>
      </c>
      <c r="D217" s="600">
        <v>16319952.139736474</v>
      </c>
      <c r="F217" s="601">
        <v>36158245.549400836</v>
      </c>
    </row>
    <row r="218" spans="1:7" x14ac:dyDescent="0.25">
      <c r="B218" s="629" t="s">
        <v>1093</v>
      </c>
      <c r="C218" s="600">
        <v>367375.80388267332</v>
      </c>
      <c r="D218" s="600">
        <v>347233.02424971218</v>
      </c>
      <c r="F218" s="601">
        <v>714608.8281323855</v>
      </c>
    </row>
    <row r="220" spans="1:7" x14ac:dyDescent="0.25">
      <c r="C220" s="600">
        <v>22470543.611445934</v>
      </c>
      <c r="D220" s="600">
        <v>8844715.1815610528</v>
      </c>
      <c r="F220" s="601">
        <v>31315258.793006986</v>
      </c>
      <c r="G220" s="601">
        <v>4842986.7563938498</v>
      </c>
    </row>
    <row r="221" spans="1:7" x14ac:dyDescent="0.25">
      <c r="C221" s="700">
        <v>0.14158566432243647</v>
      </c>
      <c r="D221" s="700">
        <v>6.7744647057095111E-2</v>
      </c>
      <c r="E221" s="700"/>
      <c r="F221" s="700">
        <v>0.10825766819293967</v>
      </c>
      <c r="G221" s="601">
        <v>47950.363924691585</v>
      </c>
    </row>
  </sheetData>
  <mergeCells count="10">
    <mergeCell ref="I134:I135"/>
    <mergeCell ref="J134:J135"/>
    <mergeCell ref="J173:J174"/>
    <mergeCell ref="A206:B206"/>
    <mergeCell ref="A1:H5"/>
    <mergeCell ref="B7:H7"/>
    <mergeCell ref="B8:H8"/>
    <mergeCell ref="B9:H9"/>
    <mergeCell ref="B10:H10"/>
    <mergeCell ref="B11:H11"/>
  </mergeCells>
  <pageMargins left="0.51181102362204722" right="0.51181102362204722" top="0.78740157480314965" bottom="0.78740157480314965" header="0.31496062992125984" footer="0.31496062992125984"/>
  <pageSetup paperSize="9" scale="110" orientation="landscape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D0984-4792-4CE9-B54C-E4F9A4399B24}">
  <dimension ref="B1:R33"/>
  <sheetViews>
    <sheetView showGridLines="0" zoomScale="70" zoomScaleNormal="70" workbookViewId="0">
      <selection activeCell="Q11" sqref="Q11:R11"/>
    </sheetView>
  </sheetViews>
  <sheetFormatPr defaultRowHeight="15" x14ac:dyDescent="0.25"/>
  <cols>
    <col min="2" max="2" width="48.7109375" customWidth="1"/>
    <col min="3" max="3" width="19.5703125" customWidth="1"/>
    <col min="4" max="4" width="24.28515625" customWidth="1"/>
    <col min="5" max="5" width="22.140625" customWidth="1"/>
    <col min="6" max="6" width="18.85546875" customWidth="1"/>
    <col min="7" max="7" width="20.28515625" bestFit="1" customWidth="1"/>
    <col min="8" max="8" width="16.140625" bestFit="1" customWidth="1"/>
    <col min="9" max="9" width="21.28515625" bestFit="1" customWidth="1"/>
    <col min="10" max="10" width="16.140625" bestFit="1" customWidth="1"/>
    <col min="11" max="11" width="21.28515625" bestFit="1" customWidth="1"/>
    <col min="12" max="12" width="16.140625" bestFit="1" customWidth="1"/>
    <col min="13" max="13" width="21.28515625" bestFit="1" customWidth="1"/>
    <col min="14" max="14" width="16.140625" bestFit="1" customWidth="1"/>
    <col min="15" max="15" width="21.28515625" bestFit="1" customWidth="1"/>
    <col min="17" max="18" width="17" style="3" customWidth="1"/>
  </cols>
  <sheetData>
    <row r="1" spans="2:18" ht="13.9" customHeight="1" x14ac:dyDescent="0.25"/>
    <row r="2" spans="2:18" ht="13.9" customHeight="1" x14ac:dyDescent="0.25"/>
    <row r="3" spans="2:18" ht="13.9" customHeight="1" x14ac:dyDescent="0.25">
      <c r="D3" s="495" t="s">
        <v>558</v>
      </c>
      <c r="E3" s="505">
        <v>45231</v>
      </c>
      <c r="F3" s="495" t="s">
        <v>558</v>
      </c>
      <c r="G3" s="500">
        <v>44958</v>
      </c>
      <c r="H3" s="495" t="s">
        <v>558</v>
      </c>
      <c r="I3" s="500">
        <v>45047</v>
      </c>
      <c r="J3" s="495" t="s">
        <v>558</v>
      </c>
      <c r="K3" s="500">
        <v>44652</v>
      </c>
      <c r="L3" s="495" t="s">
        <v>558</v>
      </c>
      <c r="M3" s="500">
        <v>45078</v>
      </c>
      <c r="N3" s="495" t="s">
        <v>558</v>
      </c>
      <c r="O3" s="500"/>
    </row>
    <row r="4" spans="2:18" ht="13.9" customHeight="1" x14ac:dyDescent="0.25">
      <c r="D4" s="495" t="s">
        <v>578</v>
      </c>
      <c r="E4" s="506">
        <v>2754.98</v>
      </c>
      <c r="F4" s="495" t="s">
        <v>578</v>
      </c>
      <c r="G4" s="504">
        <v>2662.47</v>
      </c>
      <c r="H4" s="495" t="s">
        <v>578</v>
      </c>
      <c r="I4" s="504">
        <v>2688.94</v>
      </c>
      <c r="J4" s="495" t="s">
        <v>578</v>
      </c>
      <c r="K4" s="504">
        <v>2461.35</v>
      </c>
      <c r="L4" s="495" t="s">
        <v>578</v>
      </c>
      <c r="M4" s="504">
        <v>2725.79</v>
      </c>
      <c r="N4" s="495" t="s">
        <v>578</v>
      </c>
      <c r="O4" s="504"/>
    </row>
    <row r="5" spans="2:18" ht="13.9" customHeight="1" x14ac:dyDescent="0.25">
      <c r="D5" s="495" t="s">
        <v>589</v>
      </c>
      <c r="E5" s="506">
        <v>2394.02</v>
      </c>
      <c r="F5" s="495" t="s">
        <v>589</v>
      </c>
      <c r="G5" s="504"/>
      <c r="H5" s="495" t="s">
        <v>589</v>
      </c>
      <c r="I5" s="504"/>
      <c r="J5" s="495" t="s">
        <v>589</v>
      </c>
      <c r="K5" s="504"/>
      <c r="L5" s="495" t="s">
        <v>589</v>
      </c>
      <c r="M5" s="504"/>
      <c r="N5" s="495" t="s">
        <v>589</v>
      </c>
      <c r="O5" s="504"/>
    </row>
    <row r="6" spans="2:18" ht="13.9" customHeight="1" x14ac:dyDescent="0.25">
      <c r="D6" s="495" t="s">
        <v>280</v>
      </c>
      <c r="E6" s="506">
        <v>7642.76</v>
      </c>
      <c r="F6" s="495" t="s">
        <v>280</v>
      </c>
      <c r="G6" s="504">
        <v>14888.46</v>
      </c>
      <c r="H6" s="495" t="s">
        <v>280</v>
      </c>
      <c r="I6" s="504">
        <v>3282.64</v>
      </c>
      <c r="J6" s="495" t="s">
        <v>280</v>
      </c>
      <c r="K6" s="504">
        <v>4811.62</v>
      </c>
      <c r="L6" s="495" t="s">
        <v>280</v>
      </c>
      <c r="M6" s="504">
        <v>7305.16</v>
      </c>
      <c r="N6" s="495" t="s">
        <v>280</v>
      </c>
      <c r="O6" s="504">
        <v>61763.96</v>
      </c>
    </row>
    <row r="7" spans="2:18" ht="13.9" customHeight="1" x14ac:dyDescent="0.25">
      <c r="D7" s="495" t="s">
        <v>590</v>
      </c>
      <c r="E7" s="503" t="s">
        <v>591</v>
      </c>
      <c r="F7" s="495" t="s">
        <v>590</v>
      </c>
      <c r="G7" s="503"/>
      <c r="H7" s="495" t="s">
        <v>590</v>
      </c>
      <c r="I7" s="503"/>
      <c r="J7" s="495" t="s">
        <v>590</v>
      </c>
      <c r="K7" s="503"/>
      <c r="L7" s="495" t="s">
        <v>590</v>
      </c>
      <c r="M7" s="503"/>
      <c r="N7" s="495" t="s">
        <v>590</v>
      </c>
      <c r="O7" s="503"/>
    </row>
    <row r="8" spans="2:18" ht="13.9" customHeight="1" x14ac:dyDescent="0.25">
      <c r="D8" s="495" t="s">
        <v>592</v>
      </c>
      <c r="E8" s="503" t="s">
        <v>593</v>
      </c>
      <c r="F8" s="495" t="s">
        <v>592</v>
      </c>
      <c r="G8" s="503"/>
      <c r="H8" s="495" t="s">
        <v>592</v>
      </c>
      <c r="I8" s="503"/>
      <c r="J8" s="495" t="s">
        <v>592</v>
      </c>
      <c r="K8" s="503"/>
      <c r="L8" s="495" t="s">
        <v>592</v>
      </c>
      <c r="M8" s="503"/>
      <c r="N8" s="495" t="s">
        <v>592</v>
      </c>
      <c r="O8" s="503"/>
    </row>
    <row r="9" spans="2:18" ht="95.45" customHeight="1" x14ac:dyDescent="0.25">
      <c r="D9" s="501" t="s">
        <v>587</v>
      </c>
      <c r="E9" s="502" t="s">
        <v>588</v>
      </c>
      <c r="F9" s="501" t="s">
        <v>587</v>
      </c>
      <c r="G9" s="502"/>
      <c r="H9" s="501" t="s">
        <v>587</v>
      </c>
      <c r="I9" s="502"/>
      <c r="J9" s="501" t="s">
        <v>587</v>
      </c>
      <c r="K9" s="502"/>
      <c r="L9" s="501" t="s">
        <v>587</v>
      </c>
      <c r="M9" s="502"/>
      <c r="N9" s="501" t="s">
        <v>587</v>
      </c>
      <c r="O9" s="502"/>
    </row>
    <row r="10" spans="2:18" ht="28.15" customHeight="1" x14ac:dyDescent="0.25">
      <c r="H10" s="1139" t="s">
        <v>600</v>
      </c>
      <c r="I10" s="1139"/>
      <c r="J10" s="1139"/>
      <c r="K10" s="1139"/>
      <c r="L10" s="1139"/>
      <c r="M10" s="1139"/>
      <c r="N10" s="1139"/>
      <c r="O10" s="1139"/>
    </row>
    <row r="11" spans="2:18" ht="19.149999999999999" customHeight="1" x14ac:dyDescent="0.25">
      <c r="D11" s="1140" t="s">
        <v>586</v>
      </c>
      <c r="E11" s="1141"/>
      <c r="F11" s="1140" t="s">
        <v>594</v>
      </c>
      <c r="G11" s="1141"/>
      <c r="H11" s="1140" t="s">
        <v>595</v>
      </c>
      <c r="I11" s="1141"/>
      <c r="J11" s="1140" t="s">
        <v>596</v>
      </c>
      <c r="K11" s="1141"/>
      <c r="L11" s="1140" t="s">
        <v>597</v>
      </c>
      <c r="M11" s="1141"/>
      <c r="N11" s="1140" t="s">
        <v>699</v>
      </c>
      <c r="O11" s="1141"/>
      <c r="Q11" s="1142" t="s">
        <v>579</v>
      </c>
      <c r="R11" s="1142"/>
    </row>
    <row r="12" spans="2:18" ht="19.149999999999999" customHeight="1" x14ac:dyDescent="0.25">
      <c r="D12" s="499" t="s">
        <v>580</v>
      </c>
      <c r="E12" s="499" t="s">
        <v>581</v>
      </c>
      <c r="F12" s="499"/>
      <c r="G12" s="499" t="s">
        <v>581</v>
      </c>
      <c r="H12" s="499" t="s">
        <v>580</v>
      </c>
      <c r="I12" s="499" t="s">
        <v>581</v>
      </c>
      <c r="J12" s="499" t="s">
        <v>580</v>
      </c>
      <c r="K12" s="499" t="s">
        <v>581</v>
      </c>
      <c r="L12" s="499" t="s">
        <v>580</v>
      </c>
      <c r="M12" s="499" t="s">
        <v>581</v>
      </c>
      <c r="N12" s="499" t="s">
        <v>580</v>
      </c>
      <c r="O12" s="499" t="s">
        <v>581</v>
      </c>
      <c r="Q12" s="489" t="s">
        <v>582</v>
      </c>
      <c r="R12" s="489" t="s">
        <v>583</v>
      </c>
    </row>
    <row r="13" spans="2:18" ht="19.149999999999999" customHeight="1" x14ac:dyDescent="0.25">
      <c r="B13" s="493"/>
      <c r="C13" s="493"/>
      <c r="D13" s="514"/>
      <c r="E13" s="515">
        <f>ORÇAMENTO_EXECUTIVO_REV02!$B$21/Índices!E$4*D13</f>
        <v>0</v>
      </c>
      <c r="F13" s="516"/>
      <c r="G13" s="515">
        <f>ORÇAMENTO_EXECUTIVO_REV02!$B$21/Índices!G$4*F13</f>
        <v>0</v>
      </c>
      <c r="H13" s="514"/>
      <c r="I13" s="515">
        <f>ORÇAMENTO_EXECUTIVO_REV02!$B$21/Índices!I$4*H13</f>
        <v>0</v>
      </c>
      <c r="J13" s="514"/>
      <c r="K13" s="515">
        <f>ORÇAMENTO_EXECUTIVO_REV02!$B$21/Índices!K$4*J13</f>
        <v>0</v>
      </c>
      <c r="L13" s="514"/>
      <c r="M13" s="515">
        <f>ORÇAMENTO_EXECUTIVO_REV02!$B$21/Índices!M$4*L13</f>
        <v>0</v>
      </c>
      <c r="N13" s="514"/>
      <c r="O13" s="515" t="e">
        <f>ORÇAMENTO_EXECUTIVO_REV02!$B$21/Índices!O$4*N13</f>
        <v>#DIV/0!</v>
      </c>
      <c r="Q13" s="490"/>
      <c r="R13" s="490"/>
    </row>
    <row r="14" spans="2:18" ht="19.149999999999999" customHeight="1" x14ac:dyDescent="0.25">
      <c r="B14" s="494" t="s">
        <v>696</v>
      </c>
      <c r="C14" s="494" t="s">
        <v>698</v>
      </c>
      <c r="D14" s="514">
        <f>152855.27/E6</f>
        <v>20.000009158994917</v>
      </c>
      <c r="E14" s="515">
        <f>ORÇAMENTO_EXECUTIVO_REV02!$B$21/Índices!E$4*D14</f>
        <v>20.02527251185893</v>
      </c>
      <c r="F14" s="516">
        <f>(124904.93+4141.76)/G6</f>
        <v>8.66756467760937</v>
      </c>
      <c r="G14" s="515">
        <f>ORÇAMENTO_EXECUTIVO_REV02!$B$21/Índices!G$4*F14</f>
        <v>8.9800562863049525</v>
      </c>
      <c r="H14" s="514"/>
      <c r="I14" s="515">
        <f>ORÇAMENTO_EXECUTIVO_REV02!$B$21/Índices!I$4*H14</f>
        <v>0</v>
      </c>
      <c r="J14" s="514"/>
      <c r="K14" s="515">
        <f>ORÇAMENTO_EXECUTIVO_REV02!$B$21/Índices!K$4*J14</f>
        <v>0</v>
      </c>
      <c r="L14" s="514"/>
      <c r="M14" s="515">
        <f>ORÇAMENTO_EXECUTIVO_REV02!$B$21/Índices!M$4*L14</f>
        <v>0</v>
      </c>
      <c r="N14" s="514">
        <f>7998.69+84770.54</f>
        <v>92769.23</v>
      </c>
      <c r="O14" s="515" t="e">
        <f>ORÇAMENTO_EXECUTIVO_REV02!$B$21/Índices!O$4*N14</f>
        <v>#DIV/0!</v>
      </c>
      <c r="Q14" s="490"/>
      <c r="R14" s="490"/>
    </row>
    <row r="15" spans="2:18" ht="19.149999999999999" customHeight="1" x14ac:dyDescent="0.25">
      <c r="B15" s="494" t="s">
        <v>696</v>
      </c>
      <c r="C15" s="493" t="s">
        <v>697</v>
      </c>
      <c r="D15" s="514"/>
      <c r="E15" s="515">
        <f>ORÇAMENTO_EXECUTIVO_REV02!$B$21/Índices!E$4*D15</f>
        <v>0</v>
      </c>
      <c r="F15" s="517">
        <f>(5065+440.36)/G6</f>
        <v>0.36977363676296943</v>
      </c>
      <c r="G15" s="515">
        <f>ORÇAMENTO_EXECUTIVO_REV02!$B$21/Índices!G$4*F15</f>
        <v>0.38310508139629018</v>
      </c>
      <c r="H15" s="514"/>
      <c r="I15" s="515">
        <f>ORÇAMENTO_EXECUTIVO_REV02!$B$21/Índices!I$4*H15</f>
        <v>0</v>
      </c>
      <c r="J15" s="514"/>
      <c r="K15" s="515">
        <f>ORÇAMENTO_EXECUTIVO_REV02!$B$21/Índices!K$4*J15</f>
        <v>0</v>
      </c>
      <c r="L15" s="514"/>
      <c r="M15" s="515">
        <f>ORÇAMENTO_EXECUTIVO_REV02!$B$21/Índices!M$4*L15</f>
        <v>0</v>
      </c>
      <c r="N15" s="514">
        <f>162+909.3</f>
        <v>1071.3</v>
      </c>
      <c r="O15" s="515" t="e">
        <f>ORÇAMENTO_EXECUTIVO_REV02!$B$21/Índices!O$4*N15</f>
        <v>#DIV/0!</v>
      </c>
      <c r="Q15" s="490"/>
      <c r="R15" s="490"/>
    </row>
    <row r="16" spans="2:18" ht="19.149999999999999" customHeight="1" x14ac:dyDescent="0.25">
      <c r="B16" s="494"/>
      <c r="C16" s="494"/>
      <c r="D16" s="514"/>
      <c r="E16" s="515">
        <f>ORÇAMENTO_EXECUTIVO_REV02!$B$21/Índices!E$4*D16</f>
        <v>0</v>
      </c>
      <c r="F16" s="516"/>
      <c r="G16" s="515">
        <f>ORÇAMENTO_EXECUTIVO_REV02!$B$21/Índices!G$4*F16</f>
        <v>0</v>
      </c>
      <c r="H16" s="514"/>
      <c r="I16" s="515">
        <f>ORÇAMENTO_EXECUTIVO_REV02!$B$21/Índices!I$4*H16</f>
        <v>0</v>
      </c>
      <c r="J16" s="514"/>
      <c r="K16" s="515">
        <f>ORÇAMENTO_EXECUTIVO_REV02!$B$21/Índices!K$4*J16</f>
        <v>0</v>
      </c>
      <c r="L16" s="514"/>
      <c r="M16" s="515">
        <f>ORÇAMENTO_EXECUTIVO_REV02!$B$21/Índices!M$4*L16</f>
        <v>0</v>
      </c>
      <c r="N16" s="514">
        <f>245.27</f>
        <v>245.27</v>
      </c>
      <c r="O16" s="515" t="e">
        <f>ORÇAMENTO_EXECUTIVO_REV02!$B$21/Índices!O$4*N16</f>
        <v>#DIV/0!</v>
      </c>
      <c r="Q16" s="490"/>
      <c r="R16" s="490"/>
    </row>
    <row r="17" spans="2:18" ht="19.149999999999999" customHeight="1" x14ac:dyDescent="0.25">
      <c r="B17" s="493"/>
      <c r="C17" s="493"/>
      <c r="D17" s="514"/>
      <c r="E17" s="515">
        <f>ORÇAMENTO_EXECUTIVO_REV02!$B$21/Índices!E$4*D17</f>
        <v>0</v>
      </c>
      <c r="F17" s="516"/>
      <c r="G17" s="515">
        <f>ORÇAMENTO_EXECUTIVO_REV02!$B$21/Índices!G$4*F17</f>
        <v>0</v>
      </c>
      <c r="H17" s="514"/>
      <c r="I17" s="515">
        <f>ORÇAMENTO_EXECUTIVO_REV02!$B$21/Índices!I$4*H17</f>
        <v>0</v>
      </c>
      <c r="J17" s="514"/>
      <c r="K17" s="515">
        <f>ORÇAMENTO_EXECUTIVO_REV02!$B$21/Índices!K$4*J17</f>
        <v>0</v>
      </c>
      <c r="L17" s="514"/>
      <c r="M17" s="515">
        <f>ORÇAMENTO_EXECUTIVO_REV02!$B$21/Índices!M$4*L17</f>
        <v>0</v>
      </c>
      <c r="N17" s="514">
        <f>79.65</f>
        <v>79.650000000000006</v>
      </c>
      <c r="O17" s="515" t="e">
        <f>ORÇAMENTO_EXECUTIVO_REV02!$B$21/Índices!O$4*N17</f>
        <v>#DIV/0!</v>
      </c>
      <c r="Q17" s="490"/>
      <c r="R17" s="490"/>
    </row>
    <row r="18" spans="2:18" ht="19.149999999999999" customHeight="1" x14ac:dyDescent="0.25">
      <c r="B18" s="494"/>
      <c r="C18" s="494"/>
      <c r="D18" s="514"/>
      <c r="E18" s="515">
        <f>ORÇAMENTO_EXECUTIVO_REV02!$B$21/Índices!E$4*D18</f>
        <v>0</v>
      </c>
      <c r="F18" s="516"/>
      <c r="G18" s="515">
        <f>ORÇAMENTO_EXECUTIVO_REV02!$B$21/Índices!G$4*F18</f>
        <v>0</v>
      </c>
      <c r="H18" s="514"/>
      <c r="I18" s="515">
        <f>ORÇAMENTO_EXECUTIVO_REV02!$B$21/Índices!I$4*H18</f>
        <v>0</v>
      </c>
      <c r="J18" s="514"/>
      <c r="K18" s="515">
        <f>ORÇAMENTO_EXECUTIVO_REV02!$B$21/Índices!K$4*J18</f>
        <v>0</v>
      </c>
      <c r="L18" s="514"/>
      <c r="M18" s="515">
        <f>ORÇAMENTO_EXECUTIVO_REV02!$B$21/Índices!M$4*L18</f>
        <v>0</v>
      </c>
      <c r="N18" s="514"/>
      <c r="O18" s="515" t="e">
        <f>ORÇAMENTO_EXECUTIVO_REV02!$B$21/Índices!O$4*N18</f>
        <v>#DIV/0!</v>
      </c>
      <c r="Q18" s="490"/>
      <c r="R18" s="490"/>
    </row>
    <row r="19" spans="2:18" ht="19.149999999999999" customHeight="1" x14ac:dyDescent="0.25">
      <c r="B19" s="493"/>
      <c r="C19" s="493"/>
      <c r="D19" s="514"/>
      <c r="E19" s="515">
        <f>ORÇAMENTO_EXECUTIVO_REV02!$B$21/Índices!E$4*D19</f>
        <v>0</v>
      </c>
      <c r="F19" s="516"/>
      <c r="G19" s="515">
        <f>ORÇAMENTO_EXECUTIVO_REV02!$B$21/Índices!G$4*F19</f>
        <v>0</v>
      </c>
      <c r="H19" s="514"/>
      <c r="I19" s="515">
        <f>ORÇAMENTO_EXECUTIVO_REV02!$B$21/Índices!I$4*H19</f>
        <v>0</v>
      </c>
      <c r="J19" s="514"/>
      <c r="K19" s="515">
        <f>ORÇAMENTO_EXECUTIVO_REV02!$B$21/Índices!K$4*J19</f>
        <v>0</v>
      </c>
      <c r="L19" s="514"/>
      <c r="M19" s="515">
        <f>ORÇAMENTO_EXECUTIVO_REV02!$B$21/Índices!M$4*L19</f>
        <v>0</v>
      </c>
      <c r="N19" s="514"/>
      <c r="O19" s="515" t="e">
        <f>ORÇAMENTO_EXECUTIVO_REV02!$B$21/Índices!O$4*N19</f>
        <v>#DIV/0!</v>
      </c>
      <c r="Q19" s="490"/>
      <c r="R19" s="490"/>
    </row>
    <row r="20" spans="2:18" ht="19.149999999999999" customHeight="1" x14ac:dyDescent="0.25">
      <c r="B20" s="493"/>
      <c r="C20" s="493"/>
      <c r="D20" s="514"/>
      <c r="E20" s="515">
        <f>ORÇAMENTO_EXECUTIVO_REV02!$B$21/Índices!E$4*D20</f>
        <v>0</v>
      </c>
      <c r="F20" s="516"/>
      <c r="G20" s="515">
        <f>ORÇAMENTO_EXECUTIVO_REV02!$B$21/Índices!G$4*F20</f>
        <v>0</v>
      </c>
      <c r="H20" s="514"/>
      <c r="I20" s="515">
        <f>ORÇAMENTO_EXECUTIVO_REV02!$B$21/Índices!I$4*H20</f>
        <v>0</v>
      </c>
      <c r="J20" s="514"/>
      <c r="K20" s="515">
        <f>ORÇAMENTO_EXECUTIVO_REV02!$B$21/Índices!K$4*J20</f>
        <v>0</v>
      </c>
      <c r="L20" s="514"/>
      <c r="M20" s="515">
        <f>ORÇAMENTO_EXECUTIVO_REV02!$B$21/Índices!M$4*L20</f>
        <v>0</v>
      </c>
      <c r="N20" s="514"/>
      <c r="O20" s="515" t="e">
        <f>ORÇAMENTO_EXECUTIVO_REV02!$B$21/Índices!O$4*N20</f>
        <v>#DIV/0!</v>
      </c>
      <c r="Q20" s="490"/>
      <c r="R20" s="490"/>
    </row>
    <row r="21" spans="2:18" ht="19.149999999999999" customHeight="1" x14ac:dyDescent="0.25">
      <c r="B21" s="494"/>
      <c r="C21" s="494"/>
      <c r="D21" s="514"/>
      <c r="E21" s="515">
        <f>ORÇAMENTO_EXECUTIVO_REV02!$B$21/Índices!E$4*D21</f>
        <v>0</v>
      </c>
      <c r="F21" s="516"/>
      <c r="G21" s="515">
        <f>ORÇAMENTO_EXECUTIVO_REV02!$B$21/Índices!G$4*F21</f>
        <v>0</v>
      </c>
      <c r="H21" s="514"/>
      <c r="I21" s="515">
        <f>ORÇAMENTO_EXECUTIVO_REV02!$B$21/Índices!I$4*H21</f>
        <v>0</v>
      </c>
      <c r="J21" s="514"/>
      <c r="K21" s="515">
        <f>ORÇAMENTO_EXECUTIVO_REV02!$B$21/Índices!K$4*J21</f>
        <v>0</v>
      </c>
      <c r="L21" s="514"/>
      <c r="M21" s="515">
        <f>ORÇAMENTO_EXECUTIVO_REV02!$B$21/Índices!M$4*L21</f>
        <v>0</v>
      </c>
      <c r="N21" s="514"/>
      <c r="O21" s="515" t="e">
        <f>ORÇAMENTO_EXECUTIVO_REV02!$B$21/Índices!O$4*N21</f>
        <v>#DIV/0!</v>
      </c>
      <c r="Q21" s="490"/>
      <c r="R21" s="490"/>
    </row>
    <row r="22" spans="2:18" ht="19.149999999999999" customHeight="1" x14ac:dyDescent="0.25">
      <c r="B22" s="493"/>
      <c r="C22" s="493"/>
      <c r="D22" s="514"/>
      <c r="E22" s="515">
        <f>ORÇAMENTO_EXECUTIVO_REV02!$B$21/Índices!E$4*D22</f>
        <v>0</v>
      </c>
      <c r="F22" s="516"/>
      <c r="G22" s="515">
        <f>ORÇAMENTO_EXECUTIVO_REV02!$B$21/Índices!G$4*F22</f>
        <v>0</v>
      </c>
      <c r="H22" s="514"/>
      <c r="I22" s="515">
        <f>ORÇAMENTO_EXECUTIVO_REV02!$B$21/Índices!I$4*H22</f>
        <v>0</v>
      </c>
      <c r="J22" s="514"/>
      <c r="K22" s="515">
        <f>ORÇAMENTO_EXECUTIVO_REV02!$B$21/Índices!K$4*J22</f>
        <v>0</v>
      </c>
      <c r="L22" s="514"/>
      <c r="M22" s="515">
        <f>ORÇAMENTO_EXECUTIVO_REV02!$B$21/Índices!M$4*L22</f>
        <v>0</v>
      </c>
      <c r="N22" s="514"/>
      <c r="O22" s="515" t="e">
        <f>ORÇAMENTO_EXECUTIVO_REV02!$B$21/Índices!O$4*N22</f>
        <v>#DIV/0!</v>
      </c>
      <c r="Q22" s="490"/>
      <c r="R22" s="490"/>
    </row>
    <row r="23" spans="2:18" ht="19.149999999999999" customHeight="1" x14ac:dyDescent="0.25">
      <c r="B23" s="494"/>
      <c r="C23" s="494"/>
      <c r="D23" s="514"/>
      <c r="E23" s="515">
        <f>ORÇAMENTO_EXECUTIVO_REV02!$B$21/Índices!E$4*D23</f>
        <v>0</v>
      </c>
      <c r="F23" s="516"/>
      <c r="G23" s="515">
        <f>ORÇAMENTO_EXECUTIVO_REV02!$B$21/Índices!G$4*F23</f>
        <v>0</v>
      </c>
      <c r="H23" s="514"/>
      <c r="I23" s="515">
        <f>ORÇAMENTO_EXECUTIVO_REV02!$B$21/Índices!I$4*H23</f>
        <v>0</v>
      </c>
      <c r="J23" s="514"/>
      <c r="K23" s="515">
        <f>ORÇAMENTO_EXECUTIVO_REV02!$B$21/Índices!K$4*J23</f>
        <v>0</v>
      </c>
      <c r="L23" s="514"/>
      <c r="M23" s="515">
        <f>ORÇAMENTO_EXECUTIVO_REV02!$B$21/Índices!M$4*L23</f>
        <v>0</v>
      </c>
      <c r="N23" s="514"/>
      <c r="O23" s="515" t="e">
        <f>ORÇAMENTO_EXECUTIVO_REV02!$B$21/Índices!O$4*N23</f>
        <v>#DIV/0!</v>
      </c>
      <c r="Q23" s="490"/>
      <c r="R23" s="490"/>
    </row>
    <row r="24" spans="2:18" ht="19.149999999999999" customHeight="1" x14ac:dyDescent="0.25">
      <c r="B24" s="493"/>
      <c r="C24" s="493"/>
      <c r="D24" s="514"/>
      <c r="E24" s="515">
        <f>ORÇAMENTO_EXECUTIVO_REV02!$B$21/Índices!E$4*D24</f>
        <v>0</v>
      </c>
      <c r="F24" s="516"/>
      <c r="G24" s="515">
        <f>ORÇAMENTO_EXECUTIVO_REV02!$B$21/Índices!G$4*F24</f>
        <v>0</v>
      </c>
      <c r="H24" s="514"/>
      <c r="I24" s="515">
        <f>ORÇAMENTO_EXECUTIVO_REV02!$B$21/Índices!I$4*H24</f>
        <v>0</v>
      </c>
      <c r="J24" s="514"/>
      <c r="K24" s="515">
        <f>ORÇAMENTO_EXECUTIVO_REV02!$B$21/Índices!K$4*J24</f>
        <v>0</v>
      </c>
      <c r="L24" s="514"/>
      <c r="M24" s="515">
        <f>ORÇAMENTO_EXECUTIVO_REV02!$B$21/Índices!M$4*L24</f>
        <v>0</v>
      </c>
      <c r="N24" s="514"/>
      <c r="O24" s="515" t="e">
        <f>ORÇAMENTO_EXECUTIVO_REV02!$B$21/Índices!O$4*N24</f>
        <v>#DIV/0!</v>
      </c>
      <c r="Q24" s="490"/>
      <c r="R24" s="490"/>
    </row>
    <row r="25" spans="2:18" ht="19.149999999999999" customHeight="1" x14ac:dyDescent="0.25">
      <c r="B25" s="494"/>
      <c r="C25" s="494"/>
      <c r="D25" s="514"/>
      <c r="E25" s="515">
        <f>ORÇAMENTO_EXECUTIVO_REV02!$B$21/Índices!E$4*D25</f>
        <v>0</v>
      </c>
      <c r="F25" s="516"/>
      <c r="G25" s="515">
        <f>ORÇAMENTO_EXECUTIVO_REV02!$B$21/Índices!G$4*F25</f>
        <v>0</v>
      </c>
      <c r="H25" s="514"/>
      <c r="I25" s="515">
        <f>ORÇAMENTO_EXECUTIVO_REV02!$B$21/Índices!I$4*H25</f>
        <v>0</v>
      </c>
      <c r="J25" s="514"/>
      <c r="K25" s="515">
        <f>ORÇAMENTO_EXECUTIVO_REV02!$B$21/Índices!K$4*J25</f>
        <v>0</v>
      </c>
      <c r="L25" s="514"/>
      <c r="M25" s="515">
        <f>ORÇAMENTO_EXECUTIVO_REV02!$B$21/Índices!M$4*L25</f>
        <v>0</v>
      </c>
      <c r="N25" s="514"/>
      <c r="O25" s="515" t="e">
        <f>ORÇAMENTO_EXECUTIVO_REV02!$B$21/Índices!O$4*N25</f>
        <v>#DIV/0!</v>
      </c>
      <c r="Q25" s="490"/>
      <c r="R25" s="490"/>
    </row>
    <row r="26" spans="2:18" ht="19.149999999999999" customHeight="1" x14ac:dyDescent="0.25">
      <c r="B26" s="493"/>
      <c r="C26" s="493"/>
      <c r="D26" s="514"/>
      <c r="E26" s="515">
        <f>ORÇAMENTO_EXECUTIVO_REV02!$B$21/Índices!E$4*D26</f>
        <v>0</v>
      </c>
      <c r="F26" s="516"/>
      <c r="G26" s="515">
        <f>ORÇAMENTO_EXECUTIVO_REV02!$B$21/Índices!G$4*F26</f>
        <v>0</v>
      </c>
      <c r="H26" s="514"/>
      <c r="I26" s="515">
        <f>ORÇAMENTO_EXECUTIVO_REV02!$B$21/Índices!I$4*H26</f>
        <v>0</v>
      </c>
      <c r="J26" s="514"/>
      <c r="K26" s="515">
        <f>ORÇAMENTO_EXECUTIVO_REV02!$B$21/Índices!K$4*J26</f>
        <v>0</v>
      </c>
      <c r="L26" s="514"/>
      <c r="M26" s="515">
        <f>ORÇAMENTO_EXECUTIVO_REV02!$B$21/Índices!M$4*L26</f>
        <v>0</v>
      </c>
      <c r="N26" s="514"/>
      <c r="O26" s="515" t="e">
        <f>ORÇAMENTO_EXECUTIVO_REV02!$B$21/Índices!O$4*N26</f>
        <v>#DIV/0!</v>
      </c>
      <c r="Q26" s="490"/>
      <c r="R26" s="490"/>
    </row>
    <row r="27" spans="2:18" ht="19.149999999999999" customHeight="1" x14ac:dyDescent="0.25">
      <c r="B27" s="494"/>
      <c r="C27" s="494"/>
      <c r="D27" s="514"/>
      <c r="E27" s="515">
        <f>ORÇAMENTO_EXECUTIVO_REV02!$B$21/Índices!E$4*D27</f>
        <v>0</v>
      </c>
      <c r="F27" s="516"/>
      <c r="G27" s="515">
        <f>ORÇAMENTO_EXECUTIVO_REV02!$B$21/Índices!G$4*F27</f>
        <v>0</v>
      </c>
      <c r="H27" s="514"/>
      <c r="I27" s="515">
        <f>ORÇAMENTO_EXECUTIVO_REV02!$B$21/Índices!I$4*H27</f>
        <v>0</v>
      </c>
      <c r="J27" s="514"/>
      <c r="K27" s="515">
        <f>ORÇAMENTO_EXECUTIVO_REV02!$B$21/Índices!K$4*J27</f>
        <v>0</v>
      </c>
      <c r="L27" s="514"/>
      <c r="M27" s="515">
        <f>ORÇAMENTO_EXECUTIVO_REV02!$B$21/Índices!M$4*L27</f>
        <v>0</v>
      </c>
      <c r="N27" s="514"/>
      <c r="O27" s="515" t="e">
        <f>ORÇAMENTO_EXECUTIVO_REV02!$B$21/Índices!O$4*N27</f>
        <v>#DIV/0!</v>
      </c>
      <c r="Q27" s="490"/>
      <c r="R27" s="490"/>
    </row>
    <row r="28" spans="2:18" ht="19.149999999999999" customHeight="1" x14ac:dyDescent="0.25">
      <c r="B28" s="493"/>
      <c r="C28" s="493"/>
      <c r="D28" s="514"/>
      <c r="E28" s="515">
        <f>ORÇAMENTO_EXECUTIVO_REV02!$B$21/Índices!E$4*D28</f>
        <v>0</v>
      </c>
      <c r="F28" s="516"/>
      <c r="G28" s="515">
        <f>ORÇAMENTO_EXECUTIVO_REV02!$B$21/Índices!G$4*F28</f>
        <v>0</v>
      </c>
      <c r="H28" s="514"/>
      <c r="I28" s="515">
        <f>ORÇAMENTO_EXECUTIVO_REV02!$B$21/Índices!I$4*H28</f>
        <v>0</v>
      </c>
      <c r="J28" s="514"/>
      <c r="K28" s="515">
        <f>ORÇAMENTO_EXECUTIVO_REV02!$B$21/Índices!K$4*J28</f>
        <v>0</v>
      </c>
      <c r="L28" s="514"/>
      <c r="M28" s="515">
        <f>ORÇAMENTO_EXECUTIVO_REV02!$B$21/Índices!M$4*L28</f>
        <v>0</v>
      </c>
      <c r="N28" s="514"/>
      <c r="O28" s="515" t="e">
        <f>ORÇAMENTO_EXECUTIVO_REV02!$B$21/Índices!O$4*N28</f>
        <v>#DIV/0!</v>
      </c>
      <c r="Q28" s="490"/>
      <c r="R28" s="490"/>
    </row>
    <row r="29" spans="2:18" ht="19.149999999999999" customHeight="1" x14ac:dyDescent="0.25">
      <c r="B29" s="493"/>
      <c r="C29" s="493"/>
      <c r="D29" s="514"/>
      <c r="E29" s="515">
        <f>ORÇAMENTO_EXECUTIVO_REV02!$B$21/Índices!E$4*D29</f>
        <v>0</v>
      </c>
      <c r="F29" s="516"/>
      <c r="G29" s="515">
        <f>ORÇAMENTO_EXECUTIVO_REV02!$B$21/Índices!G$4*F29</f>
        <v>0</v>
      </c>
      <c r="H29" s="514"/>
      <c r="I29" s="515">
        <f>ORÇAMENTO_EXECUTIVO_REV02!$B$21/Índices!I$4*H29</f>
        <v>0</v>
      </c>
      <c r="J29" s="514"/>
      <c r="K29" s="515">
        <f>ORÇAMENTO_EXECUTIVO_REV02!$B$21/Índices!K$4*J29</f>
        <v>0</v>
      </c>
      <c r="L29" s="514"/>
      <c r="M29" s="515">
        <f>ORÇAMENTO_EXECUTIVO_REV02!$B$21/Índices!M$4*L29</f>
        <v>0</v>
      </c>
      <c r="N29" s="514"/>
      <c r="O29" s="515" t="e">
        <f>ORÇAMENTO_EXECUTIVO_REV02!$B$21/Índices!O$4*N29</f>
        <v>#DIV/0!</v>
      </c>
      <c r="Q29" s="490"/>
      <c r="R29" s="490"/>
    </row>
    <row r="30" spans="2:18" x14ac:dyDescent="0.25">
      <c r="G30" s="509"/>
    </row>
    <row r="31" spans="2:18" x14ac:dyDescent="0.25">
      <c r="B31" s="492"/>
      <c r="C31" s="492"/>
      <c r="D31" s="254"/>
      <c r="E31" s="507"/>
      <c r="F31" s="492"/>
      <c r="G31" s="254"/>
    </row>
    <row r="32" spans="2:18" x14ac:dyDescent="0.25">
      <c r="D32" s="254"/>
      <c r="E32" s="507"/>
      <c r="G32" s="254"/>
    </row>
    <row r="33" spans="5:5" x14ac:dyDescent="0.25">
      <c r="E33" s="507"/>
    </row>
  </sheetData>
  <mergeCells count="8">
    <mergeCell ref="Q11:R11"/>
    <mergeCell ref="H10:O10"/>
    <mergeCell ref="D11:E11"/>
    <mergeCell ref="F11:G11"/>
    <mergeCell ref="H11:I11"/>
    <mergeCell ref="J11:K11"/>
    <mergeCell ref="L11:M11"/>
    <mergeCell ref="N11:O1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7B2D4-1510-4D4F-9933-056D8A08AC12}">
  <sheetPr>
    <tabColor rgb="FF003C66"/>
  </sheetPr>
  <dimension ref="A2:H68"/>
  <sheetViews>
    <sheetView zoomScaleNormal="100" workbookViewId="0">
      <selection activeCell="H12" sqref="H12"/>
    </sheetView>
  </sheetViews>
  <sheetFormatPr defaultRowHeight="15" x14ac:dyDescent="0.25"/>
  <cols>
    <col min="1" max="1" width="106.5703125" bestFit="1" customWidth="1"/>
    <col min="3" max="3" width="15.7109375" bestFit="1" customWidth="1"/>
    <col min="4" max="4" width="8.85546875" style="3"/>
    <col min="7" max="7" width="14.85546875" bestFit="1" customWidth="1"/>
    <col min="8" max="8" width="9.28515625" style="3" bestFit="1" customWidth="1"/>
  </cols>
  <sheetData>
    <row r="2" spans="1:8" x14ac:dyDescent="0.25">
      <c r="A2" t="s">
        <v>40</v>
      </c>
      <c r="B2">
        <v>2</v>
      </c>
      <c r="C2" t="s">
        <v>87</v>
      </c>
      <c r="D2" s="3">
        <v>18.399999999999999</v>
      </c>
    </row>
    <row r="3" spans="1:8" x14ac:dyDescent="0.25">
      <c r="A3" t="s">
        <v>41</v>
      </c>
      <c r="B3">
        <v>2</v>
      </c>
      <c r="C3" t="s">
        <v>88</v>
      </c>
    </row>
    <row r="4" spans="1:8" x14ac:dyDescent="0.25">
      <c r="A4" t="s">
        <v>42</v>
      </c>
      <c r="B4">
        <v>1</v>
      </c>
      <c r="C4" t="s">
        <v>89</v>
      </c>
      <c r="D4" s="3">
        <v>3.4649999999999999</v>
      </c>
    </row>
    <row r="5" spans="1:8" x14ac:dyDescent="0.25">
      <c r="A5" t="s">
        <v>43</v>
      </c>
      <c r="B5">
        <v>1</v>
      </c>
      <c r="C5" t="s">
        <v>89</v>
      </c>
      <c r="D5" s="3">
        <v>1.7324999999999999</v>
      </c>
      <c r="G5" t="s">
        <v>93</v>
      </c>
      <c r="H5" s="3">
        <f>SUMIF(C:C,G5,D:D)</f>
        <v>400.52209999999991</v>
      </c>
    </row>
    <row r="6" spans="1:8" x14ac:dyDescent="0.25">
      <c r="A6" t="s">
        <v>44</v>
      </c>
      <c r="B6">
        <v>2</v>
      </c>
      <c r="C6" t="s">
        <v>89</v>
      </c>
      <c r="D6" s="3">
        <v>5.2751999999999999</v>
      </c>
      <c r="G6" t="s">
        <v>94</v>
      </c>
      <c r="H6" s="3">
        <f>SUMIF(C:C,G6,D:D)</f>
        <v>1895.0600000000002</v>
      </c>
    </row>
    <row r="7" spans="1:8" x14ac:dyDescent="0.25">
      <c r="A7" t="s">
        <v>45</v>
      </c>
      <c r="B7">
        <v>1</v>
      </c>
      <c r="C7" t="s">
        <v>89</v>
      </c>
      <c r="D7" s="3">
        <v>4.1916000000000002</v>
      </c>
      <c r="G7" t="s">
        <v>91</v>
      </c>
      <c r="H7" s="3">
        <f>SUMIF(C:C,G7,B:B)</f>
        <v>218</v>
      </c>
    </row>
    <row r="8" spans="1:8" x14ac:dyDescent="0.25">
      <c r="A8" t="s">
        <v>46</v>
      </c>
      <c r="B8">
        <v>1</v>
      </c>
      <c r="C8" t="s">
        <v>92</v>
      </c>
      <c r="G8" t="s">
        <v>88</v>
      </c>
      <c r="H8" s="3">
        <f>SUMIF(C:C,G8,B:B)</f>
        <v>60</v>
      </c>
    </row>
    <row r="9" spans="1:8" x14ac:dyDescent="0.25">
      <c r="A9" t="s">
        <v>47</v>
      </c>
      <c r="B9">
        <v>19</v>
      </c>
      <c r="C9" t="s">
        <v>91</v>
      </c>
      <c r="G9" t="s">
        <v>92</v>
      </c>
      <c r="H9" s="3">
        <f>SUMIF(C:C,G9,B:B)</f>
        <v>1</v>
      </c>
    </row>
    <row r="10" spans="1:8" x14ac:dyDescent="0.25">
      <c r="A10" t="s">
        <v>48</v>
      </c>
      <c r="B10">
        <v>3</v>
      </c>
      <c r="C10" t="s">
        <v>89</v>
      </c>
      <c r="D10" s="3">
        <v>6.3</v>
      </c>
      <c r="G10" t="s">
        <v>90</v>
      </c>
      <c r="H10" s="3">
        <f>SUMIF(C:C,G10,D:D)</f>
        <v>46.62</v>
      </c>
    </row>
    <row r="11" spans="1:8" x14ac:dyDescent="0.25">
      <c r="A11" t="s">
        <v>49</v>
      </c>
      <c r="B11">
        <v>2</v>
      </c>
      <c r="C11" t="s">
        <v>89</v>
      </c>
      <c r="D11" s="3">
        <v>3.78</v>
      </c>
      <c r="G11" t="s">
        <v>87</v>
      </c>
      <c r="H11" s="3">
        <f>SUMIF(C:C,G11,B:B)</f>
        <v>2</v>
      </c>
    </row>
    <row r="12" spans="1:8" x14ac:dyDescent="0.25">
      <c r="A12" t="s">
        <v>50</v>
      </c>
      <c r="B12">
        <v>1</v>
      </c>
      <c r="C12" t="s">
        <v>89</v>
      </c>
      <c r="D12" s="3">
        <v>2.0076000000000001</v>
      </c>
      <c r="G12" t="s">
        <v>95</v>
      </c>
      <c r="H12" s="3">
        <f>SUMIF(C:C,G12,D:D)</f>
        <v>113.88000000000002</v>
      </c>
    </row>
    <row r="13" spans="1:8" x14ac:dyDescent="0.25">
      <c r="A13" t="s">
        <v>51</v>
      </c>
      <c r="C13" t="s">
        <v>94</v>
      </c>
      <c r="D13" s="3">
        <v>23.4526</v>
      </c>
      <c r="G13" t="s">
        <v>96</v>
      </c>
      <c r="H13" s="3">
        <v>109.3146</v>
      </c>
    </row>
    <row r="14" spans="1:8" x14ac:dyDescent="0.25">
      <c r="A14" t="s">
        <v>52</v>
      </c>
      <c r="C14" t="s">
        <v>93</v>
      </c>
      <c r="D14" s="3">
        <v>20.8062</v>
      </c>
    </row>
    <row r="15" spans="1:8" x14ac:dyDescent="0.25">
      <c r="A15" t="s">
        <v>53</v>
      </c>
      <c r="B15">
        <v>8</v>
      </c>
      <c r="C15" t="s">
        <v>88</v>
      </c>
    </row>
    <row r="16" spans="1:8" x14ac:dyDescent="0.25">
      <c r="A16" t="s">
        <v>54</v>
      </c>
      <c r="C16" t="s">
        <v>94</v>
      </c>
      <c r="D16" s="3">
        <v>124.1564</v>
      </c>
    </row>
    <row r="17" spans="1:4" x14ac:dyDescent="0.25">
      <c r="A17" t="s">
        <v>55</v>
      </c>
      <c r="B17">
        <v>2</v>
      </c>
      <c r="C17" t="s">
        <v>88</v>
      </c>
    </row>
    <row r="18" spans="1:4" x14ac:dyDescent="0.25">
      <c r="A18" t="s">
        <v>56</v>
      </c>
      <c r="B18">
        <v>2</v>
      </c>
      <c r="C18" t="s">
        <v>90</v>
      </c>
      <c r="D18" s="3">
        <v>2.94</v>
      </c>
    </row>
    <row r="19" spans="1:4" x14ac:dyDescent="0.25">
      <c r="A19" t="s">
        <v>57</v>
      </c>
      <c r="B19">
        <v>2</v>
      </c>
      <c r="C19" t="s">
        <v>90</v>
      </c>
      <c r="D19" s="3">
        <v>3.78</v>
      </c>
    </row>
    <row r="20" spans="1:4" x14ac:dyDescent="0.25">
      <c r="A20" t="s">
        <v>58</v>
      </c>
      <c r="B20">
        <v>5</v>
      </c>
      <c r="C20" t="s">
        <v>91</v>
      </c>
    </row>
    <row r="21" spans="1:4" x14ac:dyDescent="0.25">
      <c r="A21" t="s">
        <v>59</v>
      </c>
      <c r="B21">
        <v>1</v>
      </c>
      <c r="C21" t="s">
        <v>94</v>
      </c>
      <c r="D21" s="3">
        <v>14.7348</v>
      </c>
    </row>
    <row r="22" spans="1:4" x14ac:dyDescent="0.25">
      <c r="A22" t="s">
        <v>60</v>
      </c>
      <c r="C22" t="s">
        <v>94</v>
      </c>
      <c r="D22" s="3">
        <v>45.024799999999999</v>
      </c>
    </row>
    <row r="23" spans="1:4" x14ac:dyDescent="0.25">
      <c r="A23" t="s">
        <v>61</v>
      </c>
      <c r="C23" t="s">
        <v>93</v>
      </c>
      <c r="D23" s="3">
        <v>19.8809</v>
      </c>
    </row>
    <row r="24" spans="1:4" x14ac:dyDescent="0.25">
      <c r="A24" t="s">
        <v>62</v>
      </c>
      <c r="B24">
        <v>38</v>
      </c>
      <c r="C24" t="s">
        <v>88</v>
      </c>
    </row>
    <row r="25" spans="1:4" x14ac:dyDescent="0.25">
      <c r="A25" t="s">
        <v>63</v>
      </c>
      <c r="B25">
        <v>171</v>
      </c>
      <c r="C25" t="s">
        <v>91</v>
      </c>
    </row>
    <row r="26" spans="1:4" x14ac:dyDescent="0.25">
      <c r="A26" t="s">
        <v>64</v>
      </c>
      <c r="B26">
        <v>19</v>
      </c>
      <c r="C26" t="s">
        <v>90</v>
      </c>
      <c r="D26" s="3">
        <v>23.94</v>
      </c>
    </row>
    <row r="27" spans="1:4" x14ac:dyDescent="0.25">
      <c r="A27" t="s">
        <v>65</v>
      </c>
      <c r="B27">
        <v>19</v>
      </c>
      <c r="C27" t="s">
        <v>94</v>
      </c>
      <c r="D27" s="3">
        <v>482.98950000000002</v>
      </c>
    </row>
    <row r="28" spans="1:4" x14ac:dyDescent="0.25">
      <c r="A28" t="s">
        <v>66</v>
      </c>
      <c r="B28">
        <v>19</v>
      </c>
      <c r="C28" t="s">
        <v>94</v>
      </c>
      <c r="D28" s="3">
        <v>338.7396</v>
      </c>
    </row>
    <row r="29" spans="1:4" x14ac:dyDescent="0.25">
      <c r="A29" t="s">
        <v>67</v>
      </c>
      <c r="C29" t="s">
        <v>94</v>
      </c>
      <c r="D29" s="3">
        <v>530.63199999999995</v>
      </c>
    </row>
    <row r="30" spans="1:4" x14ac:dyDescent="0.25">
      <c r="A30" t="s">
        <v>68</v>
      </c>
      <c r="C30" t="s">
        <v>95</v>
      </c>
      <c r="D30" s="3">
        <v>90.155000000000001</v>
      </c>
    </row>
    <row r="31" spans="1:4" x14ac:dyDescent="0.25">
      <c r="A31" t="s">
        <v>69</v>
      </c>
      <c r="C31" t="s">
        <v>93</v>
      </c>
      <c r="D31" s="3">
        <v>297.255</v>
      </c>
    </row>
    <row r="32" spans="1:4" x14ac:dyDescent="0.25">
      <c r="A32" t="s">
        <v>55</v>
      </c>
      <c r="B32">
        <v>2</v>
      </c>
      <c r="C32" t="s">
        <v>88</v>
      </c>
    </row>
    <row r="33" spans="1:4" x14ac:dyDescent="0.25">
      <c r="A33" t="s">
        <v>70</v>
      </c>
      <c r="B33">
        <v>2</v>
      </c>
      <c r="C33" t="s">
        <v>91</v>
      </c>
    </row>
    <row r="34" spans="1:4" x14ac:dyDescent="0.25">
      <c r="A34" t="s">
        <v>71</v>
      </c>
      <c r="B34">
        <v>1</v>
      </c>
      <c r="C34" t="s">
        <v>90</v>
      </c>
      <c r="D34" s="3">
        <v>1.26</v>
      </c>
    </row>
    <row r="35" spans="1:4" x14ac:dyDescent="0.25">
      <c r="A35" t="s">
        <v>72</v>
      </c>
      <c r="B35">
        <v>1</v>
      </c>
      <c r="C35" t="s">
        <v>94</v>
      </c>
      <c r="D35" s="3">
        <v>15.21</v>
      </c>
    </row>
    <row r="36" spans="1:4" x14ac:dyDescent="0.25">
      <c r="A36" t="s">
        <v>73</v>
      </c>
      <c r="B36">
        <v>1</v>
      </c>
      <c r="C36" t="s">
        <v>94</v>
      </c>
      <c r="D36" s="3">
        <v>25.420500000000001</v>
      </c>
    </row>
    <row r="37" spans="1:4" x14ac:dyDescent="0.25">
      <c r="A37" t="s">
        <v>74</v>
      </c>
      <c r="B37">
        <v>1</v>
      </c>
      <c r="C37" t="s">
        <v>94</v>
      </c>
      <c r="D37" s="3">
        <v>17.828399999999998</v>
      </c>
    </row>
    <row r="38" spans="1:4" x14ac:dyDescent="0.25">
      <c r="A38" t="s">
        <v>75</v>
      </c>
      <c r="C38" t="s">
        <v>94</v>
      </c>
      <c r="D38" s="3">
        <v>27.928000000000001</v>
      </c>
    </row>
    <row r="39" spans="1:4" x14ac:dyDescent="0.25">
      <c r="A39" t="s">
        <v>76</v>
      </c>
      <c r="C39" t="s">
        <v>95</v>
      </c>
      <c r="D39" s="3">
        <v>4.7450000000000001</v>
      </c>
    </row>
    <row r="40" spans="1:4" x14ac:dyDescent="0.25">
      <c r="A40" t="s">
        <v>77</v>
      </c>
      <c r="C40" t="s">
        <v>93</v>
      </c>
      <c r="D40" s="3">
        <v>15.645</v>
      </c>
    </row>
    <row r="41" spans="1:4" x14ac:dyDescent="0.25">
      <c r="A41" t="s">
        <v>55</v>
      </c>
      <c r="B41">
        <v>2</v>
      </c>
      <c r="C41" t="s">
        <v>88</v>
      </c>
    </row>
    <row r="42" spans="1:4" x14ac:dyDescent="0.25">
      <c r="A42" t="s">
        <v>78</v>
      </c>
      <c r="B42">
        <v>7</v>
      </c>
      <c r="C42" t="s">
        <v>91</v>
      </c>
    </row>
    <row r="43" spans="1:4" x14ac:dyDescent="0.25">
      <c r="A43" t="s">
        <v>79</v>
      </c>
      <c r="B43">
        <v>2</v>
      </c>
      <c r="C43" t="s">
        <v>91</v>
      </c>
    </row>
    <row r="44" spans="1:4" x14ac:dyDescent="0.25">
      <c r="A44" t="s">
        <v>73</v>
      </c>
      <c r="B44">
        <v>1</v>
      </c>
      <c r="C44" t="s">
        <v>94</v>
      </c>
      <c r="D44" s="3">
        <v>25.420500000000001</v>
      </c>
    </row>
    <row r="45" spans="1:4" x14ac:dyDescent="0.25">
      <c r="A45" t="s">
        <v>74</v>
      </c>
      <c r="B45">
        <v>1</v>
      </c>
      <c r="C45" t="s">
        <v>94</v>
      </c>
      <c r="D45" s="3">
        <v>17.828399999999998</v>
      </c>
    </row>
    <row r="46" spans="1:4" x14ac:dyDescent="0.25">
      <c r="A46" t="s">
        <v>80</v>
      </c>
      <c r="C46" t="s">
        <v>94</v>
      </c>
      <c r="D46" s="3">
        <v>26.827999999999999</v>
      </c>
    </row>
    <row r="47" spans="1:4" x14ac:dyDescent="0.25">
      <c r="A47" t="s">
        <v>76</v>
      </c>
      <c r="C47" t="s">
        <v>95</v>
      </c>
      <c r="D47" s="3">
        <v>4.7450000000000001</v>
      </c>
    </row>
    <row r="48" spans="1:4" x14ac:dyDescent="0.25">
      <c r="A48" t="s">
        <v>77</v>
      </c>
      <c r="C48" t="s">
        <v>93</v>
      </c>
      <c r="D48" s="3">
        <v>15.645</v>
      </c>
    </row>
    <row r="49" spans="1:4" x14ac:dyDescent="0.25">
      <c r="A49" t="s">
        <v>55</v>
      </c>
      <c r="B49">
        <v>2</v>
      </c>
      <c r="C49" t="s">
        <v>88</v>
      </c>
    </row>
    <row r="50" spans="1:4" x14ac:dyDescent="0.25">
      <c r="A50" t="s">
        <v>81</v>
      </c>
      <c r="B50">
        <v>4</v>
      </c>
      <c r="C50" t="s">
        <v>91</v>
      </c>
    </row>
    <row r="51" spans="1:4" x14ac:dyDescent="0.25">
      <c r="A51" t="s">
        <v>71</v>
      </c>
      <c r="B51">
        <v>1</v>
      </c>
      <c r="C51" t="s">
        <v>90</v>
      </c>
      <c r="D51" s="3">
        <v>1.26</v>
      </c>
    </row>
    <row r="52" spans="1:4" x14ac:dyDescent="0.25">
      <c r="A52" t="s">
        <v>82</v>
      </c>
      <c r="B52">
        <v>1</v>
      </c>
      <c r="C52" t="s">
        <v>91</v>
      </c>
    </row>
    <row r="53" spans="1:4" x14ac:dyDescent="0.25">
      <c r="A53" t="s">
        <v>83</v>
      </c>
      <c r="B53">
        <v>1</v>
      </c>
      <c r="C53" t="s">
        <v>90</v>
      </c>
      <c r="D53" s="3">
        <v>10.5</v>
      </c>
    </row>
    <row r="54" spans="1:4" x14ac:dyDescent="0.25">
      <c r="A54" t="s">
        <v>73</v>
      </c>
      <c r="B54">
        <v>1</v>
      </c>
      <c r="C54" t="s">
        <v>94</v>
      </c>
      <c r="D54" s="3">
        <v>25.420500000000001</v>
      </c>
    </row>
    <row r="55" spans="1:4" x14ac:dyDescent="0.25">
      <c r="A55" t="s">
        <v>74</v>
      </c>
      <c r="B55">
        <v>1</v>
      </c>
      <c r="C55" t="s">
        <v>94</v>
      </c>
      <c r="D55" s="3">
        <v>17.828399999999998</v>
      </c>
    </row>
    <row r="56" spans="1:4" x14ac:dyDescent="0.25">
      <c r="A56" t="s">
        <v>75</v>
      </c>
      <c r="C56" t="s">
        <v>94</v>
      </c>
      <c r="D56" s="3">
        <v>27.928000000000001</v>
      </c>
    </row>
    <row r="57" spans="1:4" x14ac:dyDescent="0.25">
      <c r="A57" t="s">
        <v>76</v>
      </c>
      <c r="C57" t="s">
        <v>95</v>
      </c>
      <c r="D57" s="3">
        <v>4.7450000000000001</v>
      </c>
    </row>
    <row r="58" spans="1:4" x14ac:dyDescent="0.25">
      <c r="A58" t="s">
        <v>77</v>
      </c>
      <c r="C58" t="s">
        <v>93</v>
      </c>
      <c r="D58" s="3">
        <v>15.645</v>
      </c>
    </row>
    <row r="59" spans="1:4" x14ac:dyDescent="0.25">
      <c r="A59" t="s">
        <v>55</v>
      </c>
      <c r="B59">
        <v>2</v>
      </c>
      <c r="C59" t="s">
        <v>88</v>
      </c>
    </row>
    <row r="60" spans="1:4" x14ac:dyDescent="0.25">
      <c r="A60" t="s">
        <v>78</v>
      </c>
      <c r="B60">
        <v>7</v>
      </c>
      <c r="C60" t="s">
        <v>91</v>
      </c>
    </row>
    <row r="61" spans="1:4" x14ac:dyDescent="0.25">
      <c r="A61" t="s">
        <v>84</v>
      </c>
      <c r="B61">
        <v>1</v>
      </c>
      <c r="C61" t="s">
        <v>94</v>
      </c>
      <c r="D61" s="3">
        <v>5.61</v>
      </c>
    </row>
    <row r="62" spans="1:4" x14ac:dyDescent="0.25">
      <c r="A62" t="s">
        <v>85</v>
      </c>
      <c r="C62" t="s">
        <v>94</v>
      </c>
      <c r="D62" s="3">
        <v>69.707599999999999</v>
      </c>
    </row>
    <row r="63" spans="1:4" x14ac:dyDescent="0.25">
      <c r="A63" t="s">
        <v>76</v>
      </c>
      <c r="C63" t="s">
        <v>95</v>
      </c>
      <c r="D63" s="3">
        <v>4.7450000000000001</v>
      </c>
    </row>
    <row r="64" spans="1:4" x14ac:dyDescent="0.25">
      <c r="A64" t="s">
        <v>77</v>
      </c>
      <c r="C64" t="s">
        <v>93</v>
      </c>
      <c r="D64" s="3">
        <v>15.645</v>
      </c>
    </row>
    <row r="65" spans="1:4" x14ac:dyDescent="0.25">
      <c r="A65" t="s">
        <v>55</v>
      </c>
      <c r="B65">
        <v>2</v>
      </c>
      <c r="C65" t="s">
        <v>88</v>
      </c>
    </row>
    <row r="66" spans="1:4" x14ac:dyDescent="0.25">
      <c r="A66" t="s">
        <v>56</v>
      </c>
      <c r="B66">
        <v>2</v>
      </c>
      <c r="C66" t="s">
        <v>90</v>
      </c>
      <c r="D66" s="3">
        <v>2.94</v>
      </c>
    </row>
    <row r="67" spans="1:4" x14ac:dyDescent="0.25">
      <c r="A67" t="s">
        <v>86</v>
      </c>
      <c r="C67" t="s">
        <v>94</v>
      </c>
      <c r="D67" s="3">
        <v>32.372</v>
      </c>
    </row>
    <row r="68" spans="1:4" x14ac:dyDescent="0.25">
      <c r="A68" t="s">
        <v>76</v>
      </c>
      <c r="C68" t="s">
        <v>95</v>
      </c>
      <c r="D68" s="3">
        <v>4.7450000000000001</v>
      </c>
    </row>
  </sheetData>
  <autoFilter ref="A1:D68" xr:uid="{0567B2D4-1510-4D4F-9933-056D8A08AC12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44</vt:i4>
      </vt:variant>
      <vt:variant>
        <vt:lpstr>Intervalos Nomeados</vt:lpstr>
      </vt:variant>
      <vt:variant>
        <vt:i4>32</vt:i4>
      </vt:variant>
    </vt:vector>
  </HeadingPairs>
  <TitlesOfParts>
    <vt:vector size="76" baseType="lpstr">
      <vt:lpstr>DADOS_INICIAIS</vt:lpstr>
      <vt:lpstr>MOVIMENTAÇÃO_DE_TERRA</vt:lpstr>
      <vt:lpstr>TERRAPLENAGEM</vt:lpstr>
      <vt:lpstr>CONTENÇÕES</vt:lpstr>
      <vt:lpstr>INFRAESTRUTURA REV01</vt:lpstr>
      <vt:lpstr>SUPRAESTRUTURA</vt:lpstr>
      <vt:lpstr>SUPRAESTRUTURA (2)</vt:lpstr>
      <vt:lpstr>Alvenaria</vt:lpstr>
      <vt:lpstr>REVESTIMENTO PISO</vt:lpstr>
      <vt:lpstr>REVESTIMENTO PAREDE PISCINA</vt:lpstr>
      <vt:lpstr>REVESTIMENTO TETO</vt:lpstr>
      <vt:lpstr>Acabamentos de Piso</vt:lpstr>
      <vt:lpstr>Rev. Internos de Parede</vt:lpstr>
      <vt:lpstr>Acabamentos de Teto</vt:lpstr>
      <vt:lpstr>Ambientes</vt:lpstr>
      <vt:lpstr>Pintura Interna</vt:lpstr>
      <vt:lpstr>Impermeabilização</vt:lpstr>
      <vt:lpstr>Instalações</vt:lpstr>
      <vt:lpstr>Instalações Lumis</vt:lpstr>
      <vt:lpstr>Sistemas Especiais</vt:lpstr>
      <vt:lpstr>Simulador Solar</vt:lpstr>
      <vt:lpstr>Complementares</vt:lpstr>
      <vt:lpstr>Canteiro</vt:lpstr>
      <vt:lpstr>Bases</vt:lpstr>
      <vt:lpstr>EPCs</vt:lpstr>
      <vt:lpstr>CUSTOS_INDIRETOS</vt:lpstr>
      <vt:lpstr>Esquadrias</vt:lpstr>
      <vt:lpstr>ESQUADRIAS_MADEIRA</vt:lpstr>
      <vt:lpstr>PORTA_CORTA_FOGO</vt:lpstr>
      <vt:lpstr>ESQUADRIAS_DE_ALUMÍNIO</vt:lpstr>
      <vt:lpstr>GUARDA_CORPO</vt:lpstr>
      <vt:lpstr>BRISES</vt:lpstr>
      <vt:lpstr>Rev. Fachada</vt:lpstr>
      <vt:lpstr>FACHADA</vt:lpstr>
      <vt:lpstr>ORÇAMENTO_EXECUTIVO_REV03</vt:lpstr>
      <vt:lpstr>ORÇAMENTO_EXECUTIVO_REV02</vt:lpstr>
      <vt:lpstr>ORÇAMENTO_EXECUTIVO_REV01</vt:lpstr>
      <vt:lpstr>ANÁLISE_CUSTOS</vt:lpstr>
      <vt:lpstr>AREAS_PRIVATIVAS</vt:lpstr>
      <vt:lpstr>CÁLCULO_MÉDIAS</vt:lpstr>
      <vt:lpstr>ATALAIA</vt:lpstr>
      <vt:lpstr>Spotico</vt:lpstr>
      <vt:lpstr>Índices</vt:lpstr>
      <vt:lpstr>Auxiliar</vt:lpstr>
      <vt:lpstr>'Acabamentos de Piso'!Area_de_impressao</vt:lpstr>
      <vt:lpstr>'Acabamentos de Teto'!Area_de_impressao</vt:lpstr>
      <vt:lpstr>Alvenaria!Area_de_impressao</vt:lpstr>
      <vt:lpstr>Complementares!Area_de_impressao</vt:lpstr>
      <vt:lpstr>CONTENÇÕES!Area_de_impressao</vt:lpstr>
      <vt:lpstr>DADOS_INICIAIS!Area_de_impressao</vt:lpstr>
      <vt:lpstr>Esquadrias!Area_de_impressao</vt:lpstr>
      <vt:lpstr>Impermeabilização!Area_de_impressao</vt:lpstr>
      <vt:lpstr>'INFRAESTRUTURA REV01'!Area_de_impressao</vt:lpstr>
      <vt:lpstr>Instalações!Area_de_impressao</vt:lpstr>
      <vt:lpstr>'Instalações Lumis'!Area_de_impressao</vt:lpstr>
      <vt:lpstr>MOVIMENTAÇÃO_DE_TERRA!Area_de_impressao</vt:lpstr>
      <vt:lpstr>'Pintura Interna'!Area_de_impressao</vt:lpstr>
      <vt:lpstr>'Rev. Fachada'!Area_de_impressao</vt:lpstr>
      <vt:lpstr>'Rev. Internos de Parede'!Area_de_impressao</vt:lpstr>
      <vt:lpstr>'Sistemas Especiais'!Area_de_impressao</vt:lpstr>
      <vt:lpstr>SUPRAESTRUTURA!Area_de_impressao</vt:lpstr>
      <vt:lpstr>'SUPRAESTRUTURA (2)'!Area_de_impressao</vt:lpstr>
      <vt:lpstr>'Acabamentos de Piso'!Titulos_de_impressao</vt:lpstr>
      <vt:lpstr>'Acabamentos de Teto'!Titulos_de_impressao</vt:lpstr>
      <vt:lpstr>Alvenaria!Titulos_de_impressao</vt:lpstr>
      <vt:lpstr>CONTENÇÕES!Titulos_de_impressao</vt:lpstr>
      <vt:lpstr>DADOS_INICIAIS!Titulos_de_impressao</vt:lpstr>
      <vt:lpstr>Esquadrias!Titulos_de_impressao</vt:lpstr>
      <vt:lpstr>Impermeabilização!Titulos_de_impressao</vt:lpstr>
      <vt:lpstr>'INFRAESTRUTURA REV01'!Titulos_de_impressao</vt:lpstr>
      <vt:lpstr>'Instalações Lumis'!Titulos_de_impressao</vt:lpstr>
      <vt:lpstr>'Pintura Interna'!Titulos_de_impressao</vt:lpstr>
      <vt:lpstr>'Rev. Fachada'!Titulos_de_impressao</vt:lpstr>
      <vt:lpstr>'Rev. Internos de Parede'!Titulos_de_impressao</vt:lpstr>
      <vt:lpstr>SUPRAESTRUTURA!Titulos_de_impressao</vt:lpstr>
      <vt:lpstr>'SUPRAESTRUTURA (2)'!Titulos_de_impressao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Kelen Oliveira</dc:creator>
  <cp:lastModifiedBy>Patricia Bragatto</cp:lastModifiedBy>
  <cp:lastPrinted>2020-09-28T02:21:03Z</cp:lastPrinted>
  <dcterms:created xsi:type="dcterms:W3CDTF">2013-07-31T19:52:57Z</dcterms:created>
  <dcterms:modified xsi:type="dcterms:W3CDTF">2024-09-18T13:56:28Z</dcterms:modified>
</cp:coreProperties>
</file>