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mar Camargo\Dropbox\Universidade de Brasília\Mestrado\Métodos Quantitativos em Computação\Trabalho Final\"/>
    </mc:Choice>
  </mc:AlternateContent>
  <bookViews>
    <workbookView xWindow="0" yWindow="0" windowWidth="20490" windowHeight="7650" activeTab="4"/>
  </bookViews>
  <sheets>
    <sheet name="Heap Sort" sheetId="4" r:id="rId1"/>
    <sheet name="Merge Sort" sheetId="8" r:id="rId2"/>
    <sheet name="Quick Sort" sheetId="9" r:id="rId3"/>
    <sheet name="Radix Sort" sheetId="10" r:id="rId4"/>
    <sheet name="Todos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5" i="11" l="1"/>
  <c r="AR19" i="11"/>
  <c r="AR3" i="11"/>
  <c r="E11" i="11"/>
  <c r="C24" i="4" l="1"/>
  <c r="C23" i="4"/>
  <c r="C22" i="4"/>
  <c r="C21" i="4"/>
  <c r="C20" i="4"/>
  <c r="B24" i="4"/>
  <c r="B23" i="4"/>
  <c r="B22" i="4"/>
  <c r="B21" i="4"/>
  <c r="B20" i="4"/>
  <c r="A24" i="4"/>
  <c r="A23" i="4"/>
  <c r="A22" i="4"/>
  <c r="A21" i="4"/>
  <c r="A20" i="4"/>
  <c r="C37" i="4" l="1"/>
  <c r="A37" i="4"/>
  <c r="C41" i="4"/>
  <c r="A41" i="4"/>
  <c r="A40" i="4"/>
  <c r="C40" i="4"/>
  <c r="A38" i="4"/>
  <c r="C38" i="4"/>
  <c r="C39" i="4"/>
  <c r="A39" i="4"/>
  <c r="E92" i="11"/>
  <c r="O89" i="11"/>
  <c r="J89" i="11"/>
  <c r="E89" i="11"/>
  <c r="O88" i="11"/>
  <c r="J88" i="11"/>
  <c r="E88" i="11"/>
  <c r="O81" i="11"/>
  <c r="O85" i="11" s="1"/>
  <c r="J81" i="11"/>
  <c r="J84" i="11" s="1"/>
  <c r="E81" i="11"/>
  <c r="E84" i="11" s="1"/>
  <c r="O80" i="11"/>
  <c r="J80" i="11"/>
  <c r="E80" i="11"/>
  <c r="O73" i="11"/>
  <c r="AM46" i="11"/>
  <c r="AM45" i="11"/>
  <c r="AM44" i="11"/>
  <c r="AM43" i="11"/>
  <c r="AM42" i="11"/>
  <c r="AM41" i="11"/>
  <c r="AM39" i="11"/>
  <c r="AM38" i="11"/>
  <c r="AM37" i="11"/>
  <c r="AM35" i="11"/>
  <c r="E73" i="11"/>
  <c r="O72" i="11"/>
  <c r="J72" i="11"/>
  <c r="E72" i="11"/>
  <c r="E77" i="11" s="1"/>
  <c r="O90" i="11"/>
  <c r="J90" i="11"/>
  <c r="E90" i="11"/>
  <c r="O82" i="11"/>
  <c r="J82" i="11"/>
  <c r="E82" i="11"/>
  <c r="J85" i="11"/>
  <c r="E76" i="11"/>
  <c r="O74" i="11"/>
  <c r="J74" i="11"/>
  <c r="E74" i="11"/>
  <c r="O63" i="11"/>
  <c r="O64" i="11"/>
  <c r="J64" i="11"/>
  <c r="E64" i="11"/>
  <c r="O56" i="11"/>
  <c r="J56" i="11"/>
  <c r="E56" i="11"/>
  <c r="J63" i="11"/>
  <c r="E63" i="11"/>
  <c r="O55" i="11"/>
  <c r="J55" i="11"/>
  <c r="E55" i="11"/>
  <c r="O48" i="11"/>
  <c r="O47" i="11"/>
  <c r="J48" i="11"/>
  <c r="J47" i="11"/>
  <c r="E47" i="11"/>
  <c r="O65" i="11"/>
  <c r="J65" i="11"/>
  <c r="E65" i="11"/>
  <c r="O57" i="11"/>
  <c r="J57" i="11"/>
  <c r="E57" i="11"/>
  <c r="O49" i="11"/>
  <c r="J49" i="11"/>
  <c r="E48" i="11"/>
  <c r="E49" i="11"/>
  <c r="K40" i="4" l="1"/>
  <c r="K38" i="4"/>
  <c r="K42" i="4" s="1"/>
  <c r="K39" i="4"/>
  <c r="K37" i="4"/>
  <c r="K43" i="4" s="1"/>
  <c r="K44" i="4" s="1"/>
  <c r="O38" i="4"/>
  <c r="O42" i="4" s="1"/>
  <c r="O39" i="4"/>
  <c r="O37" i="4"/>
  <c r="O40" i="4"/>
  <c r="O93" i="11"/>
  <c r="J92" i="11"/>
  <c r="O76" i="11"/>
  <c r="O92" i="11"/>
  <c r="O77" i="11"/>
  <c r="O84" i="11"/>
  <c r="E93" i="11"/>
  <c r="E85" i="11"/>
  <c r="J93" i="11"/>
  <c r="O43" i="4" l="1"/>
  <c r="O44" i="4" s="1"/>
  <c r="E51" i="11"/>
  <c r="O67" i="11"/>
  <c r="O68" i="11"/>
  <c r="J67" i="11"/>
  <c r="E67" i="11"/>
  <c r="J59" i="11"/>
  <c r="O60" i="11"/>
  <c r="J60" i="11"/>
  <c r="E59" i="11"/>
  <c r="O51" i="11"/>
  <c r="J52" i="11"/>
  <c r="E52" i="11"/>
  <c r="O39" i="11"/>
  <c r="O43" i="11" s="1"/>
  <c r="O38" i="11"/>
  <c r="O40" i="11"/>
  <c r="J40" i="11"/>
  <c r="J39" i="11"/>
  <c r="J43" i="11" s="1"/>
  <c r="J38" i="11"/>
  <c r="E40" i="11"/>
  <c r="E39" i="11"/>
  <c r="E43" i="11" s="1"/>
  <c r="E38" i="11"/>
  <c r="O31" i="11"/>
  <c r="O35" i="11" s="1"/>
  <c r="O30" i="11"/>
  <c r="O32" i="11"/>
  <c r="J31" i="11"/>
  <c r="J30" i="11"/>
  <c r="J32" i="11"/>
  <c r="E32" i="11"/>
  <c r="E31" i="11"/>
  <c r="E30" i="11"/>
  <c r="O23" i="11"/>
  <c r="O22" i="11"/>
  <c r="O24" i="11"/>
  <c r="J23" i="11"/>
  <c r="J22" i="11"/>
  <c r="J24" i="11"/>
  <c r="E24" i="11"/>
  <c r="E23" i="11"/>
  <c r="E22" i="11"/>
  <c r="J51" i="11" l="1"/>
  <c r="O52" i="11"/>
  <c r="O59" i="11"/>
  <c r="E68" i="11"/>
  <c r="E60" i="11"/>
  <c r="J68" i="11"/>
  <c r="O42" i="11"/>
  <c r="J42" i="11"/>
  <c r="E42" i="11"/>
  <c r="O34" i="11"/>
  <c r="J35" i="11"/>
  <c r="J34" i="11"/>
  <c r="E35" i="11"/>
  <c r="E34" i="11"/>
  <c r="O27" i="11"/>
  <c r="O26" i="11"/>
  <c r="J27" i="11"/>
  <c r="J26" i="11"/>
  <c r="E26" i="11" l="1"/>
  <c r="E27" i="11"/>
  <c r="AP46" i="11" l="1"/>
  <c r="AP45" i="11"/>
  <c r="AP44" i="11"/>
  <c r="AP43" i="11"/>
  <c r="AP42" i="11"/>
  <c r="AP41" i="11"/>
  <c r="AP39" i="11"/>
  <c r="AP38" i="11"/>
  <c r="AP36" i="11" s="1"/>
  <c r="AP37" i="11"/>
  <c r="AP35" i="11"/>
  <c r="AM40" i="11"/>
  <c r="J73" i="11" s="1"/>
  <c r="AM36" i="11"/>
  <c r="AJ46" i="11"/>
  <c r="AJ45" i="11"/>
  <c r="AJ44" i="11"/>
  <c r="AJ43" i="11"/>
  <c r="AJ42" i="11"/>
  <c r="AJ41" i="11"/>
  <c r="AJ39" i="11"/>
  <c r="AJ38" i="11"/>
  <c r="AJ37" i="11"/>
  <c r="AJ35" i="11"/>
  <c r="AG46" i="11"/>
  <c r="AG45" i="11"/>
  <c r="AG44" i="11"/>
  <c r="AG43" i="11"/>
  <c r="AG42" i="11"/>
  <c r="AG41" i="11"/>
  <c r="AG39" i="11"/>
  <c r="AG38" i="11"/>
  <c r="AG36" i="11" s="1"/>
  <c r="AG37" i="11"/>
  <c r="AG35" i="11"/>
  <c r="AP40" i="11"/>
  <c r="AG40" i="11"/>
  <c r="AP30" i="11"/>
  <c r="AP29" i="11"/>
  <c r="AP28" i="11"/>
  <c r="AP27" i="11"/>
  <c r="AP26" i="11"/>
  <c r="AP25" i="11"/>
  <c r="AP23" i="11"/>
  <c r="AP22" i="11"/>
  <c r="AP20" i="11" s="1"/>
  <c r="AP21" i="11"/>
  <c r="AP19" i="11"/>
  <c r="AM30" i="11"/>
  <c r="AM29" i="11"/>
  <c r="AM28" i="11"/>
  <c r="AM27" i="11"/>
  <c r="AM26" i="11"/>
  <c r="AM25" i="11"/>
  <c r="AM23" i="11"/>
  <c r="AM22" i="11"/>
  <c r="AM21" i="11"/>
  <c r="AM19" i="11"/>
  <c r="AJ19" i="11"/>
  <c r="AJ30" i="11"/>
  <c r="AJ29" i="11"/>
  <c r="AJ28" i="11"/>
  <c r="AJ27" i="11"/>
  <c r="AJ26" i="11"/>
  <c r="AJ25" i="11"/>
  <c r="AJ23" i="11"/>
  <c r="AJ22" i="11"/>
  <c r="AJ20" i="11" s="1"/>
  <c r="AJ21" i="11"/>
  <c r="AG30" i="11"/>
  <c r="AG20" i="11" s="1"/>
  <c r="AG29" i="11"/>
  <c r="AG28" i="11"/>
  <c r="AG27" i="11"/>
  <c r="AG26" i="11"/>
  <c r="AG25" i="11"/>
  <c r="AG23" i="11"/>
  <c r="AG22" i="11"/>
  <c r="AG21" i="11"/>
  <c r="AG19" i="11"/>
  <c r="AG3" i="11"/>
  <c r="AG14" i="11"/>
  <c r="AP24" i="11"/>
  <c r="AJ24" i="11"/>
  <c r="AP14" i="11"/>
  <c r="AP13" i="11"/>
  <c r="AP12" i="11"/>
  <c r="AP11" i="11"/>
  <c r="AP10" i="11"/>
  <c r="AP9" i="11"/>
  <c r="AP7" i="11"/>
  <c r="AP6" i="11"/>
  <c r="AP5" i="11"/>
  <c r="AP3" i="11"/>
  <c r="AM14" i="11"/>
  <c r="AM13" i="11"/>
  <c r="AM12" i="11"/>
  <c r="AM11" i="11"/>
  <c r="AM10" i="11"/>
  <c r="AM9" i="11"/>
  <c r="AM7" i="11"/>
  <c r="AM6" i="11"/>
  <c r="AM5" i="11"/>
  <c r="AM3" i="11"/>
  <c r="AJ14" i="11"/>
  <c r="AJ13" i="11"/>
  <c r="AJ12" i="11"/>
  <c r="AJ11" i="11"/>
  <c r="AJ10" i="11"/>
  <c r="AJ9" i="11"/>
  <c r="AJ7" i="11"/>
  <c r="AJ6" i="11"/>
  <c r="AJ5" i="11"/>
  <c r="AJ3" i="11"/>
  <c r="AG7" i="11"/>
  <c r="AG5" i="11"/>
  <c r="AG6" i="11"/>
  <c r="AG9" i="11"/>
  <c r="AG10" i="11"/>
  <c r="AG11" i="11"/>
  <c r="AG12" i="11"/>
  <c r="AG13" i="11"/>
  <c r="J77" i="11" l="1"/>
  <c r="J76" i="11"/>
  <c r="AM20" i="11"/>
  <c r="AJ36" i="11"/>
  <c r="AG24" i="11"/>
  <c r="AM24" i="11"/>
  <c r="AJ40" i="11"/>
  <c r="AJ4" i="11"/>
  <c r="AJ8" i="11"/>
  <c r="AG8" i="11" l="1"/>
  <c r="AG4" i="11"/>
  <c r="AD4" i="11" l="1"/>
  <c r="AD5" i="11"/>
  <c r="AD6" i="11"/>
  <c r="AD7" i="11"/>
  <c r="AD9" i="11"/>
  <c r="AD10" i="11"/>
  <c r="AD11" i="11"/>
  <c r="AD12" i="11"/>
  <c r="AD13" i="11"/>
  <c r="AD14" i="11"/>
  <c r="AD2" i="11"/>
  <c r="AA2" i="11"/>
  <c r="AA4" i="11"/>
  <c r="AA5" i="11"/>
  <c r="AA6" i="11"/>
  <c r="AA7" i="11"/>
  <c r="AA9" i="11"/>
  <c r="AA10" i="11"/>
  <c r="AA11" i="11"/>
  <c r="AA12" i="11"/>
  <c r="AA13" i="11"/>
  <c r="AA14" i="11"/>
  <c r="X10" i="11"/>
  <c r="X9" i="11"/>
  <c r="X7" i="11"/>
  <c r="X11" i="11"/>
  <c r="X12" i="11"/>
  <c r="X13" i="11"/>
  <c r="X14" i="11"/>
  <c r="X5" i="11"/>
  <c r="X4" i="11"/>
  <c r="X6" i="11"/>
  <c r="X2" i="11"/>
  <c r="E10" i="11" l="1"/>
  <c r="J10" i="11"/>
  <c r="J12" i="11"/>
  <c r="E12" i="11"/>
  <c r="AD8" i="11"/>
  <c r="X8" i="11"/>
  <c r="AA8" i="11"/>
  <c r="X3" i="11"/>
  <c r="AD3" i="11"/>
  <c r="AA3" i="11"/>
  <c r="J11" i="11" l="1"/>
  <c r="AP8" i="11"/>
  <c r="AM8" i="11"/>
  <c r="AP4" i="11"/>
  <c r="AM4" i="11"/>
  <c r="E14" i="11"/>
  <c r="J15" i="11"/>
  <c r="E15" i="11"/>
  <c r="J14" i="11" l="1"/>
  <c r="X3" i="10"/>
  <c r="Z3" i="10"/>
  <c r="Y3" i="4" l="1"/>
  <c r="C24" i="9" l="1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Z3" i="9"/>
  <c r="X3" i="9"/>
  <c r="C24" i="8"/>
  <c r="B24" i="8"/>
  <c r="A24" i="8"/>
  <c r="C23" i="8"/>
  <c r="B23" i="8"/>
  <c r="A23" i="8"/>
  <c r="C22" i="8"/>
  <c r="B22" i="8"/>
  <c r="A22" i="8"/>
  <c r="C21" i="8"/>
  <c r="B21" i="8"/>
  <c r="I22" i="8" s="1"/>
  <c r="A21" i="8"/>
  <c r="C20" i="8"/>
  <c r="B20" i="8"/>
  <c r="A20" i="8"/>
  <c r="Z3" i="8"/>
  <c r="X3" i="8"/>
  <c r="F26" i="4"/>
  <c r="AA3" i="4"/>
  <c r="C38" i="9" l="1"/>
  <c r="A38" i="9"/>
  <c r="C37" i="9"/>
  <c r="A37" i="9"/>
  <c r="A41" i="9"/>
  <c r="C41" i="9"/>
  <c r="C40" i="9"/>
  <c r="A40" i="9"/>
  <c r="A39" i="9"/>
  <c r="C39" i="9"/>
  <c r="C41" i="8"/>
  <c r="A41" i="8"/>
  <c r="C40" i="8"/>
  <c r="A40" i="8"/>
  <c r="A37" i="8"/>
  <c r="C37" i="8"/>
  <c r="A39" i="8"/>
  <c r="C39" i="8"/>
  <c r="C38" i="8"/>
  <c r="A38" i="8"/>
  <c r="F31" i="9"/>
  <c r="F27" i="9"/>
  <c r="F22" i="9"/>
  <c r="F30" i="9"/>
  <c r="F28" i="9"/>
  <c r="F23" i="9"/>
  <c r="F21" i="9" s="1"/>
  <c r="F20" i="9"/>
  <c r="F29" i="9"/>
  <c r="F24" i="9"/>
  <c r="F26" i="9"/>
  <c r="I22" i="9"/>
  <c r="I28" i="9"/>
  <c r="I23" i="9"/>
  <c r="I20" i="9"/>
  <c r="I27" i="9"/>
  <c r="I29" i="9"/>
  <c r="I24" i="9"/>
  <c r="I31" i="9"/>
  <c r="I30" i="9"/>
  <c r="I26" i="9"/>
  <c r="L29" i="9"/>
  <c r="L24" i="9"/>
  <c r="F45" i="9" s="1"/>
  <c r="F47" i="9" s="1"/>
  <c r="L23" i="9"/>
  <c r="L30" i="9"/>
  <c r="L26" i="9"/>
  <c r="L31" i="9"/>
  <c r="L27" i="9"/>
  <c r="L22" i="9"/>
  <c r="L28" i="9"/>
  <c r="L20" i="9"/>
  <c r="I28" i="8"/>
  <c r="I23" i="8"/>
  <c r="I20" i="8"/>
  <c r="I31" i="8"/>
  <c r="I27" i="8"/>
  <c r="I29" i="8"/>
  <c r="I24" i="8"/>
  <c r="I30" i="8"/>
  <c r="I26" i="8"/>
  <c r="L29" i="8"/>
  <c r="L24" i="8"/>
  <c r="L30" i="8"/>
  <c r="L26" i="8"/>
  <c r="L28" i="8"/>
  <c r="L23" i="8"/>
  <c r="L20" i="8"/>
  <c r="L31" i="8"/>
  <c r="L27" i="8"/>
  <c r="L22" i="8"/>
  <c r="F31" i="8"/>
  <c r="F27" i="8"/>
  <c r="F22" i="8"/>
  <c r="F30" i="8"/>
  <c r="F26" i="8"/>
  <c r="F28" i="8"/>
  <c r="F23" i="8"/>
  <c r="F20" i="8"/>
  <c r="F29" i="8"/>
  <c r="F24" i="8"/>
  <c r="L23" i="4"/>
  <c r="L27" i="4"/>
  <c r="L24" i="4"/>
  <c r="L29" i="4"/>
  <c r="L30" i="4"/>
  <c r="L22" i="4"/>
  <c r="L20" i="4"/>
  <c r="L26" i="4"/>
  <c r="L28" i="4"/>
  <c r="L31" i="4"/>
  <c r="I31" i="4"/>
  <c r="I30" i="4"/>
  <c r="I29" i="4"/>
  <c r="I20" i="4"/>
  <c r="I28" i="4"/>
  <c r="I27" i="4"/>
  <c r="I23" i="4"/>
  <c r="I26" i="4"/>
  <c r="I24" i="4"/>
  <c r="I22" i="4"/>
  <c r="F27" i="4"/>
  <c r="F24" i="4"/>
  <c r="F31" i="4"/>
  <c r="F29" i="4"/>
  <c r="F22" i="4"/>
  <c r="F28" i="4"/>
  <c r="F30" i="4"/>
  <c r="F23" i="4"/>
  <c r="F20" i="4"/>
  <c r="C21" i="10"/>
  <c r="C22" i="10"/>
  <c r="C23" i="10"/>
  <c r="C24" i="10"/>
  <c r="C20" i="10"/>
  <c r="B21" i="10"/>
  <c r="B22" i="10"/>
  <c r="B23" i="10"/>
  <c r="B24" i="10"/>
  <c r="B20" i="10"/>
  <c r="A21" i="10"/>
  <c r="A22" i="10"/>
  <c r="A23" i="10"/>
  <c r="A24" i="10"/>
  <c r="A20" i="10"/>
  <c r="A37" i="10" l="1"/>
  <c r="C37" i="10"/>
  <c r="C38" i="10"/>
  <c r="A38" i="10"/>
  <c r="C39" i="10"/>
  <c r="A39" i="10"/>
  <c r="C41" i="10"/>
  <c r="A41" i="10"/>
  <c r="C40" i="10"/>
  <c r="A40" i="10"/>
  <c r="K38" i="9"/>
  <c r="K42" i="9" s="1"/>
  <c r="K40" i="9"/>
  <c r="K37" i="9"/>
  <c r="F38" i="9"/>
  <c r="P37" i="9"/>
  <c r="P43" i="9" s="1"/>
  <c r="P44" i="9" s="1"/>
  <c r="P39" i="9"/>
  <c r="P38" i="9"/>
  <c r="P42" i="9" s="1"/>
  <c r="P40" i="9"/>
  <c r="F46" i="9"/>
  <c r="K39" i="9"/>
  <c r="F41" i="9"/>
  <c r="F43" i="9" s="1"/>
  <c r="F25" i="9"/>
  <c r="F37" i="9"/>
  <c r="F39" i="9" s="1"/>
  <c r="L21" i="8"/>
  <c r="F45" i="8"/>
  <c r="F47" i="8" s="1"/>
  <c r="F41" i="8"/>
  <c r="F42" i="8" s="1"/>
  <c r="F46" i="8"/>
  <c r="K37" i="8"/>
  <c r="P37" i="8"/>
  <c r="P43" i="8" s="1"/>
  <c r="P44" i="8" s="1"/>
  <c r="P40" i="8"/>
  <c r="P38" i="8"/>
  <c r="P42" i="8" s="1"/>
  <c r="P39" i="8"/>
  <c r="F37" i="8"/>
  <c r="F39" i="8" s="1"/>
  <c r="K38" i="8"/>
  <c r="K42" i="8" s="1"/>
  <c r="K39" i="8"/>
  <c r="K40" i="8"/>
  <c r="I25" i="4"/>
  <c r="F41" i="4"/>
  <c r="F42" i="4" s="1"/>
  <c r="F45" i="4"/>
  <c r="F46" i="4" s="1"/>
  <c r="F25" i="4"/>
  <c r="F37" i="4"/>
  <c r="F38" i="4" s="1"/>
  <c r="F43" i="4"/>
  <c r="L21" i="9"/>
  <c r="L25" i="9"/>
  <c r="I25" i="9"/>
  <c r="I21" i="9"/>
  <c r="L25" i="8"/>
  <c r="I25" i="8"/>
  <c r="F21" i="8"/>
  <c r="I21" i="8"/>
  <c r="F25" i="8"/>
  <c r="L25" i="4"/>
  <c r="F24" i="10"/>
  <c r="I22" i="10"/>
  <c r="I21" i="4"/>
  <c r="L21" i="4"/>
  <c r="I30" i="10"/>
  <c r="I26" i="10"/>
  <c r="I31" i="10"/>
  <c r="I27" i="10"/>
  <c r="I29" i="10"/>
  <c r="I28" i="10"/>
  <c r="I23" i="10"/>
  <c r="I21" i="10" s="1"/>
  <c r="I20" i="10"/>
  <c r="F42" i="10" s="1"/>
  <c r="I24" i="10"/>
  <c r="F41" i="10" s="1"/>
  <c r="L31" i="10"/>
  <c r="L27" i="10"/>
  <c r="L22" i="10"/>
  <c r="L28" i="10"/>
  <c r="L23" i="10"/>
  <c r="L21" i="10" s="1"/>
  <c r="L20" i="10"/>
  <c r="L26" i="10"/>
  <c r="L29" i="10"/>
  <c r="L24" i="10"/>
  <c r="L30" i="10"/>
  <c r="F29" i="10"/>
  <c r="F28" i="10"/>
  <c r="F23" i="10"/>
  <c r="F30" i="10"/>
  <c r="F26" i="10"/>
  <c r="F20" i="10"/>
  <c r="F31" i="10"/>
  <c r="F27" i="10"/>
  <c r="F22" i="10"/>
  <c r="F21" i="4"/>
  <c r="K39" i="10" l="1"/>
  <c r="L25" i="10"/>
  <c r="F45" i="10"/>
  <c r="F47" i="10" s="1"/>
  <c r="P37" i="10"/>
  <c r="P40" i="10"/>
  <c r="P39" i="10"/>
  <c r="P38" i="10"/>
  <c r="P42" i="10" s="1"/>
  <c r="P43" i="10" s="1"/>
  <c r="F38" i="10"/>
  <c r="F43" i="10"/>
  <c r="F37" i="10"/>
  <c r="F39" i="10" s="1"/>
  <c r="K38" i="10"/>
  <c r="K42" i="10" s="1"/>
  <c r="K40" i="10"/>
  <c r="K37" i="10"/>
  <c r="K43" i="9"/>
  <c r="K44" i="9" s="1"/>
  <c r="F42" i="9"/>
  <c r="K43" i="8"/>
  <c r="K44" i="8" s="1"/>
  <c r="F43" i="8"/>
  <c r="F38" i="8"/>
  <c r="F47" i="4"/>
  <c r="F39" i="4"/>
  <c r="F21" i="10"/>
  <c r="I25" i="10"/>
  <c r="F25" i="10"/>
  <c r="K43" i="10" l="1"/>
  <c r="K44" i="10" s="1"/>
  <c r="F46" i="10"/>
  <c r="P44" i="10"/>
</calcChain>
</file>

<file path=xl/sharedStrings.xml><?xml version="1.0" encoding="utf-8"?>
<sst xmlns="http://schemas.openxmlformats.org/spreadsheetml/2006/main" count="1218" uniqueCount="92">
  <si>
    <t>Python</t>
  </si>
  <si>
    <t>C#</t>
  </si>
  <si>
    <t>Java</t>
  </si>
  <si>
    <t>Média</t>
  </si>
  <si>
    <t>Variância</t>
  </si>
  <si>
    <t>Observações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</si>
  <si>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</si>
  <si>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</si>
  <si>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</si>
  <si>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</si>
  <si>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</si>
  <si>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</si>
  <si>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</si>
  <si>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t>Variância agrupada</t>
  </si>
  <si>
    <t>Contagem</t>
  </si>
  <si>
    <t>Soma</t>
  </si>
  <si>
    <t>Fonte da variação</t>
  </si>
  <si>
    <t>SQ</t>
  </si>
  <si>
    <t>MQ</t>
  </si>
  <si>
    <t>F</t>
  </si>
  <si>
    <t>valor-P</t>
  </si>
  <si>
    <t>F crítico</t>
  </si>
  <si>
    <t>Entre grupos</t>
  </si>
  <si>
    <t>Dentro dos grupos</t>
  </si>
  <si>
    <t>Total</t>
  </si>
  <si>
    <t>ANOVA: fator único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</si>
  <si>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</si>
  <si>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</si>
  <si>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</si>
  <si>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</si>
  <si>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</si>
  <si>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</si>
  <si>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</si>
  <si>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</si>
  <si>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</si>
  <si>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</si>
  <si>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ERRO</t>
  </si>
  <si>
    <t>IGUALDADE ENTRE OS GRUPOS</t>
  </si>
  <si>
    <t>HIPÓTESE DE IGUALDADE ENTRE OS GRUPOS</t>
  </si>
  <si>
    <t>TESTE T: Tempo de ordenação entre C# e Java</t>
  </si>
  <si>
    <t>RADIX SORT (segundos)</t>
  </si>
  <si>
    <t>RADIX SORT (milissegundos)</t>
  </si>
  <si>
    <t>TESTE T: Tempo de ordenação entre C# e Python</t>
  </si>
  <si>
    <t>HEAP SORT (milissegundos)</t>
  </si>
  <si>
    <t>HEAP SORT (segundos)</t>
  </si>
  <si>
    <t>MERGE SORT (milissegundos)</t>
  </si>
  <si>
    <t>QUICK SORT (milissegundos)</t>
  </si>
  <si>
    <t>GL</t>
  </si>
  <si>
    <t>HEAP SORT</t>
  </si>
  <si>
    <t>MERGE SORT</t>
  </si>
  <si>
    <t>QUICK SORT</t>
  </si>
  <si>
    <t>RADIX SORT</t>
  </si>
  <si>
    <t>JAVA</t>
  </si>
  <si>
    <t>PYTHON</t>
  </si>
  <si>
    <t>Diferença das médias</t>
  </si>
  <si>
    <t>Variância da amostra s²/n</t>
  </si>
  <si>
    <t>DP da diferença das médias</t>
  </si>
  <si>
    <t>Grau de liberdade</t>
  </si>
  <si>
    <r>
      <t>t</t>
    </r>
    <r>
      <rPr>
        <vertAlign val="subscript"/>
        <sz val="11"/>
        <color theme="1"/>
        <rFont val="Calibri"/>
        <family val="2"/>
        <scheme val="minor"/>
      </rPr>
      <t>[0.95;5]</t>
    </r>
  </si>
  <si>
    <t>Indíce de confiança a 90% (-)</t>
  </si>
  <si>
    <t>Indíce de confiança a 90% (+)</t>
  </si>
  <si>
    <t>C# e Java</t>
  </si>
  <si>
    <t>C# e Python</t>
  </si>
  <si>
    <r>
      <t>t</t>
    </r>
    <r>
      <rPr>
        <vertAlign val="subscript"/>
        <sz val="11"/>
        <color theme="1"/>
        <rFont val="Calibri"/>
        <family val="2"/>
        <scheme val="minor"/>
      </rPr>
      <t>[0.95;19]</t>
    </r>
  </si>
  <si>
    <t>MERGE SORT (segundos)</t>
  </si>
  <si>
    <t>TESTE-T: Comparando os algoritmos nas diferentes linguagens</t>
  </si>
  <si>
    <t>HEAP SORT vs MERGE SORT</t>
  </si>
  <si>
    <t>HEAP SORT vs QUICK SORT</t>
  </si>
  <si>
    <t>HEAP SORT vs RADIX SORT</t>
  </si>
  <si>
    <t>MERGE SORT vs HEAP SORT</t>
  </si>
  <si>
    <t>MERGE SORT vs QUICK SORT</t>
  </si>
  <si>
    <t>MERGE SORT vs RADIX SORT</t>
  </si>
  <si>
    <t>QUICK SORT vs HEAP SORT</t>
  </si>
  <si>
    <t>QUICK SORT vs MERGE SORT</t>
  </si>
  <si>
    <r>
      <t>t</t>
    </r>
    <r>
      <rPr>
        <vertAlign val="subscript"/>
        <sz val="11"/>
        <color theme="1"/>
        <rFont val="Calibri"/>
        <family val="2"/>
        <scheme val="minor"/>
      </rPr>
      <t>[0.95;4]</t>
    </r>
  </si>
  <si>
    <t>QUICK SORT vs RADIX SORT</t>
  </si>
  <si>
    <t>Soma de quadrados</t>
  </si>
  <si>
    <t>Graus de liberdade</t>
  </si>
  <si>
    <t>Média Quadrada</t>
  </si>
  <si>
    <t>TESTE-T</t>
  </si>
  <si>
    <t>C# - Java</t>
  </si>
  <si>
    <t>C# - Python</t>
  </si>
  <si>
    <t>Desvio Padrão</t>
  </si>
  <si>
    <t>Intervalo de confiança para a média</t>
  </si>
  <si>
    <t>Intervalos de confiança das linguagens</t>
  </si>
  <si>
    <t>IC em 90% (-)</t>
  </si>
  <si>
    <t>IC em 90% (+)</t>
  </si>
  <si>
    <t>IC para a média de C#</t>
  </si>
  <si>
    <t>IC para a média de Java</t>
  </si>
  <si>
    <t>IC para a média de Python</t>
  </si>
  <si>
    <t>De</t>
  </si>
  <si>
    <t>TESTE-T: Comparando somente a linguagem em todos os algoritmos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</si>
</sst>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0"/>
    <numFmt numFmtId="165" formatCode="0.00000"/>
    <numFmt numFmtId="166" formatCode="_-* #,##0.000000_-;\-* #,##0.000000_-;_-* &quot;-&quot;??_-;_-@_-"/>
    <numFmt numFmtId="167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43" fontId="0" fillId="0" borderId="0" xfId="1" applyFont="1" applyFill="1" applyBorder="1" applyAlignment="1">
      <alignment horizontal="center"/>
    </xf>
    <xf numFmtId="43" fontId="0" fillId="0" borderId="3" xfId="1" applyFon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Alignment="1">
      <alignment horizontal="center" vertical="center"/>
    </xf>
    <xf numFmtId="2" fontId="0" fillId="0" borderId="0" xfId="1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6" fontId="0" fillId="0" borderId="0" xfId="1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 applyFill="1" applyBorder="1" applyAlignment="1">
      <alignment horizontal="center"/>
    </xf>
    <xf numFmtId="0" fontId="5" fillId="10" borderId="0" xfId="0" applyFont="1" applyFill="1" applyBorder="1" applyAlignment="1">
      <alignment vertical="center"/>
    </xf>
    <xf numFmtId="0" fontId="5" fillId="10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164" fontId="0" fillId="0" borderId="6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00CC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(Todos!$AF$2,Todos!$AI$2,Todos!$AL$2,Todos!$AO$2)</c:f>
              <c:strCache>
                <c:ptCount val="4"/>
                <c:pt idx="0">
                  <c:v>HEAP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RADIX SORT</c:v>
                </c:pt>
              </c:strCache>
            </c:strRef>
          </c:cat>
          <c:val>
            <c:numRef>
              <c:f>(Todos!$AG$3,Todos!$AJ$3,Todos!$AM$3,Todos!$AP$3)</c:f>
              <c:numCache>
                <c:formatCode>0.00</c:formatCode>
                <c:ptCount val="4"/>
                <c:pt idx="0">
                  <c:v>16.046199999999999</c:v>
                </c:pt>
                <c:pt idx="1">
                  <c:v>5.9329999999999998</c:v>
                </c:pt>
                <c:pt idx="2">
                  <c:v>3.6235999999999997</c:v>
                </c:pt>
                <c:pt idx="3">
                  <c:v>4.8932000000000002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F-4A67-8EEF-7921D1FB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29719376"/>
        <c:axId val="829728112"/>
      </c:barChart>
      <c:catAx>
        <c:axId val="8297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728112"/>
        <c:crosses val="autoZero"/>
        <c:auto val="1"/>
        <c:lblAlgn val="ctr"/>
        <c:lblOffset val="100"/>
        <c:noMultiLvlLbl val="0"/>
      </c:catAx>
      <c:valAx>
        <c:axId val="8297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71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(Todos!$AF$18,Todos!$AI$18,Todos!$AL$18,Todos!$AO$18)</c:f>
              <c:strCache>
                <c:ptCount val="4"/>
                <c:pt idx="0">
                  <c:v>HEAP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RADIX SORT</c:v>
                </c:pt>
              </c:strCache>
            </c:strRef>
          </c:cat>
          <c:val>
            <c:numRef>
              <c:f>(Todos!$AG$19,Todos!$AJ$19,Todos!$AM$19,Todos!$AP$19)</c:f>
              <c:numCache>
                <c:formatCode>0.00</c:formatCode>
                <c:ptCount val="4"/>
                <c:pt idx="0">
                  <c:v>3.7281999999999997</c:v>
                </c:pt>
                <c:pt idx="1">
                  <c:v>2.4346000000000001</c:v>
                </c:pt>
                <c:pt idx="2">
                  <c:v>3.6235999999999997</c:v>
                </c:pt>
                <c:pt idx="3">
                  <c:v>2.2670000000000003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3-4331-BC8F-E7552E5E8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730608"/>
        <c:axId val="829721040"/>
      </c:barChart>
      <c:catAx>
        <c:axId val="82973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721040"/>
        <c:crosses val="autoZero"/>
        <c:auto val="1"/>
        <c:lblAlgn val="ctr"/>
        <c:lblOffset val="100"/>
        <c:noMultiLvlLbl val="0"/>
      </c:catAx>
      <c:valAx>
        <c:axId val="8297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7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(Todos!$AF$34,Todos!$AI$34,Todos!$AL$34,Todos!$AO$34)</c:f>
              <c:strCache>
                <c:ptCount val="4"/>
                <c:pt idx="0">
                  <c:v>HEAP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RADIX SORT</c:v>
                </c:pt>
              </c:strCache>
            </c:strRef>
          </c:cat>
          <c:val>
            <c:numRef>
              <c:f>(Todos!$AG$35,Todos!$AJ$35,Todos!$AM$35,Todos!$AP$35)</c:f>
              <c:numCache>
                <c:formatCode>0.00</c:formatCode>
                <c:ptCount val="4"/>
                <c:pt idx="0">
                  <c:v>306.64659999999998</c:v>
                </c:pt>
                <c:pt idx="1">
                  <c:v>211.48679999999999</c:v>
                </c:pt>
                <c:pt idx="2">
                  <c:v>113.60799999999999</c:v>
                </c:pt>
                <c:pt idx="3">
                  <c:v>200.18940000000003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E-46B3-852F-DEE4DD1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6645440"/>
        <c:axId val="866641280"/>
      </c:barChart>
      <c:catAx>
        <c:axId val="8666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641280"/>
        <c:crosses val="autoZero"/>
        <c:auto val="1"/>
        <c:lblAlgn val="ctr"/>
        <c:lblOffset val="100"/>
        <c:noMultiLvlLbl val="0"/>
      </c:catAx>
      <c:valAx>
        <c:axId val="8666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64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(Todos!$AF$1,Todos!$AF$17,Todos!$AF$33)</c:f>
              <c:strCache>
                <c:ptCount val="3"/>
                <c:pt idx="0">
                  <c:v>C#</c:v>
                </c:pt>
                <c:pt idx="1">
                  <c:v>Java</c:v>
                </c:pt>
                <c:pt idx="2">
                  <c:v>Python</c:v>
                </c:pt>
              </c:strCache>
            </c:strRef>
          </c:cat>
          <c:val>
            <c:numRef>
              <c:f>(Todos!$AR$3,Todos!$AR$19,Todos!$AR$35)</c:f>
              <c:numCache>
                <c:formatCode>0.00</c:formatCode>
                <c:ptCount val="3"/>
                <c:pt idx="0">
                  <c:v>7.6239999999999997</c:v>
                </c:pt>
                <c:pt idx="1">
                  <c:v>3.01335</c:v>
                </c:pt>
                <c:pt idx="2">
                  <c:v>207.98269999999997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9-487E-A34B-3DEEED45B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573472"/>
        <c:axId val="845574304"/>
      </c:barChart>
      <c:catAx>
        <c:axId val="8455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5574304"/>
        <c:crosses val="autoZero"/>
        <c:auto val="1"/>
        <c:lblAlgn val="ctr"/>
        <c:lblOffset val="100"/>
        <c:noMultiLvlLbl val="0"/>
      </c:catAx>
      <c:valAx>
        <c:axId val="845574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55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556932</xdr:colOff>
      <xdr:row>0</xdr:row>
      <xdr:rowOff>56030</xdr:rowOff>
    </xdr:from>
    <xdr:to>
      <xdr:col>51</xdr:col>
      <xdr:colOff>252132</xdr:colOff>
      <xdr:row>14</xdr:row>
      <xdr:rowOff>16249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599515</xdr:colOff>
      <xdr:row>15</xdr:row>
      <xdr:rowOff>186017</xdr:rowOff>
    </xdr:from>
    <xdr:to>
      <xdr:col>51</xdr:col>
      <xdr:colOff>330573</xdr:colOff>
      <xdr:row>29</xdr:row>
      <xdr:rowOff>127747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588308</xdr:colOff>
      <xdr:row>31</xdr:row>
      <xdr:rowOff>197224</xdr:rowOff>
    </xdr:from>
    <xdr:to>
      <xdr:col>51</xdr:col>
      <xdr:colOff>319366</xdr:colOff>
      <xdr:row>45</xdr:row>
      <xdr:rowOff>127747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565896</xdr:colOff>
      <xdr:row>0</xdr:row>
      <xdr:rowOff>62753</xdr:rowOff>
    </xdr:from>
    <xdr:to>
      <xdr:col>59</xdr:col>
      <xdr:colOff>296955</xdr:colOff>
      <xdr:row>14</xdr:row>
      <xdr:rowOff>15688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A25" zoomScaleNormal="100" workbookViewId="0">
      <selection activeCell="AO4" sqref="AO4"/>
    </sheetView>
  </sheetViews>
  <sheetFormatPr defaultRowHeight="15" x14ac:dyDescent="0.25"/>
  <cols>
    <col min="1" max="1" width="9.5703125" style="4" customWidth="1"/>
    <col min="2" max="2" width="8.5703125" style="4" bestFit="1" customWidth="1"/>
    <col min="3" max="3" width="11" style="4" bestFit="1" customWidth="1"/>
    <col min="4" max="4" width="8.5703125" style="4" bestFit="1" customWidth="1"/>
    <col min="5" max="5" width="23.7109375" style="4" bestFit="1" customWidth="1"/>
    <col min="6" max="6" width="12.7109375" style="5" bestFit="1" customWidth="1"/>
    <col min="7" max="7" width="9.140625" style="4"/>
    <col min="8" max="8" width="23.7109375" style="4" bestFit="1" customWidth="1"/>
    <col min="9" max="9" width="12.7109375" style="4" bestFit="1" customWidth="1"/>
    <col min="10" max="10" width="9.140625" style="4"/>
    <col min="11" max="11" width="23.7109375" style="4" bestFit="1" customWidth="1"/>
    <col min="12" max="12" width="12.7109375" style="4" bestFit="1" customWidth="1"/>
    <col min="13" max="13" width="9.140625" style="4"/>
    <col min="14" max="14" width="9.140625" style="54"/>
    <col min="15" max="15" width="17.42578125" style="4" bestFit="1" customWidth="1"/>
    <col min="16" max="16" width="18.5703125" style="4" bestFit="1" customWidth="1"/>
    <col min="17" max="17" width="18.140625" style="4" bestFit="1" customWidth="1"/>
    <col min="18" max="18" width="15.85546875" style="4" bestFit="1" customWidth="1"/>
    <col min="19" max="21" width="12" style="4" bestFit="1" customWidth="1"/>
    <col min="22" max="24" width="9.140625" style="4"/>
    <col min="25" max="25" width="24.28515625" style="4" bestFit="1" customWidth="1"/>
    <col min="26" max="26" width="9.140625" style="4"/>
    <col min="27" max="27" width="28.85546875" style="4" bestFit="1" customWidth="1"/>
    <col min="28" max="28" width="9.140625" style="4"/>
    <col min="29" max="29" width="29.85546875" style="4" bestFit="1" customWidth="1"/>
    <col min="30" max="30" width="12" style="4" bestFit="1" customWidth="1"/>
    <col min="31" max="31" width="10" style="4" bestFit="1" customWidth="1"/>
    <col min="32" max="32" width="9.140625" style="4"/>
    <col min="33" max="33" width="29.85546875" style="4" bestFit="1" customWidth="1"/>
    <col min="34" max="34" width="12.7109375" style="4" bestFit="1" customWidth="1"/>
    <col min="35" max="35" width="12" style="4" bestFit="1" customWidth="1"/>
    <col min="36" max="16384" width="9.140625" style="4"/>
  </cols>
  <sheetData>
    <row r="1" spans="1:35" ht="15" customHeight="1" x14ac:dyDescent="0.25">
      <c r="A1" s="66" t="s">
        <v>43</v>
      </c>
      <c r="B1" s="67"/>
      <c r="C1" s="67"/>
      <c r="D1" s="8"/>
      <c r="E1" s="63" t="s">
        <v>1</v>
      </c>
      <c r="F1" s="63"/>
      <c r="H1" s="63" t="s">
        <v>2</v>
      </c>
      <c r="I1" s="63"/>
      <c r="K1" s="63" t="s">
        <v>0</v>
      </c>
      <c r="L1" s="63"/>
      <c r="O1" s="65" t="s">
        <v>25</v>
      </c>
      <c r="P1" s="65"/>
      <c r="Q1" s="65"/>
      <c r="R1" s="65"/>
      <c r="S1" s="65"/>
      <c r="T1" s="65"/>
      <c r="U1" s="65"/>
      <c r="W1" s="65" t="s">
        <v>36</v>
      </c>
      <c r="Y1" s="68" t="s">
        <v>37</v>
      </c>
      <c r="AA1" s="68" t="s">
        <v>38</v>
      </c>
      <c r="AC1" s="65" t="s">
        <v>39</v>
      </c>
      <c r="AD1" s="65"/>
      <c r="AE1" s="65"/>
      <c r="AG1" s="65" t="s">
        <v>42</v>
      </c>
      <c r="AH1" s="65"/>
      <c r="AI1" s="65"/>
    </row>
    <row r="2" spans="1:35" ht="15.75" thickBot="1" x14ac:dyDescent="0.3">
      <c r="A2" s="26" t="s">
        <v>1</v>
      </c>
      <c r="B2" s="26" t="s">
        <v>2</v>
      </c>
      <c r="C2" s="26" t="s">
        <v>0</v>
      </c>
      <c r="D2" s="8"/>
      <c r="E2" s="64"/>
      <c r="F2" s="64"/>
      <c r="H2" s="64"/>
      <c r="I2" s="64"/>
      <c r="K2" s="64"/>
      <c r="L2" s="64"/>
      <c r="O2" s="65"/>
      <c r="P2" s="65"/>
      <c r="Q2" s="65"/>
      <c r="R2" s="65"/>
      <c r="S2" s="65"/>
      <c r="T2" s="65"/>
      <c r="U2" s="65"/>
      <c r="W2" s="65"/>
      <c r="Y2" s="69"/>
      <c r="AA2" s="69"/>
      <c r="AC2" s="64"/>
      <c r="AD2" s="64"/>
      <c r="AE2" s="64"/>
      <c r="AG2" s="64"/>
      <c r="AH2" s="64"/>
      <c r="AI2" s="64"/>
    </row>
    <row r="3" spans="1:35" ht="15.75" thickBot="1" x14ac:dyDescent="0.3">
      <c r="A3" s="16">
        <v>15687</v>
      </c>
      <c r="B3" s="16">
        <v>3540</v>
      </c>
      <c r="C3" s="16">
        <v>310359</v>
      </c>
      <c r="D3" s="6"/>
      <c r="E3" s="28" t="s">
        <v>3</v>
      </c>
      <c r="F3" s="2">
        <v>16046.2</v>
      </c>
      <c r="H3" s="28" t="s">
        <v>3</v>
      </c>
      <c r="I3" s="2">
        <v>3728.2</v>
      </c>
      <c r="K3" s="28" t="s">
        <v>3</v>
      </c>
      <c r="L3" s="2">
        <v>306646.59999999998</v>
      </c>
      <c r="O3" s="15" t="s">
        <v>16</v>
      </c>
      <c r="P3" s="15" t="s">
        <v>17</v>
      </c>
      <c r="Q3" s="15" t="s">
        <v>7</v>
      </c>
      <c r="R3" s="15" t="s">
        <v>18</v>
      </c>
      <c r="S3" s="15" t="s">
        <v>19</v>
      </c>
      <c r="T3" s="15" t="s">
        <v>20</v>
      </c>
      <c r="U3" s="15" t="s">
        <v>21</v>
      </c>
      <c r="W3" s="21">
        <v>0.05</v>
      </c>
      <c r="Y3" s="4" t="str">
        <f>IF($T$4&gt;$W$3,"Aceita","Rejeita")</f>
        <v>Rejeita</v>
      </c>
      <c r="AA3" s="4" t="str">
        <f>IF($U$4&gt;$S$4,"Aceita","Rejeita")</f>
        <v>Rejeita</v>
      </c>
      <c r="AC3" s="1"/>
      <c r="AD3" s="15" t="s">
        <v>1</v>
      </c>
      <c r="AE3" s="15" t="s">
        <v>2</v>
      </c>
      <c r="AG3" s="15"/>
      <c r="AH3" s="15" t="s">
        <v>1</v>
      </c>
      <c r="AI3" s="15" t="s">
        <v>0</v>
      </c>
    </row>
    <row r="4" spans="1:35" x14ac:dyDescent="0.25">
      <c r="A4" s="16">
        <v>15212</v>
      </c>
      <c r="B4" s="16">
        <v>3549</v>
      </c>
      <c r="C4" s="16">
        <v>320498</v>
      </c>
      <c r="D4" s="6"/>
      <c r="E4" s="28" t="s">
        <v>26</v>
      </c>
      <c r="F4" s="2">
        <v>278.83030681760545</v>
      </c>
      <c r="H4" s="28" t="s">
        <v>26</v>
      </c>
      <c r="I4" s="2">
        <v>112.34295705561608</v>
      </c>
      <c r="K4" s="28" t="s">
        <v>26</v>
      </c>
      <c r="L4" s="2">
        <v>6393.1156222924674</v>
      </c>
      <c r="O4" s="2" t="s">
        <v>22</v>
      </c>
      <c r="P4" s="2">
        <v>293933137771.20001</v>
      </c>
      <c r="Q4" s="2">
        <v>2</v>
      </c>
      <c r="R4" s="2">
        <v>146966568885.60001</v>
      </c>
      <c r="S4" s="2">
        <v>2152.7100009004766</v>
      </c>
      <c r="T4" s="2">
        <v>4.6104326387201765E-16</v>
      </c>
      <c r="U4" s="2">
        <v>3.8852938346523942</v>
      </c>
      <c r="W4" s="21"/>
      <c r="AC4" s="28" t="s">
        <v>3</v>
      </c>
      <c r="AD4" s="2">
        <v>16046.2</v>
      </c>
      <c r="AE4" s="2">
        <v>3728.2</v>
      </c>
      <c r="AG4" s="28" t="s">
        <v>3</v>
      </c>
      <c r="AH4" s="2">
        <v>16046.2</v>
      </c>
      <c r="AI4" s="2">
        <v>306646.59999999998</v>
      </c>
    </row>
    <row r="5" spans="1:35" x14ac:dyDescent="0.25">
      <c r="A5" s="16">
        <v>16842</v>
      </c>
      <c r="B5" s="17">
        <v>3900</v>
      </c>
      <c r="C5" s="16">
        <v>318812</v>
      </c>
      <c r="D5" s="6"/>
      <c r="E5" s="28" t="s">
        <v>27</v>
      </c>
      <c r="F5" s="2">
        <v>16151</v>
      </c>
      <c r="H5" s="28" t="s">
        <v>27</v>
      </c>
      <c r="I5" s="2">
        <v>3565</v>
      </c>
      <c r="K5" s="28" t="s">
        <v>27</v>
      </c>
      <c r="L5" s="2">
        <v>310359</v>
      </c>
      <c r="O5" s="2" t="s">
        <v>23</v>
      </c>
      <c r="P5" s="2">
        <v>819245892.80000007</v>
      </c>
      <c r="Q5" s="2">
        <v>12</v>
      </c>
      <c r="R5" s="2">
        <v>68270491.066666678</v>
      </c>
      <c r="S5" s="2"/>
      <c r="T5" s="2"/>
      <c r="U5" s="2"/>
      <c r="AC5" s="28" t="s">
        <v>4</v>
      </c>
      <c r="AD5" s="2">
        <v>388731.69999999995</v>
      </c>
      <c r="AE5" s="2">
        <v>63104.7</v>
      </c>
      <c r="AG5" s="28" t="s">
        <v>4</v>
      </c>
      <c r="AH5" s="2">
        <v>388731.69999999995</v>
      </c>
      <c r="AI5" s="2">
        <v>204359636.80000001</v>
      </c>
    </row>
    <row r="6" spans="1:35" x14ac:dyDescent="0.25">
      <c r="A6" s="17">
        <v>16339</v>
      </c>
      <c r="B6" s="17">
        <v>3565</v>
      </c>
      <c r="C6" s="17">
        <v>295090</v>
      </c>
      <c r="E6" s="28" t="s">
        <v>28</v>
      </c>
      <c r="F6" s="2" t="e">
        <v>#N/A</v>
      </c>
      <c r="H6" s="28" t="s">
        <v>28</v>
      </c>
      <c r="I6" s="2" t="e">
        <v>#N/A</v>
      </c>
      <c r="K6" s="28" t="s">
        <v>28</v>
      </c>
      <c r="L6" s="2" t="e">
        <v>#N/A</v>
      </c>
      <c r="O6" s="2"/>
      <c r="P6" s="2"/>
      <c r="Q6" s="2"/>
      <c r="R6" s="2"/>
      <c r="S6" s="2"/>
      <c r="T6" s="2"/>
      <c r="U6" s="2"/>
      <c r="AC6" s="28" t="s">
        <v>5</v>
      </c>
      <c r="AD6" s="2">
        <v>5</v>
      </c>
      <c r="AE6" s="2">
        <v>5</v>
      </c>
      <c r="AG6" s="28" t="s">
        <v>5</v>
      </c>
      <c r="AH6" s="2">
        <v>5</v>
      </c>
      <c r="AI6" s="2">
        <v>5</v>
      </c>
    </row>
    <row r="7" spans="1:35" ht="15.75" thickBot="1" x14ac:dyDescent="0.3">
      <c r="A7" s="19">
        <v>16151</v>
      </c>
      <c r="B7" s="25">
        <v>4087</v>
      </c>
      <c r="C7" s="19">
        <v>288474</v>
      </c>
      <c r="E7" s="28" t="s">
        <v>29</v>
      </c>
      <c r="F7" s="2">
        <v>623.48352023128882</v>
      </c>
      <c r="H7" s="28" t="s">
        <v>29</v>
      </c>
      <c r="I7" s="2">
        <v>251.20648876969719</v>
      </c>
      <c r="K7" s="28" t="s">
        <v>29</v>
      </c>
      <c r="L7" s="2">
        <v>14295.441119461828</v>
      </c>
      <c r="O7" s="3" t="s">
        <v>24</v>
      </c>
      <c r="P7" s="3">
        <v>294752383664</v>
      </c>
      <c r="Q7" s="3">
        <v>14</v>
      </c>
      <c r="R7" s="3"/>
      <c r="S7" s="3"/>
      <c r="T7" s="3"/>
      <c r="U7" s="3"/>
      <c r="AC7" s="28" t="s">
        <v>13</v>
      </c>
      <c r="AD7" s="2">
        <v>225918.19999999998</v>
      </c>
      <c r="AE7" s="2"/>
      <c r="AG7" s="28" t="s">
        <v>13</v>
      </c>
      <c r="AH7" s="2">
        <v>102374184.25</v>
      </c>
      <c r="AI7" s="2"/>
    </row>
    <row r="8" spans="1:35" x14ac:dyDescent="0.25">
      <c r="E8" s="28" t="s">
        <v>30</v>
      </c>
      <c r="F8" s="2">
        <v>388731.69999999995</v>
      </c>
      <c r="H8" s="28" t="s">
        <v>30</v>
      </c>
      <c r="I8" s="2">
        <v>63104.7</v>
      </c>
      <c r="K8" s="28" t="s">
        <v>30</v>
      </c>
      <c r="L8" s="2">
        <v>204359636.80000001</v>
      </c>
      <c r="AC8" s="28" t="s">
        <v>6</v>
      </c>
      <c r="AD8" s="2">
        <v>0</v>
      </c>
      <c r="AE8" s="2"/>
      <c r="AG8" s="28" t="s">
        <v>6</v>
      </c>
      <c r="AH8" s="2">
        <v>0</v>
      </c>
      <c r="AI8" s="2"/>
    </row>
    <row r="9" spans="1:35" x14ac:dyDescent="0.25">
      <c r="E9" s="28" t="s">
        <v>31</v>
      </c>
      <c r="F9" s="2">
        <v>-0.47706823807821586</v>
      </c>
      <c r="H9" s="28" t="s">
        <v>31</v>
      </c>
      <c r="I9" s="2">
        <v>-1.5840777176695449</v>
      </c>
      <c r="K9" s="28" t="s">
        <v>31</v>
      </c>
      <c r="L9" s="2">
        <v>-2.4387961283770982</v>
      </c>
      <c r="AC9" s="28" t="s">
        <v>7</v>
      </c>
      <c r="AD9" s="2">
        <v>8</v>
      </c>
      <c r="AE9" s="2"/>
      <c r="AG9" s="28" t="s">
        <v>7</v>
      </c>
      <c r="AH9" s="2">
        <v>8</v>
      </c>
      <c r="AI9" s="2"/>
    </row>
    <row r="10" spans="1:35" x14ac:dyDescent="0.25">
      <c r="E10" s="28" t="s">
        <v>32</v>
      </c>
      <c r="F10" s="2">
        <v>-0.16611326813183683</v>
      </c>
      <c r="H10" s="28" t="s">
        <v>32</v>
      </c>
      <c r="I10" s="2">
        <v>0.90666379843543354</v>
      </c>
      <c r="K10" s="28" t="s">
        <v>32</v>
      </c>
      <c r="L10" s="2">
        <v>-0.43296274695617054</v>
      </c>
      <c r="AC10" s="28" t="s">
        <v>8</v>
      </c>
      <c r="AD10" s="2">
        <v>40.976474906819206</v>
      </c>
      <c r="AE10" s="2"/>
      <c r="AG10" s="28" t="s">
        <v>8</v>
      </c>
      <c r="AH10" s="2">
        <v>-45.412037205556295</v>
      </c>
      <c r="AI10" s="2"/>
    </row>
    <row r="11" spans="1:35" x14ac:dyDescent="0.25">
      <c r="E11" s="28" t="s">
        <v>33</v>
      </c>
      <c r="F11" s="2">
        <v>1630</v>
      </c>
      <c r="H11" s="28" t="s">
        <v>33</v>
      </c>
      <c r="I11" s="2">
        <v>547</v>
      </c>
      <c r="K11" s="28" t="s">
        <v>33</v>
      </c>
      <c r="L11" s="2">
        <v>32024</v>
      </c>
      <c r="AC11" s="28" t="s">
        <v>9</v>
      </c>
      <c r="AD11" s="2">
        <v>6.9259523743473002E-11</v>
      </c>
      <c r="AE11" s="2"/>
      <c r="AG11" s="28" t="s">
        <v>9</v>
      </c>
      <c r="AH11" s="2">
        <v>3.0532799726803703E-11</v>
      </c>
      <c r="AI11" s="2"/>
    </row>
    <row r="12" spans="1:35" x14ac:dyDescent="0.25">
      <c r="E12" s="28" t="s">
        <v>34</v>
      </c>
      <c r="F12" s="2">
        <v>15212</v>
      </c>
      <c r="H12" s="28" t="s">
        <v>34</v>
      </c>
      <c r="I12" s="2">
        <v>3540</v>
      </c>
      <c r="K12" s="28" t="s">
        <v>34</v>
      </c>
      <c r="L12" s="2">
        <v>288474</v>
      </c>
      <c r="AC12" s="28" t="s">
        <v>10</v>
      </c>
      <c r="AD12" s="2">
        <v>1.8595480375308981</v>
      </c>
      <c r="AE12" s="2"/>
      <c r="AG12" s="28" t="s">
        <v>10</v>
      </c>
      <c r="AH12" s="2">
        <v>1.8595480375308981</v>
      </c>
      <c r="AI12" s="2"/>
    </row>
    <row r="13" spans="1:35" x14ac:dyDescent="0.25">
      <c r="E13" s="28" t="s">
        <v>35</v>
      </c>
      <c r="F13" s="2">
        <v>16842</v>
      </c>
      <c r="H13" s="28" t="s">
        <v>35</v>
      </c>
      <c r="I13" s="2">
        <v>4087</v>
      </c>
      <c r="K13" s="28" t="s">
        <v>35</v>
      </c>
      <c r="L13" s="2">
        <v>320498</v>
      </c>
      <c r="AC13" s="28" t="s">
        <v>11</v>
      </c>
      <c r="AD13" s="2">
        <v>1.38519047486946E-10</v>
      </c>
      <c r="AE13" s="2"/>
      <c r="AG13" s="28" t="s">
        <v>11</v>
      </c>
      <c r="AH13" s="20">
        <v>6.1065599453607406E-11</v>
      </c>
      <c r="AI13" s="2"/>
    </row>
    <row r="14" spans="1:35" ht="15.75" thickBot="1" x14ac:dyDescent="0.3">
      <c r="E14" s="28" t="s">
        <v>15</v>
      </c>
      <c r="F14" s="2">
        <v>80231</v>
      </c>
      <c r="H14" s="28" t="s">
        <v>15</v>
      </c>
      <c r="I14" s="2">
        <v>18641</v>
      </c>
      <c r="K14" s="28" t="s">
        <v>15</v>
      </c>
      <c r="L14" s="2">
        <v>1533233</v>
      </c>
      <c r="AC14" s="29" t="s">
        <v>12</v>
      </c>
      <c r="AD14" s="3">
        <v>2.3060041352041671</v>
      </c>
      <c r="AE14" s="3"/>
      <c r="AG14" s="29" t="s">
        <v>12</v>
      </c>
      <c r="AH14" s="3">
        <v>2.3060041352041671</v>
      </c>
      <c r="AI14" s="3"/>
    </row>
    <row r="15" spans="1:35" ht="15.75" thickBot="1" x14ac:dyDescent="0.3">
      <c r="E15" s="29" t="s">
        <v>14</v>
      </c>
      <c r="F15" s="3">
        <v>5</v>
      </c>
      <c r="H15" s="29" t="s">
        <v>14</v>
      </c>
      <c r="I15" s="3">
        <v>5</v>
      </c>
      <c r="K15" s="29" t="s">
        <v>14</v>
      </c>
      <c r="L15" s="3">
        <v>5</v>
      </c>
    </row>
    <row r="17" spans="1:35" ht="15.75" thickBot="1" x14ac:dyDescent="0.3">
      <c r="O17" s="25"/>
      <c r="P17" s="25"/>
      <c r="Q17" s="25"/>
      <c r="R17" s="25"/>
      <c r="S17" s="25"/>
      <c r="T17" s="25"/>
      <c r="U17" s="25"/>
      <c r="AC17" s="25"/>
      <c r="AD17" s="25"/>
      <c r="AE17" s="25"/>
      <c r="AG17" s="25"/>
      <c r="AH17" s="25"/>
      <c r="AI17" s="25"/>
    </row>
    <row r="18" spans="1:35" x14ac:dyDescent="0.25">
      <c r="A18" s="66" t="s">
        <v>44</v>
      </c>
      <c r="B18" s="67"/>
      <c r="C18" s="67"/>
      <c r="E18" s="63" t="s">
        <v>1</v>
      </c>
      <c r="F18" s="63"/>
      <c r="H18" s="63" t="s">
        <v>2</v>
      </c>
      <c r="I18" s="63"/>
      <c r="K18" s="63" t="s">
        <v>0</v>
      </c>
      <c r="L18" s="63"/>
      <c r="O18" s="65" t="s">
        <v>25</v>
      </c>
      <c r="P18" s="65"/>
      <c r="Q18" s="65"/>
      <c r="R18" s="65"/>
      <c r="S18" s="65"/>
      <c r="T18" s="65"/>
      <c r="U18" s="65"/>
      <c r="AC18" s="65" t="s">
        <v>39</v>
      </c>
      <c r="AD18" s="65"/>
      <c r="AE18" s="65"/>
      <c r="AG18" s="65" t="s">
        <v>42</v>
      </c>
      <c r="AH18" s="65"/>
      <c r="AI18" s="65"/>
    </row>
    <row r="19" spans="1:35" ht="15.75" thickBot="1" x14ac:dyDescent="0.3">
      <c r="A19" s="26" t="s">
        <v>1</v>
      </c>
      <c r="B19" s="26" t="s">
        <v>2</v>
      </c>
      <c r="C19" s="26" t="s">
        <v>0</v>
      </c>
      <c r="E19" s="64"/>
      <c r="F19" s="64"/>
      <c r="H19" s="64"/>
      <c r="I19" s="64"/>
      <c r="K19" s="64"/>
      <c r="L19" s="64"/>
      <c r="O19" s="65"/>
      <c r="P19" s="65"/>
      <c r="Q19" s="65"/>
      <c r="R19" s="65"/>
      <c r="S19" s="65"/>
      <c r="T19" s="65"/>
      <c r="U19" s="65"/>
      <c r="AC19" s="64"/>
      <c r="AD19" s="64"/>
      <c r="AE19" s="64"/>
      <c r="AG19" s="64"/>
      <c r="AH19" s="64"/>
      <c r="AI19" s="64"/>
    </row>
    <row r="20" spans="1:35" x14ac:dyDescent="0.25">
      <c r="A20" s="10">
        <f>$A$3/1000</f>
        <v>15.686999999999999</v>
      </c>
      <c r="B20" s="10">
        <f>$B$3/1000</f>
        <v>3.54</v>
      </c>
      <c r="C20" s="10">
        <f>$C$3/1000</f>
        <v>310.35899999999998</v>
      </c>
      <c r="E20" s="2" t="s">
        <v>3</v>
      </c>
      <c r="F20" s="36">
        <f>AVERAGE(A20:A24)</f>
        <v>16.046199999999999</v>
      </c>
      <c r="H20" s="2" t="s">
        <v>3</v>
      </c>
      <c r="I20" s="34">
        <f>AVERAGE(B20:B24)</f>
        <v>3.7281999999999997</v>
      </c>
      <c r="K20" s="2" t="s">
        <v>3</v>
      </c>
      <c r="L20" s="34">
        <f>AVERAGE(C20:C24)</f>
        <v>306.64659999999998</v>
      </c>
      <c r="O20" s="15" t="s">
        <v>16</v>
      </c>
      <c r="P20" s="15" t="s">
        <v>76</v>
      </c>
      <c r="Q20" s="15" t="s">
        <v>77</v>
      </c>
      <c r="R20" s="15" t="s">
        <v>78</v>
      </c>
      <c r="S20" s="15" t="s">
        <v>19</v>
      </c>
      <c r="T20" s="15" t="s">
        <v>20</v>
      </c>
      <c r="U20" s="15" t="s">
        <v>21</v>
      </c>
      <c r="AC20" s="1"/>
      <c r="AD20" s="15" t="s">
        <v>1</v>
      </c>
      <c r="AE20" s="15" t="s">
        <v>2</v>
      </c>
      <c r="AG20" s="15"/>
      <c r="AH20" s="15" t="s">
        <v>1</v>
      </c>
      <c r="AI20" s="15" t="s">
        <v>0</v>
      </c>
    </row>
    <row r="21" spans="1:35" x14ac:dyDescent="0.25">
      <c r="A21" s="10">
        <f>$A$4/1000</f>
        <v>15.212</v>
      </c>
      <c r="B21" s="10">
        <f>$B$4/1000</f>
        <v>3.5489999999999999</v>
      </c>
      <c r="C21" s="10">
        <f>$C$4/1000</f>
        <v>320.49799999999999</v>
      </c>
      <c r="E21" s="2" t="s">
        <v>26</v>
      </c>
      <c r="F21" s="36">
        <f>F23/SQRT(F31)</f>
        <v>0.27883030681760529</v>
      </c>
      <c r="H21" s="2" t="s">
        <v>26</v>
      </c>
      <c r="I21" s="34">
        <f>I23/SQRT(I31)</f>
        <v>0.11234295705561603</v>
      </c>
      <c r="K21" s="2" t="s">
        <v>26</v>
      </c>
      <c r="L21" s="34">
        <f>L23/SQRT(L31)</f>
        <v>6.3931156222924708</v>
      </c>
      <c r="O21" s="2" t="s">
        <v>22</v>
      </c>
      <c r="P21" s="7">
        <v>293933.13777119992</v>
      </c>
      <c r="Q21" s="2">
        <v>2</v>
      </c>
      <c r="R21" s="7">
        <v>146966.56888559996</v>
      </c>
      <c r="S21" s="34">
        <v>2152.7100009004744</v>
      </c>
      <c r="T21" s="20">
        <v>4.6104326387201804E-16</v>
      </c>
      <c r="U21" s="31">
        <v>3.8852938346523902</v>
      </c>
      <c r="AC21" s="2" t="s">
        <v>3</v>
      </c>
      <c r="AD21" s="2">
        <v>16.046199999999999</v>
      </c>
      <c r="AE21" s="2">
        <v>3.7281999999999997</v>
      </c>
      <c r="AG21" s="2" t="s">
        <v>3</v>
      </c>
      <c r="AH21" s="2">
        <v>16.046199999999999</v>
      </c>
      <c r="AI21" s="2">
        <v>306.64659999999998</v>
      </c>
    </row>
    <row r="22" spans="1:35" x14ac:dyDescent="0.25">
      <c r="A22" s="10">
        <f>$A$5/1000</f>
        <v>16.841999999999999</v>
      </c>
      <c r="B22" s="10">
        <f>$B$5/1000</f>
        <v>3.9</v>
      </c>
      <c r="C22" s="10">
        <f>$C$5/1000</f>
        <v>318.81200000000001</v>
      </c>
      <c r="E22" s="2" t="s">
        <v>27</v>
      </c>
      <c r="F22" s="36">
        <f>MEDIAN(A20:A24)</f>
        <v>16.151</v>
      </c>
      <c r="H22" s="2" t="s">
        <v>27</v>
      </c>
      <c r="I22" s="34">
        <f>MEDIAN(B21:B25)</f>
        <v>3.7324999999999999</v>
      </c>
      <c r="K22" s="2" t="s">
        <v>27</v>
      </c>
      <c r="L22" s="34">
        <f>MEDIAN(C20:C24)</f>
        <v>310.35899999999998</v>
      </c>
      <c r="O22" s="2" t="s">
        <v>23</v>
      </c>
      <c r="P22" s="7">
        <v>819.24589280000077</v>
      </c>
      <c r="Q22" s="2">
        <v>12</v>
      </c>
      <c r="R22" s="7">
        <v>68.270491066666736</v>
      </c>
      <c r="S22" s="2"/>
      <c r="T22" s="2"/>
      <c r="U22" s="2"/>
      <c r="AC22" s="2" t="s">
        <v>4</v>
      </c>
      <c r="AD22" s="2">
        <v>0.38873169999999951</v>
      </c>
      <c r="AE22" s="2">
        <v>6.3104699999999958E-2</v>
      </c>
      <c r="AG22" s="2" t="s">
        <v>4</v>
      </c>
      <c r="AH22" s="2">
        <v>0.38873169999999951</v>
      </c>
      <c r="AI22" s="2">
        <v>204.3596368000002</v>
      </c>
    </row>
    <row r="23" spans="1:35" x14ac:dyDescent="0.25">
      <c r="A23" s="10">
        <f>$A$6/1000</f>
        <v>16.338999999999999</v>
      </c>
      <c r="B23" s="10">
        <f>$B$6/1000</f>
        <v>3.5649999999999999</v>
      </c>
      <c r="C23" s="10">
        <f>$C$6/1000</f>
        <v>295.08999999999997</v>
      </c>
      <c r="E23" s="2" t="s">
        <v>29</v>
      </c>
      <c r="F23" s="36">
        <f>_xlfn.STDEV.S(A20:A24)</f>
        <v>0.6234835202312885</v>
      </c>
      <c r="H23" s="2" t="s">
        <v>29</v>
      </c>
      <c r="I23" s="34">
        <f>_xlfn.STDEV.S(B20:B24)</f>
        <v>0.25120648876969709</v>
      </c>
      <c r="K23" s="2" t="s">
        <v>29</v>
      </c>
      <c r="L23" s="34">
        <f>_xlfn.STDEV.S(C20:C24)</f>
        <v>14.295441119461834</v>
      </c>
      <c r="O23" s="2"/>
      <c r="P23" s="7"/>
      <c r="Q23" s="2"/>
      <c r="R23" s="2"/>
      <c r="S23" s="2"/>
      <c r="T23" s="2"/>
      <c r="U23" s="2"/>
      <c r="AC23" s="2" t="s">
        <v>5</v>
      </c>
      <c r="AD23" s="2">
        <v>5</v>
      </c>
      <c r="AE23" s="2">
        <v>5</v>
      </c>
      <c r="AG23" s="2" t="s">
        <v>5</v>
      </c>
      <c r="AH23" s="2">
        <v>5</v>
      </c>
      <c r="AI23" s="2">
        <v>5</v>
      </c>
    </row>
    <row r="24" spans="1:35" ht="15.75" thickBot="1" x14ac:dyDescent="0.3">
      <c r="A24" s="11">
        <f>$A$7/1000</f>
        <v>16.151</v>
      </c>
      <c r="B24" s="11">
        <f>$B$7/1000</f>
        <v>4.0869999999999997</v>
      </c>
      <c r="C24" s="11">
        <f>$C$7/1000</f>
        <v>288.47399999999999</v>
      </c>
      <c r="E24" s="2" t="s">
        <v>30</v>
      </c>
      <c r="F24" s="36">
        <f>VARA(A20:A24)</f>
        <v>0.38873169999999951</v>
      </c>
      <c r="H24" s="2" t="s">
        <v>30</v>
      </c>
      <c r="I24" s="34">
        <f>VARA(B20:B24)</f>
        <v>6.3104699999999958E-2</v>
      </c>
      <c r="K24" s="2" t="s">
        <v>30</v>
      </c>
      <c r="L24" s="34">
        <f>VARA(C20:C24)</f>
        <v>204.3596368000002</v>
      </c>
      <c r="O24" s="3" t="s">
        <v>24</v>
      </c>
      <c r="P24" s="33">
        <v>294752.38366399991</v>
      </c>
      <c r="Q24" s="3">
        <v>14</v>
      </c>
      <c r="R24" s="3"/>
      <c r="S24" s="3"/>
      <c r="T24" s="3"/>
      <c r="U24" s="3"/>
      <c r="AC24" s="2" t="s">
        <v>13</v>
      </c>
      <c r="AD24" s="2">
        <v>0.22591819999999974</v>
      </c>
      <c r="AE24" s="2"/>
      <c r="AG24" s="2" t="s">
        <v>13</v>
      </c>
      <c r="AH24" s="2">
        <v>102.3741842500001</v>
      </c>
      <c r="AI24" s="2"/>
    </row>
    <row r="25" spans="1:35" x14ac:dyDescent="0.25">
      <c r="E25" s="2" t="s">
        <v>55</v>
      </c>
      <c r="F25" s="12">
        <f>SQRT(F24)/F31</f>
        <v>0.1246967040462577</v>
      </c>
      <c r="G25" s="57"/>
      <c r="H25" s="2" t="s">
        <v>55</v>
      </c>
      <c r="I25" s="58">
        <f>SQRT(I24)/I31</f>
        <v>5.0241297753939415E-2</v>
      </c>
      <c r="J25" s="57"/>
      <c r="K25" s="2" t="s">
        <v>55</v>
      </c>
      <c r="L25" s="12">
        <f>SQRT(L24)/L31</f>
        <v>2.8590882238923667</v>
      </c>
      <c r="AC25" s="2" t="s">
        <v>6</v>
      </c>
      <c r="AD25" s="2">
        <v>0</v>
      </c>
      <c r="AE25" s="2"/>
      <c r="AG25" s="2" t="s">
        <v>6</v>
      </c>
      <c r="AH25" s="2">
        <v>0</v>
      </c>
      <c r="AI25" s="2"/>
    </row>
    <row r="26" spans="1:35" x14ac:dyDescent="0.25">
      <c r="A26" s="13"/>
      <c r="B26" s="13"/>
      <c r="C26" s="13"/>
      <c r="E26" s="2" t="s">
        <v>31</v>
      </c>
      <c r="F26" s="36">
        <f>KURT(A20:A24)</f>
        <v>-0.4770682380782203</v>
      </c>
      <c r="H26" s="2" t="s">
        <v>31</v>
      </c>
      <c r="I26" s="34">
        <f>KURT(B20:B24)</f>
        <v>-1.584077717669544</v>
      </c>
      <c r="K26" s="2" t="s">
        <v>31</v>
      </c>
      <c r="L26" s="34">
        <f>KURT(C20:C24)</f>
        <v>-2.4387961283770956</v>
      </c>
      <c r="AC26" s="2" t="s">
        <v>7</v>
      </c>
      <c r="AD26" s="2">
        <v>8</v>
      </c>
      <c r="AE26" s="2"/>
      <c r="AG26" s="2" t="s">
        <v>7</v>
      </c>
      <c r="AH26" s="2">
        <v>8</v>
      </c>
      <c r="AI26" s="2"/>
    </row>
    <row r="27" spans="1:35" x14ac:dyDescent="0.25">
      <c r="E27" s="2" t="s">
        <v>32</v>
      </c>
      <c r="F27" s="35">
        <f>SKEW(A20:A24)</f>
        <v>-0.1661132681318287</v>
      </c>
      <c r="H27" s="2" t="s">
        <v>32</v>
      </c>
      <c r="I27" s="35">
        <f>SKEW(B20:B24)</f>
        <v>0.90666379843543354</v>
      </c>
      <c r="K27" s="2" t="s">
        <v>32</v>
      </c>
      <c r="L27" s="35">
        <f>SKEW(C20:C24)</f>
        <v>-0.43296274695617365</v>
      </c>
      <c r="AC27" s="2" t="s">
        <v>8</v>
      </c>
      <c r="AD27" s="31">
        <v>40.976474906819199</v>
      </c>
      <c r="AE27" s="2"/>
      <c r="AG27" s="2" t="s">
        <v>8</v>
      </c>
      <c r="AH27" s="31">
        <v>-45.412037205556302</v>
      </c>
      <c r="AI27" s="2"/>
    </row>
    <row r="28" spans="1:35" x14ac:dyDescent="0.25">
      <c r="E28" s="2" t="s">
        <v>34</v>
      </c>
      <c r="F28" s="36">
        <f>MIN(A20:A24)</f>
        <v>15.212</v>
      </c>
      <c r="H28" s="2" t="s">
        <v>34</v>
      </c>
      <c r="I28" s="34">
        <f>MIN(B20:B24)</f>
        <v>3.54</v>
      </c>
      <c r="K28" s="2" t="s">
        <v>34</v>
      </c>
      <c r="L28" s="34">
        <f>MIN(C20:C24)</f>
        <v>288.47399999999999</v>
      </c>
      <c r="AC28" s="2" t="s">
        <v>9</v>
      </c>
      <c r="AD28" s="2">
        <v>6.9259523743472756E-11</v>
      </c>
      <c r="AE28" s="2"/>
      <c r="AG28" s="2" t="s">
        <v>9</v>
      </c>
      <c r="AH28" s="2">
        <v>3.0532799726803813E-11</v>
      </c>
      <c r="AI28" s="2"/>
    </row>
    <row r="29" spans="1:35" x14ac:dyDescent="0.25">
      <c r="E29" s="2" t="s">
        <v>35</v>
      </c>
      <c r="F29" s="36">
        <f>MAX(A20:A24)</f>
        <v>16.841999999999999</v>
      </c>
      <c r="H29" s="2" t="s">
        <v>35</v>
      </c>
      <c r="I29" s="34">
        <f>MAX(B20:B24)</f>
        <v>4.0869999999999997</v>
      </c>
      <c r="K29" s="2" t="s">
        <v>35</v>
      </c>
      <c r="L29" s="34">
        <f>MAX(C20:C24)</f>
        <v>320.49799999999999</v>
      </c>
      <c r="AC29" s="2" t="s">
        <v>10</v>
      </c>
      <c r="AD29" s="31">
        <v>1.8595480375308999</v>
      </c>
      <c r="AE29" s="2"/>
      <c r="AG29" s="2" t="s">
        <v>10</v>
      </c>
      <c r="AH29" s="31">
        <v>1.8595480375308981</v>
      </c>
      <c r="AI29" s="2"/>
    </row>
    <row r="30" spans="1:35" x14ac:dyDescent="0.25">
      <c r="E30" s="2" t="s">
        <v>15</v>
      </c>
      <c r="F30" s="36">
        <f>SUM(A20:A24)</f>
        <v>80.230999999999995</v>
      </c>
      <c r="H30" s="2" t="s">
        <v>15</v>
      </c>
      <c r="I30" s="34">
        <f>SUM(B20:B24)</f>
        <v>18.640999999999998</v>
      </c>
      <c r="K30" s="2" t="s">
        <v>15</v>
      </c>
      <c r="L30" s="34">
        <f>SUM(C20:C24)</f>
        <v>1533.2329999999999</v>
      </c>
      <c r="AC30" s="2" t="s">
        <v>11</v>
      </c>
      <c r="AD30" s="20">
        <v>1.38519047486946E-10</v>
      </c>
      <c r="AE30" s="2"/>
      <c r="AG30" s="2" t="s">
        <v>11</v>
      </c>
      <c r="AH30" s="2">
        <v>6.1065599453607625E-11</v>
      </c>
      <c r="AI30" s="2"/>
    </row>
    <row r="31" spans="1:35" ht="15.75" thickBot="1" x14ac:dyDescent="0.3">
      <c r="E31" s="3" t="s">
        <v>14</v>
      </c>
      <c r="F31" s="3">
        <f>COUNT(A20:A24)</f>
        <v>5</v>
      </c>
      <c r="H31" s="3" t="s">
        <v>14</v>
      </c>
      <c r="I31" s="40">
        <f>COUNT(B20:B24)</f>
        <v>5</v>
      </c>
      <c r="K31" s="3" t="s">
        <v>14</v>
      </c>
      <c r="L31" s="40">
        <f>COUNT(C20:C24)</f>
        <v>5</v>
      </c>
      <c r="AC31" s="2" t="s">
        <v>12</v>
      </c>
      <c r="AD31" s="31">
        <v>2.3060041352041671</v>
      </c>
      <c r="AE31" s="2"/>
      <c r="AG31" s="2" t="s">
        <v>12</v>
      </c>
      <c r="AH31" s="31">
        <v>2.3060041352041671</v>
      </c>
      <c r="AI31" s="2"/>
    </row>
    <row r="32" spans="1:35" s="24" customFormat="1" x14ac:dyDescent="0.25">
      <c r="F32" s="5"/>
    </row>
    <row r="33" spans="1:15" x14ac:dyDescent="0.25">
      <c r="N33" s="24"/>
    </row>
    <row r="34" spans="1:15" ht="15.75" thickBot="1" x14ac:dyDescent="0.3">
      <c r="A34" s="25"/>
      <c r="B34" s="25"/>
      <c r="C34" s="25"/>
      <c r="D34" s="25"/>
      <c r="E34" s="25"/>
      <c r="F34" s="9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15.75" thickBot="1" x14ac:dyDescent="0.3">
      <c r="A35" s="73" t="s">
        <v>79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</row>
    <row r="36" spans="1:15" ht="15.75" thickBot="1" x14ac:dyDescent="0.3">
      <c r="A36" s="60" t="s">
        <v>80</v>
      </c>
      <c r="B36" s="57"/>
      <c r="C36" s="59" t="s">
        <v>81</v>
      </c>
      <c r="D36" s="24"/>
      <c r="E36" s="72" t="s">
        <v>84</v>
      </c>
      <c r="F36" s="72"/>
      <c r="H36" s="72" t="s">
        <v>61</v>
      </c>
      <c r="I36" s="72"/>
      <c r="J36" s="72"/>
      <c r="K36" s="72"/>
      <c r="L36" s="57"/>
      <c r="M36" s="72" t="s">
        <v>62</v>
      </c>
      <c r="N36" s="72"/>
      <c r="O36" s="72"/>
    </row>
    <row r="37" spans="1:15" x14ac:dyDescent="0.25">
      <c r="A37" s="22">
        <f>A20-B20</f>
        <v>12.146999999999998</v>
      </c>
      <c r="B37" s="57"/>
      <c r="C37" s="62">
        <f>A20-C20</f>
        <v>-294.67199999999997</v>
      </c>
      <c r="D37" s="57"/>
      <c r="E37" s="4" t="s">
        <v>87</v>
      </c>
      <c r="F37" s="6">
        <f>SQRT(F24/F31)</f>
        <v>0.27883030681760529</v>
      </c>
      <c r="H37" s="74" t="s">
        <v>3</v>
      </c>
      <c r="I37" s="74"/>
      <c r="J37" s="74"/>
      <c r="K37" s="13">
        <f>AVERAGE(A37:A41)</f>
        <v>12.318</v>
      </c>
      <c r="L37" s="57"/>
      <c r="M37" s="74" t="s">
        <v>3</v>
      </c>
      <c r="N37" s="74"/>
      <c r="O37" s="13">
        <f>AVERAGE(C37:C41)</f>
        <v>-290.60039999999998</v>
      </c>
    </row>
    <row r="38" spans="1:15" x14ac:dyDescent="0.25">
      <c r="A38" s="22">
        <f t="shared" ref="A38:A41" si="0">A21-B21</f>
        <v>11.663</v>
      </c>
      <c r="B38" s="57"/>
      <c r="C38" s="22">
        <f>A21-C21</f>
        <v>-305.286</v>
      </c>
      <c r="D38" s="57"/>
      <c r="E38" s="4" t="s">
        <v>85</v>
      </c>
      <c r="F38" s="6">
        <f>F20-($K$41*F37)</f>
        <v>15.451733785864864</v>
      </c>
      <c r="G38" s="5"/>
      <c r="H38" s="70" t="s">
        <v>4</v>
      </c>
      <c r="I38" s="70"/>
      <c r="J38" s="70"/>
      <c r="K38" s="57">
        <f>VARA(A37:A41)</f>
        <v>0.28002349999999931</v>
      </c>
      <c r="L38" s="57"/>
      <c r="M38" s="70" t="s">
        <v>4</v>
      </c>
      <c r="N38" s="70"/>
      <c r="O38" s="57">
        <f>VARA(C37:C41)</f>
        <v>208.99605230000043</v>
      </c>
    </row>
    <row r="39" spans="1:15" x14ac:dyDescent="0.25">
      <c r="A39" s="22">
        <f t="shared" si="0"/>
        <v>12.941999999999998</v>
      </c>
      <c r="B39" s="57"/>
      <c r="C39" s="22">
        <f>A22-C22</f>
        <v>-301.97000000000003</v>
      </c>
      <c r="D39" s="57"/>
      <c r="E39" s="4" t="s">
        <v>86</v>
      </c>
      <c r="F39" s="6">
        <f>F20+(K41*F37)</f>
        <v>16.640666214135134</v>
      </c>
      <c r="H39" s="71" t="s">
        <v>82</v>
      </c>
      <c r="I39" s="71"/>
      <c r="J39" s="71"/>
      <c r="K39" s="57">
        <f>_xlfn.STDEV.S(A37:A41)</f>
        <v>0.52917246715980915</v>
      </c>
      <c r="L39" s="57"/>
      <c r="M39" s="71" t="s">
        <v>82</v>
      </c>
      <c r="N39" s="71"/>
      <c r="O39" s="57">
        <f>_xlfn.STDEV.S(C37:C41)</f>
        <v>14.456695760096787</v>
      </c>
    </row>
    <row r="40" spans="1:15" x14ac:dyDescent="0.25">
      <c r="A40" s="22">
        <f t="shared" si="0"/>
        <v>12.773999999999999</v>
      </c>
      <c r="B40" s="57"/>
      <c r="C40" s="22">
        <f>A23-C23</f>
        <v>-278.75099999999998</v>
      </c>
      <c r="D40" s="57"/>
      <c r="H40" s="70" t="s">
        <v>77</v>
      </c>
      <c r="I40" s="70"/>
      <c r="J40" s="70"/>
      <c r="K40" s="50">
        <f>COUNT(A37:A41)-1</f>
        <v>4</v>
      </c>
      <c r="L40" s="57"/>
      <c r="M40" s="70" t="s">
        <v>77</v>
      </c>
      <c r="N40" s="70"/>
      <c r="O40" s="50">
        <f>COUNT(C37:C41)-1</f>
        <v>4</v>
      </c>
    </row>
    <row r="41" spans="1:15" ht="18" x14ac:dyDescent="0.25">
      <c r="A41" s="22">
        <f t="shared" si="0"/>
        <v>12.064</v>
      </c>
      <c r="B41" s="57"/>
      <c r="C41" s="22">
        <f>A24-C24</f>
        <v>-272.32299999999998</v>
      </c>
      <c r="D41" s="57"/>
      <c r="E41" s="57" t="s">
        <v>88</v>
      </c>
      <c r="F41" s="6">
        <f>SQRT(I24/I31)</f>
        <v>0.11234295705561605</v>
      </c>
      <c r="H41" s="70" t="s">
        <v>74</v>
      </c>
      <c r="I41" s="70"/>
      <c r="J41" s="70"/>
      <c r="K41" s="57">
        <v>2.1320000000000001</v>
      </c>
      <c r="L41" s="57"/>
      <c r="M41" s="70" t="s">
        <v>74</v>
      </c>
      <c r="N41" s="70"/>
      <c r="O41" s="57">
        <v>2.1320000000000001</v>
      </c>
    </row>
    <row r="42" spans="1:15" x14ac:dyDescent="0.25">
      <c r="A42" s="57"/>
      <c r="B42" s="57"/>
      <c r="C42" s="57"/>
      <c r="D42" s="57"/>
      <c r="E42" s="57" t="s">
        <v>85</v>
      </c>
      <c r="F42" s="6">
        <f>I20-($K$41*F41)</f>
        <v>3.4886848155574262</v>
      </c>
      <c r="H42" s="70" t="s">
        <v>83</v>
      </c>
      <c r="I42" s="70"/>
      <c r="J42" s="70"/>
      <c r="K42" s="57">
        <f>SQRT(K38/COUNT(A37:A41))</f>
        <v>0.23665312167812169</v>
      </c>
      <c r="L42" s="57"/>
      <c r="M42" s="70" t="s">
        <v>83</v>
      </c>
      <c r="N42" s="70"/>
      <c r="O42" s="57">
        <f>SQRT(O38/COUNT(C37:C41))</f>
        <v>6.4652308899218811</v>
      </c>
    </row>
    <row r="43" spans="1:15" x14ac:dyDescent="0.25">
      <c r="A43" s="22"/>
      <c r="B43" s="57"/>
      <c r="C43" s="57"/>
      <c r="D43" s="57"/>
      <c r="E43" s="57" t="s">
        <v>86</v>
      </c>
      <c r="F43" s="6">
        <f>I20+(K41*F41)</f>
        <v>3.9677151844425733</v>
      </c>
      <c r="H43" s="70" t="s">
        <v>59</v>
      </c>
      <c r="I43" s="70"/>
      <c r="J43" s="70"/>
      <c r="K43" s="57">
        <f>K37-(K42*K41)</f>
        <v>11.813455544582244</v>
      </c>
      <c r="L43" s="57"/>
      <c r="M43" s="70" t="s">
        <v>59</v>
      </c>
      <c r="N43" s="70"/>
      <c r="O43" s="57">
        <f>O37-(O42*O41)</f>
        <v>-304.38427225731346</v>
      </c>
    </row>
    <row r="44" spans="1:15" x14ac:dyDescent="0.25">
      <c r="A44" s="57"/>
      <c r="B44" s="57"/>
      <c r="C44" s="57"/>
      <c r="D44" s="57"/>
      <c r="H44" s="70" t="s">
        <v>60</v>
      </c>
      <c r="I44" s="70"/>
      <c r="J44" s="70"/>
      <c r="K44" s="57">
        <f>K37+(K43*K42)</f>
        <v>15.113691132431104</v>
      </c>
      <c r="L44" s="57"/>
      <c r="M44" s="70" t="s">
        <v>60</v>
      </c>
      <c r="N44" s="70"/>
      <c r="O44" s="57">
        <f>O37+(O43*O42)</f>
        <v>-2258.5149994043745</v>
      </c>
    </row>
    <row r="45" spans="1:15" x14ac:dyDescent="0.25">
      <c r="E45" s="57" t="s">
        <v>89</v>
      </c>
      <c r="F45" s="6">
        <f>SQRT(L24/L31)</f>
        <v>6.3931156222924708</v>
      </c>
    </row>
    <row r="46" spans="1:15" x14ac:dyDescent="0.25">
      <c r="E46" s="57" t="s">
        <v>85</v>
      </c>
      <c r="F46" s="13">
        <f>L20-($K$41*F45)</f>
        <v>293.01647749327242</v>
      </c>
      <c r="G46" s="61"/>
    </row>
    <row r="47" spans="1:15" x14ac:dyDescent="0.25">
      <c r="E47" s="57" t="s">
        <v>86</v>
      </c>
      <c r="F47" s="13">
        <f>L20+($K$41*F45)</f>
        <v>320.27672250672754</v>
      </c>
      <c r="G47" s="61"/>
    </row>
    <row r="48" spans="1:15" x14ac:dyDescent="0.25">
      <c r="E48" s="61"/>
      <c r="F48" s="61"/>
      <c r="G48" s="61"/>
    </row>
  </sheetData>
  <mergeCells count="37">
    <mergeCell ref="E36:F36"/>
    <mergeCell ref="A35:O35"/>
    <mergeCell ref="H36:K36"/>
    <mergeCell ref="M36:O36"/>
    <mergeCell ref="H37:J37"/>
    <mergeCell ref="M37:N37"/>
    <mergeCell ref="H38:J38"/>
    <mergeCell ref="M38:N38"/>
    <mergeCell ref="H39:J39"/>
    <mergeCell ref="M39:N39"/>
    <mergeCell ref="H43:J43"/>
    <mergeCell ref="M43:N43"/>
    <mergeCell ref="H44:J44"/>
    <mergeCell ref="M44:N44"/>
    <mergeCell ref="H40:J40"/>
    <mergeCell ref="M40:N40"/>
    <mergeCell ref="H41:J41"/>
    <mergeCell ref="M41:N41"/>
    <mergeCell ref="H42:J42"/>
    <mergeCell ref="M42:N42"/>
    <mergeCell ref="A1:C1"/>
    <mergeCell ref="AG1:AI2"/>
    <mergeCell ref="A18:C18"/>
    <mergeCell ref="E18:F19"/>
    <mergeCell ref="H18:I19"/>
    <mergeCell ref="K18:L19"/>
    <mergeCell ref="O18:U19"/>
    <mergeCell ref="E1:F2"/>
    <mergeCell ref="AC18:AE19"/>
    <mergeCell ref="AG18:AI19"/>
    <mergeCell ref="O1:U2"/>
    <mergeCell ref="W1:W2"/>
    <mergeCell ref="Y1:Y2"/>
    <mergeCell ref="AA1:AA2"/>
    <mergeCell ref="AC1:AE2"/>
    <mergeCell ref="H1:I2"/>
    <mergeCell ref="K1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topLeftCell="A28" zoomScaleNormal="100" workbookViewId="0">
      <selection activeCell="C46" sqref="C46"/>
    </sheetView>
  </sheetViews>
  <sheetFormatPr defaultRowHeight="15" x14ac:dyDescent="0.25"/>
  <cols>
    <col min="1" max="1" width="9.5703125" style="4" customWidth="1"/>
    <col min="2" max="2" width="7.5703125" style="4" bestFit="1" customWidth="1"/>
    <col min="3" max="3" width="11" style="4" bestFit="1" customWidth="1"/>
    <col min="4" max="4" width="8.5703125" style="4" bestFit="1" customWidth="1"/>
    <col min="5" max="5" width="23.7109375" style="4" bestFit="1" customWidth="1"/>
    <col min="6" max="6" width="12.7109375" style="5" bestFit="1" customWidth="1"/>
    <col min="7" max="7" width="9.140625" style="4"/>
    <col min="8" max="8" width="23.7109375" style="4" bestFit="1" customWidth="1"/>
    <col min="9" max="9" width="12" style="4" bestFit="1" customWidth="1"/>
    <col min="10" max="10" width="9.140625" style="4"/>
    <col min="11" max="11" width="23.7109375" style="4" bestFit="1" customWidth="1"/>
    <col min="12" max="12" width="12" style="4" bestFit="1" customWidth="1"/>
    <col min="13" max="13" width="9.28515625" style="4" customWidth="1"/>
    <col min="14" max="14" width="17.5703125" style="4" bestFit="1" customWidth="1"/>
    <col min="15" max="15" width="12" style="4" bestFit="1" customWidth="1"/>
    <col min="16" max="16" width="12.7109375" style="4" bestFit="1" customWidth="1"/>
    <col min="17" max="19" width="12" style="4" bestFit="1" customWidth="1"/>
    <col min="20" max="20" width="12.5703125" style="4" bestFit="1" customWidth="1"/>
    <col min="21" max="23" width="9.140625" style="4"/>
    <col min="24" max="24" width="24.28515625" style="4" bestFit="1" customWidth="1"/>
    <col min="25" max="25" width="9.140625" style="4"/>
    <col min="26" max="26" width="28.85546875" style="4" bestFit="1" customWidth="1"/>
    <col min="27" max="27" width="9.140625" style="4"/>
    <col min="28" max="28" width="29.85546875" style="4" bestFit="1" customWidth="1"/>
    <col min="29" max="29" width="12" style="4" bestFit="1" customWidth="1"/>
    <col min="30" max="30" width="7" style="4" customWidth="1"/>
    <col min="31" max="31" width="9.140625" style="4"/>
    <col min="32" max="32" width="29.85546875" style="4" bestFit="1" customWidth="1"/>
    <col min="33" max="33" width="12.7109375" style="4" bestFit="1" customWidth="1"/>
    <col min="34" max="34" width="11" style="4" bestFit="1" customWidth="1"/>
    <col min="35" max="16384" width="9.140625" style="4"/>
  </cols>
  <sheetData>
    <row r="1" spans="1:34" x14ac:dyDescent="0.25">
      <c r="A1" s="81" t="s">
        <v>45</v>
      </c>
      <c r="B1" s="82"/>
      <c r="C1" s="82"/>
      <c r="D1" s="8"/>
      <c r="E1" s="80" t="s">
        <v>1</v>
      </c>
      <c r="F1" s="80"/>
      <c r="H1" s="80" t="s">
        <v>2</v>
      </c>
      <c r="I1" s="80"/>
      <c r="K1" s="80" t="s">
        <v>0</v>
      </c>
      <c r="L1" s="80"/>
      <c r="N1" s="75" t="s">
        <v>25</v>
      </c>
      <c r="O1" s="75"/>
      <c r="P1" s="75"/>
      <c r="Q1" s="75"/>
      <c r="R1" s="75"/>
      <c r="S1" s="75"/>
      <c r="T1" s="75"/>
      <c r="V1" s="75" t="s">
        <v>36</v>
      </c>
      <c r="X1" s="83" t="s">
        <v>37</v>
      </c>
      <c r="Z1" s="83" t="s">
        <v>38</v>
      </c>
      <c r="AB1" s="75" t="s">
        <v>39</v>
      </c>
      <c r="AC1" s="75"/>
      <c r="AD1" s="75"/>
      <c r="AF1" s="75" t="s">
        <v>42</v>
      </c>
      <c r="AG1" s="75"/>
      <c r="AH1" s="75"/>
    </row>
    <row r="2" spans="1:34" ht="15.75" thickBot="1" x14ac:dyDescent="0.3">
      <c r="A2" s="23" t="s">
        <v>1</v>
      </c>
      <c r="B2" s="23" t="s">
        <v>2</v>
      </c>
      <c r="C2" s="23" t="s">
        <v>0</v>
      </c>
      <c r="D2" s="8"/>
      <c r="E2" s="76"/>
      <c r="F2" s="76"/>
      <c r="H2" s="76"/>
      <c r="I2" s="76"/>
      <c r="K2" s="76"/>
      <c r="L2" s="76"/>
      <c r="N2" s="75"/>
      <c r="O2" s="75"/>
      <c r="P2" s="75"/>
      <c r="Q2" s="75"/>
      <c r="R2" s="75"/>
      <c r="S2" s="75"/>
      <c r="T2" s="75"/>
      <c r="V2" s="75"/>
      <c r="X2" s="84"/>
      <c r="Z2" s="84"/>
      <c r="AB2" s="76"/>
      <c r="AC2" s="76"/>
      <c r="AD2" s="76"/>
      <c r="AF2" s="76"/>
      <c r="AG2" s="76"/>
      <c r="AH2" s="76"/>
    </row>
    <row r="3" spans="1:34" ht="15.75" thickBot="1" x14ac:dyDescent="0.3">
      <c r="A3" s="16">
        <v>6018</v>
      </c>
      <c r="B3" s="16">
        <v>2415</v>
      </c>
      <c r="C3" s="16">
        <v>205132</v>
      </c>
      <c r="D3" s="6"/>
      <c r="E3" s="2" t="s">
        <v>3</v>
      </c>
      <c r="F3" s="2">
        <v>5933</v>
      </c>
      <c r="H3" s="2" t="s">
        <v>3</v>
      </c>
      <c r="I3" s="2">
        <v>2434.6</v>
      </c>
      <c r="K3" s="2" t="s">
        <v>3</v>
      </c>
      <c r="L3" s="2">
        <v>211486.8</v>
      </c>
      <c r="N3" s="15" t="s">
        <v>16</v>
      </c>
      <c r="O3" s="15" t="s">
        <v>17</v>
      </c>
      <c r="P3" s="15" t="s">
        <v>7</v>
      </c>
      <c r="Q3" s="15" t="s">
        <v>18</v>
      </c>
      <c r="R3" s="15" t="s">
        <v>19</v>
      </c>
      <c r="S3" s="15" t="s">
        <v>20</v>
      </c>
      <c r="T3" s="15" t="s">
        <v>21</v>
      </c>
      <c r="V3" s="21">
        <v>0.05</v>
      </c>
      <c r="X3" s="4" t="str">
        <f>IF($S$4&gt;$V$3,"Aceita","Rejeita")</f>
        <v>Rejeita</v>
      </c>
      <c r="Z3" s="4" t="str">
        <f>IF($T$4&gt;$R$4,"Aceita","Rejeita")</f>
        <v>Rejeita</v>
      </c>
      <c r="AB3" s="1"/>
      <c r="AC3" s="15" t="s">
        <v>1</v>
      </c>
      <c r="AD3" s="15" t="s">
        <v>2</v>
      </c>
      <c r="AF3" s="1"/>
      <c r="AG3" s="15" t="s">
        <v>1</v>
      </c>
      <c r="AH3" s="15" t="s">
        <v>0</v>
      </c>
    </row>
    <row r="4" spans="1:34" x14ac:dyDescent="0.25">
      <c r="A4" s="16">
        <v>5879</v>
      </c>
      <c r="B4" s="16">
        <v>2443</v>
      </c>
      <c r="C4" s="16">
        <v>202880</v>
      </c>
      <c r="D4" s="6"/>
      <c r="E4" s="2" t="s">
        <v>26</v>
      </c>
      <c r="F4" s="2">
        <v>77.068800431821955</v>
      </c>
      <c r="H4" s="2" t="s">
        <v>26</v>
      </c>
      <c r="I4" s="2">
        <v>9.0807488677971921</v>
      </c>
      <c r="K4" s="2" t="s">
        <v>26</v>
      </c>
      <c r="L4" s="2">
        <v>3687.6020853665868</v>
      </c>
      <c r="N4" s="2" t="s">
        <v>22</v>
      </c>
      <c r="O4" s="2">
        <v>143279043036.40002</v>
      </c>
      <c r="P4" s="2">
        <v>2</v>
      </c>
      <c r="Q4" s="2">
        <v>71639521518.200012</v>
      </c>
      <c r="R4" s="2">
        <v>3159.5376740866614</v>
      </c>
      <c r="S4" s="2">
        <v>4.6368450460549369E-17</v>
      </c>
      <c r="T4" s="2">
        <v>3.8852938346523942</v>
      </c>
      <c r="V4" s="21"/>
      <c r="AB4" s="2" t="s">
        <v>3</v>
      </c>
      <c r="AC4" s="2">
        <v>5933</v>
      </c>
      <c r="AD4" s="2">
        <v>2434.6</v>
      </c>
      <c r="AF4" s="2" t="s">
        <v>3</v>
      </c>
      <c r="AG4" s="2">
        <v>5933</v>
      </c>
      <c r="AH4" s="2">
        <v>211486.8</v>
      </c>
    </row>
    <row r="5" spans="1:34" x14ac:dyDescent="0.25">
      <c r="A5" s="16">
        <v>5680</v>
      </c>
      <c r="B5" s="16">
        <v>2439</v>
      </c>
      <c r="C5" s="16">
        <v>213170</v>
      </c>
      <c r="D5" s="6"/>
      <c r="E5" s="2" t="s">
        <v>27</v>
      </c>
      <c r="F5" s="2">
        <v>5944</v>
      </c>
      <c r="H5" s="2" t="s">
        <v>27</v>
      </c>
      <c r="I5" s="2">
        <v>2439</v>
      </c>
      <c r="K5" s="2" t="s">
        <v>27</v>
      </c>
      <c r="L5" s="2">
        <v>212359</v>
      </c>
      <c r="N5" s="2" t="s">
        <v>23</v>
      </c>
      <c r="O5" s="2">
        <v>272088624</v>
      </c>
      <c r="P5" s="2">
        <v>12</v>
      </c>
      <c r="Q5" s="2">
        <v>22674052</v>
      </c>
      <c r="R5" s="2"/>
      <c r="S5" s="2"/>
      <c r="T5" s="2"/>
      <c r="AB5" s="2" t="s">
        <v>4</v>
      </c>
      <c r="AC5" s="2">
        <v>29698</v>
      </c>
      <c r="AD5" s="2">
        <v>412.3</v>
      </c>
      <c r="AF5" s="2" t="s">
        <v>4</v>
      </c>
      <c r="AG5" s="2">
        <v>29698</v>
      </c>
      <c r="AH5" s="2">
        <v>67992045.700000003</v>
      </c>
    </row>
    <row r="6" spans="1:34" x14ac:dyDescent="0.25">
      <c r="A6" s="17">
        <v>5944</v>
      </c>
      <c r="B6" s="17">
        <v>2462</v>
      </c>
      <c r="C6" s="17">
        <v>223893</v>
      </c>
      <c r="E6" s="2" t="s">
        <v>28</v>
      </c>
      <c r="F6" s="2" t="e">
        <v>#N/A</v>
      </c>
      <c r="H6" s="2" t="s">
        <v>28</v>
      </c>
      <c r="I6" s="2" t="e">
        <v>#N/A</v>
      </c>
      <c r="K6" s="2" t="s">
        <v>28</v>
      </c>
      <c r="L6" s="2" t="e">
        <v>#N/A</v>
      </c>
      <c r="N6" s="2"/>
      <c r="O6" s="2"/>
      <c r="P6" s="2"/>
      <c r="Q6" s="2"/>
      <c r="R6" s="2"/>
      <c r="S6" s="2"/>
      <c r="T6" s="2"/>
      <c r="AB6" s="2" t="s">
        <v>5</v>
      </c>
      <c r="AC6" s="2">
        <v>5</v>
      </c>
      <c r="AD6" s="2">
        <v>5</v>
      </c>
      <c r="AF6" s="2" t="s">
        <v>5</v>
      </c>
      <c r="AG6" s="2">
        <v>5</v>
      </c>
      <c r="AH6" s="2">
        <v>5</v>
      </c>
    </row>
    <row r="7" spans="1:34" ht="15.75" thickBot="1" x14ac:dyDescent="0.3">
      <c r="A7" s="19">
        <v>6144</v>
      </c>
      <c r="B7" s="19">
        <v>2414</v>
      </c>
      <c r="C7" s="19">
        <v>212359</v>
      </c>
      <c r="E7" s="2" t="s">
        <v>29</v>
      </c>
      <c r="F7" s="2">
        <v>172.33107670991905</v>
      </c>
      <c r="H7" s="2" t="s">
        <v>29</v>
      </c>
      <c r="I7" s="2">
        <v>20.305171754998774</v>
      </c>
      <c r="K7" s="2" t="s">
        <v>29</v>
      </c>
      <c r="L7" s="2">
        <v>8245.7289368496713</v>
      </c>
      <c r="N7" s="3" t="s">
        <v>24</v>
      </c>
      <c r="O7" s="3">
        <v>143551131660.40002</v>
      </c>
      <c r="P7" s="3">
        <v>14</v>
      </c>
      <c r="Q7" s="3"/>
      <c r="R7" s="3"/>
      <c r="S7" s="3"/>
      <c r="T7" s="3"/>
      <c r="AB7" s="2" t="s">
        <v>13</v>
      </c>
      <c r="AC7" s="2">
        <v>15055.15</v>
      </c>
      <c r="AD7" s="2"/>
      <c r="AF7" s="2" t="s">
        <v>13</v>
      </c>
      <c r="AG7" s="2">
        <v>34010871.850000001</v>
      </c>
      <c r="AH7" s="2"/>
    </row>
    <row r="8" spans="1:34" x14ac:dyDescent="0.25">
      <c r="E8" s="2" t="s">
        <v>30</v>
      </c>
      <c r="F8" s="2">
        <v>29698</v>
      </c>
      <c r="H8" s="2" t="s">
        <v>30</v>
      </c>
      <c r="I8" s="2">
        <v>412.3</v>
      </c>
      <c r="K8" s="2" t="s">
        <v>30</v>
      </c>
      <c r="L8" s="2">
        <v>67992045.700000003</v>
      </c>
      <c r="AB8" s="2" t="s">
        <v>6</v>
      </c>
      <c r="AC8" s="2">
        <v>0</v>
      </c>
      <c r="AD8" s="2"/>
      <c r="AF8" s="2" t="s">
        <v>6</v>
      </c>
      <c r="AG8" s="2">
        <v>0</v>
      </c>
      <c r="AH8" s="2"/>
    </row>
    <row r="9" spans="1:34" x14ac:dyDescent="0.25">
      <c r="E9" s="2" t="s">
        <v>31</v>
      </c>
      <c r="F9" s="2">
        <v>0.70208377574195424</v>
      </c>
      <c r="H9" s="2" t="s">
        <v>31</v>
      </c>
      <c r="I9" s="2">
        <v>-1.4066150095101788</v>
      </c>
      <c r="K9" s="2" t="s">
        <v>31</v>
      </c>
      <c r="L9" s="2">
        <v>0.33247787777166593</v>
      </c>
      <c r="AB9" s="2" t="s">
        <v>7</v>
      </c>
      <c r="AC9" s="2">
        <v>8</v>
      </c>
      <c r="AD9" s="2"/>
      <c r="AF9" s="2" t="s">
        <v>7</v>
      </c>
      <c r="AG9" s="2">
        <v>8</v>
      </c>
      <c r="AH9" s="2"/>
    </row>
    <row r="10" spans="1:34" x14ac:dyDescent="0.25">
      <c r="E10" s="2" t="s">
        <v>32</v>
      </c>
      <c r="F10" s="2">
        <v>-0.51635505442168139</v>
      </c>
      <c r="H10" s="2" t="s">
        <v>32</v>
      </c>
      <c r="I10" s="2">
        <v>0.24772384339630416</v>
      </c>
      <c r="K10" s="2" t="s">
        <v>32</v>
      </c>
      <c r="L10" s="2">
        <v>0.75859395587529455</v>
      </c>
      <c r="AB10" s="2" t="s">
        <v>8</v>
      </c>
      <c r="AC10" s="2">
        <v>45.081351279613941</v>
      </c>
      <c r="AD10" s="2"/>
      <c r="AF10" s="2" t="s">
        <v>8</v>
      </c>
      <c r="AG10" s="2">
        <v>-55.72969056649017</v>
      </c>
      <c r="AH10" s="2"/>
    </row>
    <row r="11" spans="1:34" x14ac:dyDescent="0.25">
      <c r="E11" s="2" t="s">
        <v>33</v>
      </c>
      <c r="F11" s="2">
        <v>464</v>
      </c>
      <c r="H11" s="2" t="s">
        <v>33</v>
      </c>
      <c r="I11" s="2">
        <v>48</v>
      </c>
      <c r="K11" s="2" t="s">
        <v>33</v>
      </c>
      <c r="L11" s="2">
        <v>21013</v>
      </c>
      <c r="AB11" s="2" t="s">
        <v>9</v>
      </c>
      <c r="AC11" s="2">
        <v>3.2364592600176371E-11</v>
      </c>
      <c r="AD11" s="2"/>
      <c r="AF11" s="2" t="s">
        <v>9</v>
      </c>
      <c r="AG11" s="2">
        <v>5.9631105656478616E-12</v>
      </c>
      <c r="AH11" s="2"/>
    </row>
    <row r="12" spans="1:34" x14ac:dyDescent="0.25">
      <c r="E12" s="2" t="s">
        <v>34</v>
      </c>
      <c r="F12" s="2">
        <v>5680</v>
      </c>
      <c r="H12" s="2" t="s">
        <v>34</v>
      </c>
      <c r="I12" s="2">
        <v>2414</v>
      </c>
      <c r="K12" s="2" t="s">
        <v>34</v>
      </c>
      <c r="L12" s="2">
        <v>202880</v>
      </c>
      <c r="AB12" s="2" t="s">
        <v>10</v>
      </c>
      <c r="AC12" s="2">
        <v>1.8595480375308981</v>
      </c>
      <c r="AD12" s="2"/>
      <c r="AF12" s="2" t="s">
        <v>10</v>
      </c>
      <c r="AG12" s="2">
        <v>1.8595480375308981</v>
      </c>
      <c r="AH12" s="2"/>
    </row>
    <row r="13" spans="1:34" x14ac:dyDescent="0.25">
      <c r="E13" s="2" t="s">
        <v>35</v>
      </c>
      <c r="F13" s="2">
        <v>6144</v>
      </c>
      <c r="H13" s="2" t="s">
        <v>35</v>
      </c>
      <c r="I13" s="2">
        <v>2462</v>
      </c>
      <c r="K13" s="2" t="s">
        <v>35</v>
      </c>
      <c r="L13" s="2">
        <v>223893</v>
      </c>
      <c r="AB13" s="2" t="s">
        <v>11</v>
      </c>
      <c r="AC13" s="2">
        <v>6.4729185200352741E-11</v>
      </c>
      <c r="AD13" s="2"/>
      <c r="AF13" s="2" t="s">
        <v>11</v>
      </c>
      <c r="AG13" s="2">
        <v>1.1926221131295723E-11</v>
      </c>
      <c r="AH13" s="2"/>
    </row>
    <row r="14" spans="1:34" ht="15.75" thickBot="1" x14ac:dyDescent="0.3">
      <c r="E14" s="2" t="s">
        <v>15</v>
      </c>
      <c r="F14" s="2">
        <v>29665</v>
      </c>
      <c r="H14" s="2" t="s">
        <v>15</v>
      </c>
      <c r="I14" s="2">
        <v>12173</v>
      </c>
      <c r="K14" s="2" t="s">
        <v>15</v>
      </c>
      <c r="L14" s="2">
        <v>1057434</v>
      </c>
      <c r="AB14" s="3" t="s">
        <v>12</v>
      </c>
      <c r="AC14" s="3">
        <v>2.3060041352041671</v>
      </c>
      <c r="AD14" s="3"/>
      <c r="AF14" s="3" t="s">
        <v>12</v>
      </c>
      <c r="AG14" s="3">
        <v>2.3060041352041671</v>
      </c>
      <c r="AH14" s="3"/>
    </row>
    <row r="15" spans="1:34" ht="15.75" thickBot="1" x14ac:dyDescent="0.3">
      <c r="E15" s="3" t="s">
        <v>14</v>
      </c>
      <c r="F15" s="3">
        <v>5</v>
      </c>
      <c r="H15" s="3" t="s">
        <v>14</v>
      </c>
      <c r="I15" s="3">
        <v>5</v>
      </c>
      <c r="K15" s="3" t="s">
        <v>14</v>
      </c>
      <c r="L15" s="3">
        <v>5</v>
      </c>
    </row>
    <row r="17" spans="1:34" ht="15.75" thickBot="1" x14ac:dyDescent="0.3">
      <c r="E17" s="25"/>
      <c r="F17" s="9"/>
      <c r="N17" s="25"/>
      <c r="O17" s="25"/>
      <c r="P17" s="25"/>
      <c r="Q17" s="25"/>
      <c r="R17" s="25"/>
      <c r="S17" s="25"/>
      <c r="T17" s="25"/>
      <c r="AB17" s="24"/>
      <c r="AC17" s="24"/>
      <c r="AF17" s="25"/>
      <c r="AG17" s="25"/>
      <c r="AH17" s="25"/>
    </row>
    <row r="18" spans="1:34" x14ac:dyDescent="0.25">
      <c r="A18" s="77" t="s">
        <v>64</v>
      </c>
      <c r="B18" s="78"/>
      <c r="C18" s="78"/>
      <c r="E18" s="79" t="s">
        <v>1</v>
      </c>
      <c r="F18" s="79"/>
      <c r="H18" s="80" t="s">
        <v>2</v>
      </c>
      <c r="I18" s="80"/>
      <c r="K18" s="80" t="s">
        <v>0</v>
      </c>
      <c r="L18" s="80"/>
      <c r="N18" s="75" t="s">
        <v>25</v>
      </c>
      <c r="O18" s="75"/>
      <c r="P18" s="75"/>
      <c r="Q18" s="75"/>
      <c r="R18" s="75"/>
      <c r="S18" s="75"/>
      <c r="T18" s="75"/>
      <c r="AB18" s="80" t="s">
        <v>39</v>
      </c>
      <c r="AC18" s="80"/>
      <c r="AD18" s="80"/>
      <c r="AF18" s="75" t="s">
        <v>42</v>
      </c>
      <c r="AG18" s="75"/>
      <c r="AH18" s="75"/>
    </row>
    <row r="19" spans="1:34" ht="15.75" thickBot="1" x14ac:dyDescent="0.3">
      <c r="A19" s="23" t="s">
        <v>1</v>
      </c>
      <c r="B19" s="23" t="s">
        <v>2</v>
      </c>
      <c r="C19" s="23" t="s">
        <v>0</v>
      </c>
      <c r="E19" s="76"/>
      <c r="F19" s="76"/>
      <c r="H19" s="76"/>
      <c r="I19" s="76"/>
      <c r="K19" s="76"/>
      <c r="L19" s="76"/>
      <c r="N19" s="75"/>
      <c r="O19" s="75"/>
      <c r="P19" s="75"/>
      <c r="Q19" s="75"/>
      <c r="R19" s="75"/>
      <c r="S19" s="75"/>
      <c r="T19" s="75"/>
      <c r="AB19" s="76"/>
      <c r="AC19" s="76"/>
      <c r="AD19" s="76"/>
      <c r="AF19" s="76"/>
      <c r="AG19" s="76"/>
      <c r="AH19" s="76"/>
    </row>
    <row r="20" spans="1:34" x14ac:dyDescent="0.25">
      <c r="A20" s="10">
        <f>A3/1000</f>
        <v>6.0179999999999998</v>
      </c>
      <c r="B20" s="10">
        <f>B3/1000</f>
        <v>2.415</v>
      </c>
      <c r="C20" s="10">
        <f>C3/1000</f>
        <v>205.13200000000001</v>
      </c>
      <c r="E20" s="2" t="s">
        <v>3</v>
      </c>
      <c r="F20" s="36">
        <f>AVERAGE(A20:A24)</f>
        <v>5.9329999999999998</v>
      </c>
      <c r="H20" s="2" t="s">
        <v>3</v>
      </c>
      <c r="I20" s="34">
        <f>AVERAGE(B20:B24)</f>
        <v>2.4346000000000001</v>
      </c>
      <c r="K20" s="2" t="s">
        <v>3</v>
      </c>
      <c r="L20" s="34">
        <f>AVERAGE(C20:C24)</f>
        <v>211.48679999999999</v>
      </c>
      <c r="N20" s="15" t="s">
        <v>16</v>
      </c>
      <c r="O20" s="15" t="s">
        <v>17</v>
      </c>
      <c r="P20" s="15" t="s">
        <v>47</v>
      </c>
      <c r="Q20" s="15" t="s">
        <v>18</v>
      </c>
      <c r="R20" s="15" t="s">
        <v>19</v>
      </c>
      <c r="S20" s="15" t="s">
        <v>20</v>
      </c>
      <c r="T20" s="15" t="s">
        <v>21</v>
      </c>
      <c r="AB20" s="1"/>
      <c r="AC20" s="15" t="s">
        <v>1</v>
      </c>
      <c r="AD20" s="15" t="s">
        <v>2</v>
      </c>
      <c r="AF20" s="1"/>
      <c r="AG20" s="15" t="s">
        <v>1</v>
      </c>
      <c r="AH20" s="15" t="s">
        <v>0</v>
      </c>
    </row>
    <row r="21" spans="1:34" x14ac:dyDescent="0.25">
      <c r="A21" s="10">
        <f t="shared" ref="A21:C24" si="0">A4/1000</f>
        <v>5.8789999999999996</v>
      </c>
      <c r="B21" s="10">
        <f t="shared" si="0"/>
        <v>2.4430000000000001</v>
      </c>
      <c r="C21" s="10">
        <f t="shared" si="0"/>
        <v>202.88</v>
      </c>
      <c r="E21" s="2" t="s">
        <v>26</v>
      </c>
      <c r="F21" s="36">
        <f>F23/SQRT(F31)</f>
        <v>7.7068800431822015E-2</v>
      </c>
      <c r="H21" s="2" t="s">
        <v>26</v>
      </c>
      <c r="I21" s="34">
        <f>I23/SQRT(I31)</f>
        <v>9.0807488677972035E-3</v>
      </c>
      <c r="K21" s="2" t="s">
        <v>26</v>
      </c>
      <c r="L21" s="34">
        <f>L23/SQRT(L31)</f>
        <v>3.6876020853665872</v>
      </c>
      <c r="N21" s="2" t="s">
        <v>22</v>
      </c>
      <c r="O21" s="2">
        <v>143279.04303640002</v>
      </c>
      <c r="P21" s="2">
        <v>2</v>
      </c>
      <c r="Q21" s="2">
        <v>71639.52151820001</v>
      </c>
      <c r="R21" s="31">
        <v>3159.5376740866609</v>
      </c>
      <c r="S21" s="2">
        <v>4.6368450460549369E-17</v>
      </c>
      <c r="T21" s="31">
        <v>3.8852938346523942</v>
      </c>
      <c r="AB21" s="2" t="s">
        <v>3</v>
      </c>
      <c r="AC21" s="2">
        <v>5.9329999999999998</v>
      </c>
      <c r="AD21" s="2">
        <v>2.4346000000000001</v>
      </c>
      <c r="AF21" s="2" t="s">
        <v>3</v>
      </c>
      <c r="AG21" s="31">
        <v>5.9329999999999998</v>
      </c>
      <c r="AH21" s="31">
        <v>211.48679999999999</v>
      </c>
    </row>
    <row r="22" spans="1:34" x14ac:dyDescent="0.25">
      <c r="A22" s="10">
        <f t="shared" si="0"/>
        <v>5.68</v>
      </c>
      <c r="B22" s="10">
        <f t="shared" si="0"/>
        <v>2.4390000000000001</v>
      </c>
      <c r="C22" s="10">
        <f t="shared" si="0"/>
        <v>213.17</v>
      </c>
      <c r="E22" s="2" t="s">
        <v>27</v>
      </c>
      <c r="F22" s="36">
        <f>MEDIAN(A20:A24)</f>
        <v>5.944</v>
      </c>
      <c r="H22" s="2" t="s">
        <v>27</v>
      </c>
      <c r="I22" s="34">
        <f>MEDIAN(B21:B25)</f>
        <v>2.4409999999999998</v>
      </c>
      <c r="K22" s="2" t="s">
        <v>27</v>
      </c>
      <c r="L22" s="34">
        <f>MEDIAN(C20:C24)</f>
        <v>212.35900000000001</v>
      </c>
      <c r="N22" s="2" t="s">
        <v>23</v>
      </c>
      <c r="O22" s="2">
        <v>272.08862400000004</v>
      </c>
      <c r="P22" s="2">
        <v>12</v>
      </c>
      <c r="Q22" s="2">
        <v>22.674052000000003</v>
      </c>
      <c r="R22" s="2"/>
      <c r="S22" s="2"/>
      <c r="T22" s="2"/>
      <c r="AB22" s="2" t="s">
        <v>4</v>
      </c>
      <c r="AC22" s="31">
        <v>2.9698000000000051E-2</v>
      </c>
      <c r="AD22" s="2">
        <v>4.1230000000000108E-4</v>
      </c>
      <c r="AF22" s="2" t="s">
        <v>4</v>
      </c>
      <c r="AG22" s="31">
        <v>2.9698000000000051E-2</v>
      </c>
      <c r="AH22" s="31">
        <v>67.992045700000006</v>
      </c>
    </row>
    <row r="23" spans="1:34" x14ac:dyDescent="0.25">
      <c r="A23" s="10">
        <f t="shared" si="0"/>
        <v>5.944</v>
      </c>
      <c r="B23" s="10">
        <f t="shared" si="0"/>
        <v>2.4620000000000002</v>
      </c>
      <c r="C23" s="10">
        <f t="shared" si="0"/>
        <v>223.893</v>
      </c>
      <c r="E23" s="2" t="s">
        <v>29</v>
      </c>
      <c r="F23" s="36">
        <f>_xlfn.STDEV.S(A20:A24)</f>
        <v>0.17233107670991918</v>
      </c>
      <c r="H23" s="2" t="s">
        <v>29</v>
      </c>
      <c r="I23" s="34">
        <f>_xlfn.STDEV.S(B20:B24)</f>
        <v>2.03051717549988E-2</v>
      </c>
      <c r="K23" s="2" t="s">
        <v>29</v>
      </c>
      <c r="L23" s="34">
        <f>_xlfn.STDEV.S(C20:C24)</f>
        <v>8.2457289368496713</v>
      </c>
      <c r="N23" s="2"/>
      <c r="O23" s="2"/>
      <c r="P23" s="2"/>
      <c r="Q23" s="2"/>
      <c r="R23" s="2"/>
      <c r="S23" s="2"/>
      <c r="T23" s="2"/>
      <c r="AB23" s="2" t="s">
        <v>5</v>
      </c>
      <c r="AC23" s="2">
        <v>5</v>
      </c>
      <c r="AD23" s="2">
        <v>5</v>
      </c>
      <c r="AF23" s="2" t="s">
        <v>5</v>
      </c>
      <c r="AG23" s="2">
        <v>5</v>
      </c>
      <c r="AH23" s="2">
        <v>5</v>
      </c>
    </row>
    <row r="24" spans="1:34" ht="15.75" thickBot="1" x14ac:dyDescent="0.3">
      <c r="A24" s="11">
        <f t="shared" si="0"/>
        <v>6.1440000000000001</v>
      </c>
      <c r="B24" s="11">
        <f t="shared" si="0"/>
        <v>2.4140000000000001</v>
      </c>
      <c r="C24" s="11">
        <f t="shared" si="0"/>
        <v>212.35900000000001</v>
      </c>
      <c r="E24" s="2" t="s">
        <v>30</v>
      </c>
      <c r="F24" s="36">
        <f>VARA(A20:A24)</f>
        <v>2.9698000000000051E-2</v>
      </c>
      <c r="H24" s="2" t="s">
        <v>30</v>
      </c>
      <c r="I24" s="34">
        <f>VARA(B20:B24)</f>
        <v>4.1230000000000108E-4</v>
      </c>
      <c r="K24" s="2" t="s">
        <v>30</v>
      </c>
      <c r="L24" s="34">
        <f>VARA(C20:C24)</f>
        <v>67.992045700000006</v>
      </c>
      <c r="N24" s="3" t="s">
        <v>24</v>
      </c>
      <c r="O24" s="3">
        <v>143551.13166040002</v>
      </c>
      <c r="P24" s="3">
        <v>14</v>
      </c>
      <c r="Q24" s="3"/>
      <c r="R24" s="3"/>
      <c r="S24" s="3"/>
      <c r="T24" s="3"/>
      <c r="AB24" s="2" t="s">
        <v>13</v>
      </c>
      <c r="AC24" s="31">
        <v>1.5055150000000026E-2</v>
      </c>
      <c r="AD24" s="2"/>
      <c r="AF24" s="2" t="s">
        <v>13</v>
      </c>
      <c r="AG24" s="31">
        <v>34.010871850000001</v>
      </c>
      <c r="AH24" s="2"/>
    </row>
    <row r="25" spans="1:34" x14ac:dyDescent="0.25">
      <c r="E25" s="2" t="s">
        <v>55</v>
      </c>
      <c r="F25" s="12">
        <f>SQRT(F24)/F31</f>
        <v>3.4466215341983839E-2</v>
      </c>
      <c r="G25" s="57"/>
      <c r="H25" s="2" t="s">
        <v>55</v>
      </c>
      <c r="I25" s="58">
        <f>SQRT(I24)/I31</f>
        <v>4.0610343509997603E-3</v>
      </c>
      <c r="J25" s="57"/>
      <c r="K25" s="2" t="s">
        <v>55</v>
      </c>
      <c r="L25" s="12">
        <f>SQRT(L24)/L31</f>
        <v>1.6491457873699342</v>
      </c>
      <c r="AB25" s="2" t="s">
        <v>6</v>
      </c>
      <c r="AC25" s="2">
        <v>0</v>
      </c>
      <c r="AD25" s="2"/>
      <c r="AF25" s="2" t="s">
        <v>6</v>
      </c>
      <c r="AG25" s="2">
        <v>0</v>
      </c>
      <c r="AH25" s="2"/>
    </row>
    <row r="26" spans="1:34" x14ac:dyDescent="0.25">
      <c r="E26" s="2" t="s">
        <v>31</v>
      </c>
      <c r="F26" s="36">
        <f>KURT(A20:A24)</f>
        <v>0.70208377574195602</v>
      </c>
      <c r="H26" s="2" t="s">
        <v>31</v>
      </c>
      <c r="I26" s="34">
        <f>KURT(B20:B24)</f>
        <v>-1.4066150095101726</v>
      </c>
      <c r="K26" s="2" t="s">
        <v>31</v>
      </c>
      <c r="L26" s="34">
        <f>KURT(C20:C24)</f>
        <v>0.33247787777167304</v>
      </c>
      <c r="AB26" s="2" t="s">
        <v>7</v>
      </c>
      <c r="AC26" s="2">
        <v>8</v>
      </c>
      <c r="AD26" s="2"/>
      <c r="AF26" s="2" t="s">
        <v>7</v>
      </c>
      <c r="AG26" s="2">
        <v>8</v>
      </c>
      <c r="AH26" s="2"/>
    </row>
    <row r="27" spans="1:34" x14ac:dyDescent="0.25">
      <c r="E27" s="2" t="s">
        <v>32</v>
      </c>
      <c r="F27" s="35">
        <f>SKEW(A20:A24)</f>
        <v>-0.51635505442167873</v>
      </c>
      <c r="H27" s="2" t="s">
        <v>32</v>
      </c>
      <c r="I27" s="35">
        <f>SKEW(B20:B24)</f>
        <v>0.24772384339629011</v>
      </c>
      <c r="K27" s="2" t="s">
        <v>32</v>
      </c>
      <c r="L27" s="35">
        <f>SKEW(C20:C24)</f>
        <v>0.75859395587529466</v>
      </c>
      <c r="AB27" s="2" t="s">
        <v>8</v>
      </c>
      <c r="AC27" s="31">
        <v>45.081351279613898</v>
      </c>
      <c r="AD27" s="2"/>
      <c r="AF27" s="2" t="s">
        <v>8</v>
      </c>
      <c r="AG27" s="31">
        <v>-55.729690566490177</v>
      </c>
      <c r="AH27" s="2"/>
    </row>
    <row r="28" spans="1:34" x14ac:dyDescent="0.25">
      <c r="E28" s="2" t="s">
        <v>34</v>
      </c>
      <c r="F28" s="36">
        <f>MIN(A20:A24)</f>
        <v>5.68</v>
      </c>
      <c r="H28" s="2" t="s">
        <v>34</v>
      </c>
      <c r="I28" s="34">
        <f>MIN(B20:B24)</f>
        <v>2.4140000000000001</v>
      </c>
      <c r="K28" s="2" t="s">
        <v>34</v>
      </c>
      <c r="L28" s="34">
        <f>MIN(C20:C24)</f>
        <v>202.88</v>
      </c>
      <c r="AB28" s="2" t="s">
        <v>9</v>
      </c>
      <c r="AC28" s="2">
        <v>3.2364592600176597E-11</v>
      </c>
      <c r="AD28" s="2"/>
      <c r="AF28" s="2" t="s">
        <v>9</v>
      </c>
      <c r="AG28" s="2">
        <v>5.9631105656478616E-12</v>
      </c>
      <c r="AH28" s="2"/>
    </row>
    <row r="29" spans="1:34" x14ac:dyDescent="0.25">
      <c r="E29" s="2" t="s">
        <v>35</v>
      </c>
      <c r="F29" s="36">
        <f>MAX(A20:A24)</f>
        <v>6.1440000000000001</v>
      </c>
      <c r="H29" s="2" t="s">
        <v>35</v>
      </c>
      <c r="I29" s="34">
        <f>MAX(B20:B24)</f>
        <v>2.4620000000000002</v>
      </c>
      <c r="K29" s="2" t="s">
        <v>35</v>
      </c>
      <c r="L29" s="34">
        <f>MAX(C20:C24)</f>
        <v>223.893</v>
      </c>
      <c r="AB29" s="2" t="s">
        <v>10</v>
      </c>
      <c r="AC29" s="31">
        <v>1.8595480375308981</v>
      </c>
      <c r="AD29" s="2"/>
      <c r="AF29" s="2" t="s">
        <v>10</v>
      </c>
      <c r="AG29" s="31">
        <v>1.8595480375308981</v>
      </c>
      <c r="AH29" s="2"/>
    </row>
    <row r="30" spans="1:34" x14ac:dyDescent="0.25">
      <c r="E30" s="2" t="s">
        <v>15</v>
      </c>
      <c r="F30" s="36">
        <f>SUM(A20:A24)</f>
        <v>29.664999999999999</v>
      </c>
      <c r="H30" s="2" t="s">
        <v>15</v>
      </c>
      <c r="I30" s="34">
        <f>SUM(B20:B24)</f>
        <v>12.173</v>
      </c>
      <c r="K30" s="2" t="s">
        <v>15</v>
      </c>
      <c r="L30" s="34">
        <f>SUM(C20:C24)</f>
        <v>1057.434</v>
      </c>
      <c r="AB30" s="2" t="s">
        <v>11</v>
      </c>
      <c r="AC30" s="2">
        <v>6.4729185200353194E-11</v>
      </c>
      <c r="AD30" s="2"/>
      <c r="AF30" s="2" t="s">
        <v>11</v>
      </c>
      <c r="AG30" s="2">
        <v>1.1926221131295723E-11</v>
      </c>
      <c r="AH30" s="2"/>
    </row>
    <row r="31" spans="1:34" ht="15.75" thickBot="1" x14ac:dyDescent="0.3">
      <c r="E31" s="3" t="s">
        <v>14</v>
      </c>
      <c r="F31" s="3">
        <f>COUNT(A20:A24)</f>
        <v>5</v>
      </c>
      <c r="H31" s="3" t="s">
        <v>14</v>
      </c>
      <c r="I31" s="33">
        <f>COUNT(B20:B24)</f>
        <v>5</v>
      </c>
      <c r="K31" s="3" t="s">
        <v>14</v>
      </c>
      <c r="L31" s="33">
        <f>COUNT(C20:C24)</f>
        <v>5</v>
      </c>
      <c r="AB31" s="3" t="s">
        <v>12</v>
      </c>
      <c r="AC31" s="32">
        <v>2.3060041352041671</v>
      </c>
      <c r="AD31" s="3"/>
      <c r="AF31" s="3" t="s">
        <v>12</v>
      </c>
      <c r="AG31" s="32">
        <v>2.3060041352041671</v>
      </c>
      <c r="AH31" s="3"/>
    </row>
    <row r="34" spans="1:16" ht="15.75" thickBot="1" x14ac:dyDescent="0.3">
      <c r="A34" s="25"/>
      <c r="B34" s="25"/>
      <c r="C34" s="25"/>
      <c r="D34" s="25"/>
      <c r="E34" s="25"/>
      <c r="F34" s="9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6" ht="15.75" thickBot="1" x14ac:dyDescent="0.3">
      <c r="A35" s="73" t="s">
        <v>79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</row>
    <row r="36" spans="1:16" ht="15.75" thickBot="1" x14ac:dyDescent="0.3">
      <c r="A36" s="60" t="s">
        <v>80</v>
      </c>
      <c r="B36" s="57"/>
      <c r="C36" s="59" t="s">
        <v>81</v>
      </c>
      <c r="D36" s="24"/>
      <c r="E36" s="72" t="s">
        <v>84</v>
      </c>
      <c r="F36" s="72"/>
      <c r="G36" s="57"/>
      <c r="H36" s="72" t="s">
        <v>61</v>
      </c>
      <c r="I36" s="72"/>
      <c r="J36" s="72"/>
      <c r="K36" s="72"/>
      <c r="L36" s="57"/>
      <c r="M36" s="72" t="s">
        <v>62</v>
      </c>
      <c r="N36" s="72"/>
      <c r="O36" s="72"/>
      <c r="P36" s="72"/>
    </row>
    <row r="37" spans="1:16" x14ac:dyDescent="0.25">
      <c r="A37" s="22">
        <f>A20-B20</f>
        <v>3.6029999999999998</v>
      </c>
      <c r="B37" s="57"/>
      <c r="C37" s="62">
        <f>A20-C20</f>
        <v>-199.114</v>
      </c>
      <c r="D37" s="57"/>
      <c r="E37" s="57" t="s">
        <v>87</v>
      </c>
      <c r="F37" s="6">
        <f>SQRT(F24/F31)</f>
        <v>7.7068800431822015E-2</v>
      </c>
      <c r="G37" s="57"/>
      <c r="H37" s="74" t="s">
        <v>3</v>
      </c>
      <c r="I37" s="74"/>
      <c r="J37" s="74"/>
      <c r="K37" s="13">
        <f>AVERAGE(A37:A41)</f>
        <v>3.4983999999999993</v>
      </c>
      <c r="L37" s="57"/>
      <c r="M37" s="74" t="s">
        <v>3</v>
      </c>
      <c r="N37" s="74"/>
      <c r="O37" s="74"/>
      <c r="P37" s="13">
        <f>AVERAGE(C37:C41)</f>
        <v>-205.5538</v>
      </c>
    </row>
    <row r="38" spans="1:16" x14ac:dyDescent="0.25">
      <c r="A38" s="22">
        <f t="shared" ref="A38:A41" si="1">A21-B21</f>
        <v>3.4359999999999995</v>
      </c>
      <c r="B38" s="57"/>
      <c r="C38" s="22">
        <f>A21-C21</f>
        <v>-197.001</v>
      </c>
      <c r="D38" s="57"/>
      <c r="E38" s="57" t="s">
        <v>85</v>
      </c>
      <c r="F38" s="6">
        <f>F20-($K$41*F37)</f>
        <v>5.768689317479355</v>
      </c>
      <c r="G38" s="5"/>
      <c r="H38" s="70" t="s">
        <v>4</v>
      </c>
      <c r="I38" s="70"/>
      <c r="J38" s="70"/>
      <c r="K38" s="57">
        <f>VARA(A37:A41)</f>
        <v>3.3749300000000051E-2</v>
      </c>
      <c r="L38" s="57"/>
      <c r="M38" s="70" t="s">
        <v>4</v>
      </c>
      <c r="N38" s="70"/>
      <c r="O38" s="70"/>
      <c r="P38" s="57">
        <f>VARA(C37:C41)</f>
        <v>68.112112700000026</v>
      </c>
    </row>
    <row r="39" spans="1:16" x14ac:dyDescent="0.25">
      <c r="A39" s="22">
        <f t="shared" si="1"/>
        <v>3.2409999999999997</v>
      </c>
      <c r="B39" s="57"/>
      <c r="C39" s="22">
        <f>A22-C22</f>
        <v>-207.48999999999998</v>
      </c>
      <c r="D39" s="57"/>
      <c r="E39" s="57" t="s">
        <v>86</v>
      </c>
      <c r="F39" s="6">
        <f>F20+(K41*F37)</f>
        <v>6.0973106825206447</v>
      </c>
      <c r="G39" s="57"/>
      <c r="H39" s="71" t="s">
        <v>82</v>
      </c>
      <c r="I39" s="71"/>
      <c r="J39" s="71"/>
      <c r="K39" s="57">
        <f>_xlfn.STDEV.S(A37:A41)</f>
        <v>0.18370982554017096</v>
      </c>
      <c r="L39" s="57"/>
      <c r="M39" s="71" t="s">
        <v>82</v>
      </c>
      <c r="N39" s="71"/>
      <c r="O39" s="71"/>
      <c r="P39" s="57">
        <f>_xlfn.STDEV.S(C37:C41)</f>
        <v>8.2530062825615271</v>
      </c>
    </row>
    <row r="40" spans="1:16" x14ac:dyDescent="0.25">
      <c r="A40" s="22">
        <f t="shared" si="1"/>
        <v>3.4819999999999998</v>
      </c>
      <c r="B40" s="57"/>
      <c r="C40" s="22">
        <f>A23-C23</f>
        <v>-217.94900000000001</v>
      </c>
      <c r="D40" s="57"/>
      <c r="E40" s="57"/>
      <c r="G40" s="57"/>
      <c r="H40" s="70" t="s">
        <v>77</v>
      </c>
      <c r="I40" s="70"/>
      <c r="J40" s="70"/>
      <c r="K40" s="50">
        <f>COUNT(A37:A41)-1</f>
        <v>4</v>
      </c>
      <c r="L40" s="57"/>
      <c r="M40" s="70" t="s">
        <v>77</v>
      </c>
      <c r="N40" s="70"/>
      <c r="O40" s="70"/>
      <c r="P40" s="50">
        <f>COUNT(C37:C41)-1</f>
        <v>4</v>
      </c>
    </row>
    <row r="41" spans="1:16" ht="18" x14ac:dyDescent="0.25">
      <c r="A41" s="22">
        <f t="shared" si="1"/>
        <v>3.73</v>
      </c>
      <c r="B41" s="57"/>
      <c r="C41" s="22">
        <f>A24-C24</f>
        <v>-206.215</v>
      </c>
      <c r="D41" s="57"/>
      <c r="E41" s="57" t="s">
        <v>88</v>
      </c>
      <c r="F41" s="6">
        <f>SQRT(I24/I31)</f>
        <v>9.0807488677972052E-3</v>
      </c>
      <c r="G41" s="57"/>
      <c r="H41" s="70" t="s">
        <v>74</v>
      </c>
      <c r="I41" s="70"/>
      <c r="J41" s="70"/>
      <c r="K41" s="57">
        <v>2.1320000000000001</v>
      </c>
      <c r="L41" s="57"/>
      <c r="M41" s="70" t="s">
        <v>74</v>
      </c>
      <c r="N41" s="70"/>
      <c r="O41" s="70"/>
      <c r="P41" s="57">
        <v>2.1320000000000001</v>
      </c>
    </row>
    <row r="42" spans="1:16" x14ac:dyDescent="0.25">
      <c r="A42" s="57"/>
      <c r="B42" s="57"/>
      <c r="C42" s="57"/>
      <c r="D42" s="57"/>
      <c r="E42" s="57" t="s">
        <v>85</v>
      </c>
      <c r="F42" s="6">
        <f>I20-($K$41*F41)</f>
        <v>2.4152398434138567</v>
      </c>
      <c r="G42" s="57"/>
      <c r="H42" s="70" t="s">
        <v>83</v>
      </c>
      <c r="I42" s="70"/>
      <c r="J42" s="70"/>
      <c r="K42" s="57">
        <f>SQRT(K38/COUNT(A37:A41))</f>
        <v>8.2157531608489862E-2</v>
      </c>
      <c r="L42" s="57"/>
      <c r="M42" s="70" t="s">
        <v>83</v>
      </c>
      <c r="N42" s="70"/>
      <c r="O42" s="70"/>
      <c r="P42" s="57">
        <f>SQRT(P38/COUNT(C37:C41))</f>
        <v>3.6908566133080822</v>
      </c>
    </row>
    <row r="43" spans="1:16" x14ac:dyDescent="0.25">
      <c r="A43" s="22"/>
      <c r="B43" s="57"/>
      <c r="C43" s="57"/>
      <c r="D43" s="57"/>
      <c r="E43" s="57" t="s">
        <v>86</v>
      </c>
      <c r="F43" s="6">
        <f>I20+(K41*F41)</f>
        <v>2.4539601565861435</v>
      </c>
      <c r="G43" s="57"/>
      <c r="H43" s="70" t="s">
        <v>59</v>
      </c>
      <c r="I43" s="70"/>
      <c r="J43" s="70"/>
      <c r="K43" s="57">
        <f>K37-(K42*K41)</f>
        <v>3.323240142610699</v>
      </c>
      <c r="L43" s="57"/>
      <c r="M43" s="70" t="s">
        <v>59</v>
      </c>
      <c r="N43" s="70"/>
      <c r="O43" s="70"/>
      <c r="P43" s="57">
        <f>P37-(P42*P41)</f>
        <v>-213.42270629957284</v>
      </c>
    </row>
    <row r="44" spans="1:16" x14ac:dyDescent="0.25">
      <c r="A44" s="57"/>
      <c r="B44" s="57"/>
      <c r="C44" s="57"/>
      <c r="D44" s="57"/>
      <c r="E44" s="57"/>
      <c r="G44" s="57"/>
      <c r="H44" s="70" t="s">
        <v>60</v>
      </c>
      <c r="I44" s="70"/>
      <c r="J44" s="70"/>
      <c r="K44" s="57">
        <f>K37+(K43*K42)</f>
        <v>3.77142920705914</v>
      </c>
      <c r="L44" s="57"/>
      <c r="M44" s="70" t="s">
        <v>60</v>
      </c>
      <c r="N44" s="70"/>
      <c r="O44" s="70"/>
      <c r="P44" s="57">
        <f>P37+(P43*P42)</f>
        <v>-993.26640697588698</v>
      </c>
    </row>
    <row r="45" spans="1:16" x14ac:dyDescent="0.25">
      <c r="A45" s="57"/>
      <c r="B45" s="57"/>
      <c r="C45" s="57"/>
      <c r="D45" s="57"/>
      <c r="E45" s="57" t="s">
        <v>89</v>
      </c>
      <c r="F45" s="6">
        <f>SQRT(L24/L31)</f>
        <v>3.6876020853665872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</row>
    <row r="46" spans="1:16" x14ac:dyDescent="0.25">
      <c r="A46" s="57"/>
      <c r="B46" s="57"/>
      <c r="C46" s="57"/>
      <c r="D46" s="57"/>
      <c r="E46" s="57" t="s">
        <v>85</v>
      </c>
      <c r="F46" s="13">
        <f>L20-($K$41*F45)</f>
        <v>203.62483235399841</v>
      </c>
      <c r="G46" s="61"/>
      <c r="H46" s="57"/>
      <c r="I46" s="57"/>
      <c r="J46" s="57"/>
      <c r="K46" s="57"/>
      <c r="L46" s="57"/>
      <c r="M46" s="57"/>
      <c r="N46" s="57"/>
      <c r="O46" s="57"/>
      <c r="P46" s="57"/>
    </row>
    <row r="47" spans="1:16" x14ac:dyDescent="0.25">
      <c r="A47" s="57"/>
      <c r="B47" s="57"/>
      <c r="C47" s="57"/>
      <c r="D47" s="57"/>
      <c r="E47" s="57" t="s">
        <v>86</v>
      </c>
      <c r="F47" s="13">
        <f>L20+($K$41*F45)</f>
        <v>219.34876764600156</v>
      </c>
      <c r="G47" s="61"/>
      <c r="H47" s="57"/>
      <c r="I47" s="57"/>
      <c r="J47" s="57"/>
      <c r="K47" s="57"/>
      <c r="L47" s="57"/>
      <c r="M47" s="57"/>
      <c r="N47" s="57"/>
      <c r="O47" s="57"/>
      <c r="P47" s="57"/>
    </row>
  </sheetData>
  <mergeCells count="37">
    <mergeCell ref="M37:O37"/>
    <mergeCell ref="M42:O42"/>
    <mergeCell ref="H43:J43"/>
    <mergeCell ref="M43:O43"/>
    <mergeCell ref="H44:J44"/>
    <mergeCell ref="M44:O44"/>
    <mergeCell ref="H41:J41"/>
    <mergeCell ref="M41:O41"/>
    <mergeCell ref="H42:J42"/>
    <mergeCell ref="X1:X2"/>
    <mergeCell ref="Z1:Z2"/>
    <mergeCell ref="H38:J38"/>
    <mergeCell ref="M38:O38"/>
    <mergeCell ref="H39:J39"/>
    <mergeCell ref="M39:O39"/>
    <mergeCell ref="H40:J40"/>
    <mergeCell ref="M40:O40"/>
    <mergeCell ref="A35:P35"/>
    <mergeCell ref="E36:F36"/>
    <mergeCell ref="H36:K36"/>
    <mergeCell ref="M36:P36"/>
    <mergeCell ref="H37:J37"/>
    <mergeCell ref="AB1:AD2"/>
    <mergeCell ref="AF1:AH2"/>
    <mergeCell ref="A18:C18"/>
    <mergeCell ref="E18:F19"/>
    <mergeCell ref="H18:I19"/>
    <mergeCell ref="K18:L19"/>
    <mergeCell ref="N18:T19"/>
    <mergeCell ref="AB18:AD19"/>
    <mergeCell ref="A1:C1"/>
    <mergeCell ref="E1:F2"/>
    <mergeCell ref="H1:I2"/>
    <mergeCell ref="K1:L2"/>
    <mergeCell ref="N1:T2"/>
    <mergeCell ref="V1:V2"/>
    <mergeCell ref="AF18:AH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topLeftCell="A28" zoomScaleNormal="100" workbookViewId="0">
      <selection activeCell="AJ30" sqref="AJ30"/>
    </sheetView>
  </sheetViews>
  <sheetFormatPr defaultRowHeight="15" x14ac:dyDescent="0.25"/>
  <cols>
    <col min="1" max="2" width="9.5703125" style="4" customWidth="1"/>
    <col min="3" max="3" width="11" style="4" bestFit="1" customWidth="1"/>
    <col min="4" max="4" width="8.5703125" style="4" bestFit="1" customWidth="1"/>
    <col min="5" max="5" width="23.7109375" style="4" bestFit="1" customWidth="1"/>
    <col min="6" max="6" width="12" style="5" bestFit="1" customWidth="1"/>
    <col min="7" max="7" width="9.140625" style="4"/>
    <col min="8" max="8" width="23.7109375" style="4" bestFit="1" customWidth="1"/>
    <col min="9" max="9" width="12" style="4" bestFit="1" customWidth="1"/>
    <col min="10" max="10" width="9.140625" style="4"/>
    <col min="11" max="11" width="23.7109375" style="4" bestFit="1" customWidth="1"/>
    <col min="12" max="12" width="12" style="4" bestFit="1" customWidth="1"/>
    <col min="13" max="13" width="9.140625" style="4"/>
    <col min="14" max="14" width="17.42578125" style="4" bestFit="1" customWidth="1"/>
    <col min="15" max="15" width="12" style="4" bestFit="1" customWidth="1"/>
    <col min="16" max="16" width="12.7109375" style="4" bestFit="1" customWidth="1"/>
    <col min="17" max="20" width="12" style="4" bestFit="1" customWidth="1"/>
    <col min="21" max="21" width="9.140625" style="4"/>
    <col min="22" max="22" width="5.7109375" style="4" bestFit="1" customWidth="1"/>
    <col min="23" max="23" width="9.140625" style="4"/>
    <col min="24" max="24" width="28.85546875" style="4" bestFit="1" customWidth="1"/>
    <col min="25" max="25" width="9.140625" style="4"/>
    <col min="26" max="26" width="40.85546875" style="4" bestFit="1" customWidth="1"/>
    <col min="27" max="27" width="9.140625" style="4"/>
    <col min="28" max="28" width="29.85546875" style="4" customWidth="1"/>
    <col min="29" max="29" width="12" style="4" bestFit="1" customWidth="1"/>
    <col min="30" max="30" width="7" style="4" customWidth="1"/>
    <col min="31" max="31" width="9.140625" style="4"/>
    <col min="32" max="32" width="29.85546875" style="4" bestFit="1" customWidth="1"/>
    <col min="33" max="33" width="12.7109375" style="4" bestFit="1" customWidth="1"/>
    <col min="34" max="34" width="8" style="4" bestFit="1" customWidth="1"/>
    <col min="35" max="16384" width="9.140625" style="4"/>
  </cols>
  <sheetData>
    <row r="1" spans="1:34" ht="15" customHeight="1" x14ac:dyDescent="0.25">
      <c r="A1" s="89" t="s">
        <v>46</v>
      </c>
      <c r="B1" s="90"/>
      <c r="C1" s="90"/>
      <c r="D1" s="8"/>
      <c r="E1" s="91" t="s">
        <v>1</v>
      </c>
      <c r="F1" s="91"/>
      <c r="H1" s="91" t="s">
        <v>2</v>
      </c>
      <c r="I1" s="91"/>
      <c r="K1" s="91" t="s">
        <v>0</v>
      </c>
      <c r="L1" s="91"/>
      <c r="N1" s="88" t="s">
        <v>25</v>
      </c>
      <c r="O1" s="88"/>
      <c r="P1" s="88"/>
      <c r="Q1" s="88"/>
      <c r="R1" s="88"/>
      <c r="S1" s="88"/>
      <c r="T1" s="88"/>
      <c r="V1" s="88" t="s">
        <v>36</v>
      </c>
      <c r="X1" s="86" t="s">
        <v>37</v>
      </c>
      <c r="Z1" s="86" t="s">
        <v>38</v>
      </c>
      <c r="AB1" s="88" t="s">
        <v>39</v>
      </c>
      <c r="AC1" s="88"/>
      <c r="AD1" s="88"/>
      <c r="AF1" s="88" t="s">
        <v>42</v>
      </c>
      <c r="AG1" s="88"/>
      <c r="AH1" s="88"/>
    </row>
    <row r="2" spans="1:34" ht="15.75" thickBot="1" x14ac:dyDescent="0.3">
      <c r="A2" s="27" t="s">
        <v>1</v>
      </c>
      <c r="B2" s="27" t="s">
        <v>2</v>
      </c>
      <c r="C2" s="27" t="s">
        <v>0</v>
      </c>
      <c r="D2" s="8"/>
      <c r="E2" s="85"/>
      <c r="F2" s="85"/>
      <c r="H2" s="85"/>
      <c r="I2" s="85"/>
      <c r="K2" s="85"/>
      <c r="L2" s="85"/>
      <c r="N2" s="88"/>
      <c r="O2" s="88"/>
      <c r="P2" s="88"/>
      <c r="Q2" s="88"/>
      <c r="R2" s="88"/>
      <c r="S2" s="88"/>
      <c r="T2" s="88"/>
      <c r="V2" s="88"/>
      <c r="X2" s="87"/>
      <c r="Z2" s="87"/>
      <c r="AB2" s="85"/>
      <c r="AC2" s="85"/>
      <c r="AD2" s="85"/>
      <c r="AF2" s="85"/>
      <c r="AG2" s="85"/>
      <c r="AH2" s="85"/>
    </row>
    <row r="3" spans="1:34" ht="15.75" thickBot="1" x14ac:dyDescent="0.3">
      <c r="A3" s="16">
        <v>3933</v>
      </c>
      <c r="B3" s="16">
        <v>1380</v>
      </c>
      <c r="C3" s="16">
        <v>118245</v>
      </c>
      <c r="D3" s="6"/>
      <c r="E3" s="2" t="s">
        <v>3</v>
      </c>
      <c r="F3" s="2">
        <v>3623.6</v>
      </c>
      <c r="H3" s="2" t="s">
        <v>3</v>
      </c>
      <c r="I3" s="2">
        <v>1397.4</v>
      </c>
      <c r="K3" s="2" t="s">
        <v>3</v>
      </c>
      <c r="L3" s="2">
        <v>113608</v>
      </c>
      <c r="N3" s="15" t="s">
        <v>16</v>
      </c>
      <c r="O3" s="15" t="s">
        <v>17</v>
      </c>
      <c r="P3" s="15" t="s">
        <v>7</v>
      </c>
      <c r="Q3" s="15" t="s">
        <v>18</v>
      </c>
      <c r="R3" s="15" t="s">
        <v>19</v>
      </c>
      <c r="S3" s="15" t="s">
        <v>20</v>
      </c>
      <c r="T3" s="15" t="s">
        <v>21</v>
      </c>
      <c r="V3" s="21">
        <v>0.05</v>
      </c>
      <c r="X3" s="4" t="str">
        <f>IF($S$4&gt;$V$3,"Aceita","Rejeita")</f>
        <v>Rejeita</v>
      </c>
      <c r="Z3" s="4" t="str">
        <f>IF($T$4&gt;$R$4,"Aceita","Rejeita")</f>
        <v>Rejeita</v>
      </c>
      <c r="AB3" s="15"/>
      <c r="AC3" s="15" t="s">
        <v>1</v>
      </c>
      <c r="AD3" s="15" t="s">
        <v>2</v>
      </c>
      <c r="AF3" s="1"/>
      <c r="AG3" s="15" t="s">
        <v>1</v>
      </c>
      <c r="AH3" s="15" t="s">
        <v>0</v>
      </c>
    </row>
    <row r="4" spans="1:34" x14ac:dyDescent="0.25">
      <c r="A4" s="16">
        <v>3539</v>
      </c>
      <c r="B4" s="16">
        <v>1497</v>
      </c>
      <c r="C4" s="16">
        <v>110277</v>
      </c>
      <c r="D4" s="6"/>
      <c r="E4" s="2" t="s">
        <v>26</v>
      </c>
      <c r="F4" s="2">
        <v>79.24304385875142</v>
      </c>
      <c r="H4" s="2" t="s">
        <v>26</v>
      </c>
      <c r="I4" s="2">
        <v>24.999199987199592</v>
      </c>
      <c r="K4" s="2" t="s">
        <v>26</v>
      </c>
      <c r="L4" s="2">
        <v>1373.4699851107048</v>
      </c>
      <c r="N4" s="2" t="s">
        <v>22</v>
      </c>
      <c r="O4" s="2">
        <v>41154571603.599998</v>
      </c>
      <c r="P4" s="2">
        <v>2</v>
      </c>
      <c r="Q4" s="2">
        <v>20577285801.799999</v>
      </c>
      <c r="R4" s="2">
        <v>6521.0022407467004</v>
      </c>
      <c r="S4" s="2">
        <v>6.0342726819091811E-19</v>
      </c>
      <c r="T4" s="2">
        <v>3.8852938346523942</v>
      </c>
      <c r="V4" s="21"/>
      <c r="AB4" s="2" t="s">
        <v>3</v>
      </c>
      <c r="AC4" s="2">
        <v>3623.6</v>
      </c>
      <c r="AD4" s="2">
        <v>1397.4</v>
      </c>
      <c r="AF4" s="2" t="s">
        <v>3</v>
      </c>
      <c r="AG4" s="2">
        <v>3623.6</v>
      </c>
      <c r="AH4" s="2">
        <v>113608</v>
      </c>
    </row>
    <row r="5" spans="1:34" x14ac:dyDescent="0.25">
      <c r="A5" s="16">
        <v>3608</v>
      </c>
      <c r="B5" s="16">
        <v>1372</v>
      </c>
      <c r="C5" s="16">
        <v>111487</v>
      </c>
      <c r="D5" s="6"/>
      <c r="E5" s="2" t="s">
        <v>27</v>
      </c>
      <c r="F5" s="2">
        <v>3539</v>
      </c>
      <c r="H5" s="2" t="s">
        <v>27</v>
      </c>
      <c r="I5" s="2">
        <v>1372</v>
      </c>
      <c r="K5" s="2" t="s">
        <v>27</v>
      </c>
      <c r="L5" s="2">
        <v>113628</v>
      </c>
      <c r="N5" s="2" t="s">
        <v>23</v>
      </c>
      <c r="O5" s="2">
        <v>37866484.399999999</v>
      </c>
      <c r="P5" s="2">
        <v>12</v>
      </c>
      <c r="Q5" s="2">
        <v>3155540.3666666667</v>
      </c>
      <c r="R5" s="2"/>
      <c r="S5" s="2"/>
      <c r="T5" s="2"/>
      <c r="AB5" s="2" t="s">
        <v>4</v>
      </c>
      <c r="AC5" s="2">
        <v>31397.300000000003</v>
      </c>
      <c r="AD5" s="2">
        <v>3124.8000000000006</v>
      </c>
      <c r="AF5" s="2" t="s">
        <v>4</v>
      </c>
      <c r="AG5" s="2">
        <v>31397.300000000003</v>
      </c>
      <c r="AH5" s="2">
        <v>9432099</v>
      </c>
    </row>
    <row r="6" spans="1:34" x14ac:dyDescent="0.25">
      <c r="A6" s="17">
        <v>3536</v>
      </c>
      <c r="B6" s="17">
        <v>1366</v>
      </c>
      <c r="C6" s="17">
        <v>113628</v>
      </c>
      <c r="E6" s="2" t="s">
        <v>28</v>
      </c>
      <c r="F6" s="2" t="e">
        <v>#N/A</v>
      </c>
      <c r="H6" s="2" t="s">
        <v>28</v>
      </c>
      <c r="I6" s="2">
        <v>1372</v>
      </c>
      <c r="K6" s="2" t="s">
        <v>28</v>
      </c>
      <c r="L6" s="2" t="e">
        <v>#N/A</v>
      </c>
      <c r="N6" s="2"/>
      <c r="O6" s="2"/>
      <c r="P6" s="2"/>
      <c r="Q6" s="2"/>
      <c r="R6" s="2"/>
      <c r="S6" s="2"/>
      <c r="T6" s="2"/>
      <c r="AB6" s="2" t="s">
        <v>5</v>
      </c>
      <c r="AC6" s="2">
        <v>5</v>
      </c>
      <c r="AD6" s="2">
        <v>5</v>
      </c>
      <c r="AF6" s="2" t="s">
        <v>5</v>
      </c>
      <c r="AG6" s="2">
        <v>5</v>
      </c>
      <c r="AH6" s="2">
        <v>5</v>
      </c>
    </row>
    <row r="7" spans="1:34" ht="15.75" thickBot="1" x14ac:dyDescent="0.3">
      <c r="A7" s="19">
        <v>3502</v>
      </c>
      <c r="B7" s="19">
        <v>1372</v>
      </c>
      <c r="C7" s="19">
        <v>114403</v>
      </c>
      <c r="E7" s="2" t="s">
        <v>29</v>
      </c>
      <c r="F7" s="2">
        <v>177.19283281216542</v>
      </c>
      <c r="H7" s="2" t="s">
        <v>29</v>
      </c>
      <c r="I7" s="2">
        <v>55.899910554490162</v>
      </c>
      <c r="K7" s="2" t="s">
        <v>29</v>
      </c>
      <c r="L7" s="2">
        <v>3071.1722517631601</v>
      </c>
      <c r="N7" s="3" t="s">
        <v>24</v>
      </c>
      <c r="O7" s="3">
        <v>41192438088</v>
      </c>
      <c r="P7" s="3">
        <v>14</v>
      </c>
      <c r="Q7" s="3"/>
      <c r="R7" s="3"/>
      <c r="S7" s="3"/>
      <c r="T7" s="3"/>
      <c r="AB7" s="2" t="s">
        <v>13</v>
      </c>
      <c r="AC7" s="2">
        <v>17261.050000000003</v>
      </c>
      <c r="AD7" s="2"/>
      <c r="AF7" s="2" t="s">
        <v>13</v>
      </c>
      <c r="AG7" s="2">
        <v>4731748.1500000004</v>
      </c>
      <c r="AH7" s="2"/>
    </row>
    <row r="8" spans="1:34" x14ac:dyDescent="0.25">
      <c r="E8" s="2" t="s">
        <v>30</v>
      </c>
      <c r="F8" s="2">
        <v>31397.300000000003</v>
      </c>
      <c r="H8" s="2" t="s">
        <v>30</v>
      </c>
      <c r="I8" s="2">
        <v>3124.8000000000006</v>
      </c>
      <c r="K8" s="2" t="s">
        <v>30</v>
      </c>
      <c r="L8" s="2">
        <v>9432099</v>
      </c>
      <c r="AB8" s="2" t="s">
        <v>6</v>
      </c>
      <c r="AC8" s="2">
        <v>0</v>
      </c>
      <c r="AD8" s="2"/>
      <c r="AF8" s="2" t="s">
        <v>6</v>
      </c>
      <c r="AG8" s="2">
        <v>0</v>
      </c>
      <c r="AH8" s="2"/>
    </row>
    <row r="9" spans="1:34" x14ac:dyDescent="0.25">
      <c r="E9" s="2" t="s">
        <v>31</v>
      </c>
      <c r="F9" s="2">
        <v>4.0369547692820049</v>
      </c>
      <c r="H9" s="2" t="s">
        <v>31</v>
      </c>
      <c r="I9" s="2">
        <v>4.8407882743512012</v>
      </c>
      <c r="K9" s="2" t="s">
        <v>31</v>
      </c>
      <c r="L9" s="2">
        <v>0.51568361869362533</v>
      </c>
      <c r="AB9" s="2" t="s">
        <v>7</v>
      </c>
      <c r="AC9" s="2">
        <v>8</v>
      </c>
      <c r="AD9" s="2"/>
      <c r="AF9" s="2" t="s">
        <v>7</v>
      </c>
      <c r="AG9" s="2">
        <v>8</v>
      </c>
      <c r="AH9" s="2"/>
    </row>
    <row r="10" spans="1:34" x14ac:dyDescent="0.25">
      <c r="E10" s="2" t="s">
        <v>32</v>
      </c>
      <c r="F10" s="2">
        <v>1.9876115414911377</v>
      </c>
      <c r="H10" s="2" t="s">
        <v>32</v>
      </c>
      <c r="I10" s="2">
        <v>2.1922645996691679</v>
      </c>
      <c r="K10" s="2" t="s">
        <v>32</v>
      </c>
      <c r="L10" s="2">
        <v>0.77249004250229802</v>
      </c>
      <c r="AB10" s="2" t="s">
        <v>8</v>
      </c>
      <c r="AC10" s="2">
        <v>26.79171887198147</v>
      </c>
      <c r="AD10" s="2"/>
      <c r="AF10" s="2" t="s">
        <v>8</v>
      </c>
      <c r="AG10" s="2">
        <v>-79.944811671599808</v>
      </c>
      <c r="AH10" s="2"/>
    </row>
    <row r="11" spans="1:34" x14ac:dyDescent="0.25">
      <c r="E11" s="2" t="s">
        <v>33</v>
      </c>
      <c r="F11" s="2">
        <v>431</v>
      </c>
      <c r="H11" s="2" t="s">
        <v>33</v>
      </c>
      <c r="I11" s="2">
        <v>131</v>
      </c>
      <c r="K11" s="2" t="s">
        <v>33</v>
      </c>
      <c r="L11" s="2">
        <v>7968</v>
      </c>
      <c r="AB11" s="2" t="s">
        <v>9</v>
      </c>
      <c r="AC11" s="2">
        <v>2.0269968696077018E-9</v>
      </c>
      <c r="AD11" s="2"/>
      <c r="AF11" s="2" t="s">
        <v>9</v>
      </c>
      <c r="AG11" s="2">
        <v>3.3412574174275959E-13</v>
      </c>
      <c r="AH11" s="2"/>
    </row>
    <row r="12" spans="1:34" x14ac:dyDescent="0.25">
      <c r="E12" s="2" t="s">
        <v>34</v>
      </c>
      <c r="F12" s="2">
        <v>3502</v>
      </c>
      <c r="H12" s="2" t="s">
        <v>34</v>
      </c>
      <c r="I12" s="2">
        <v>1366</v>
      </c>
      <c r="K12" s="2" t="s">
        <v>34</v>
      </c>
      <c r="L12" s="2">
        <v>110277</v>
      </c>
      <c r="AB12" s="2" t="s">
        <v>10</v>
      </c>
      <c r="AC12" s="2">
        <v>1.8595480375308981</v>
      </c>
      <c r="AD12" s="2"/>
      <c r="AF12" s="2" t="s">
        <v>10</v>
      </c>
      <c r="AG12" s="2">
        <v>1.8595480375308981</v>
      </c>
      <c r="AH12" s="2"/>
    </row>
    <row r="13" spans="1:34" x14ac:dyDescent="0.25">
      <c r="E13" s="2" t="s">
        <v>35</v>
      </c>
      <c r="F13" s="2">
        <v>3933</v>
      </c>
      <c r="H13" s="2" t="s">
        <v>35</v>
      </c>
      <c r="I13" s="2">
        <v>1497</v>
      </c>
      <c r="K13" s="2" t="s">
        <v>35</v>
      </c>
      <c r="L13" s="2">
        <v>118245</v>
      </c>
      <c r="AB13" s="2" t="s">
        <v>11</v>
      </c>
      <c r="AC13" s="2">
        <v>4.0539937392154036E-9</v>
      </c>
      <c r="AD13" s="2"/>
      <c r="AF13" s="2" t="s">
        <v>11</v>
      </c>
      <c r="AG13" s="2">
        <v>6.6825148348551917E-13</v>
      </c>
      <c r="AH13" s="2"/>
    </row>
    <row r="14" spans="1:34" ht="15.75" thickBot="1" x14ac:dyDescent="0.3">
      <c r="E14" s="2" t="s">
        <v>15</v>
      </c>
      <c r="F14" s="2">
        <v>18118</v>
      </c>
      <c r="H14" s="2" t="s">
        <v>15</v>
      </c>
      <c r="I14" s="2">
        <v>6987</v>
      </c>
      <c r="K14" s="2" t="s">
        <v>15</v>
      </c>
      <c r="L14" s="2">
        <v>568040</v>
      </c>
      <c r="AB14" s="3" t="s">
        <v>12</v>
      </c>
      <c r="AC14" s="3">
        <v>2.3060041352041671</v>
      </c>
      <c r="AD14" s="3"/>
      <c r="AF14" s="3" t="s">
        <v>12</v>
      </c>
      <c r="AG14" s="3">
        <v>2.3060041352041671</v>
      </c>
      <c r="AH14" s="3"/>
    </row>
    <row r="15" spans="1:34" ht="15.75" thickBot="1" x14ac:dyDescent="0.3">
      <c r="E15" s="3" t="s">
        <v>14</v>
      </c>
      <c r="F15" s="3">
        <v>5</v>
      </c>
      <c r="H15" s="3" t="s">
        <v>14</v>
      </c>
      <c r="I15" s="3">
        <v>5</v>
      </c>
      <c r="K15" s="3" t="s">
        <v>14</v>
      </c>
      <c r="L15" s="3">
        <v>5</v>
      </c>
    </row>
    <row r="17" spans="1:34" ht="15.75" thickBot="1" x14ac:dyDescent="0.3">
      <c r="N17" s="25"/>
      <c r="O17" s="25"/>
      <c r="P17" s="25"/>
      <c r="Q17" s="25"/>
      <c r="R17" s="25"/>
      <c r="S17" s="25"/>
      <c r="T17" s="25"/>
      <c r="AB17" s="25"/>
      <c r="AC17" s="25"/>
      <c r="AD17" s="25"/>
      <c r="AF17" s="25"/>
      <c r="AG17" s="25"/>
      <c r="AH17" s="25"/>
    </row>
    <row r="18" spans="1:34" x14ac:dyDescent="0.25">
      <c r="A18" s="89" t="s">
        <v>40</v>
      </c>
      <c r="B18" s="90"/>
      <c r="C18" s="90"/>
      <c r="E18" s="91" t="s">
        <v>1</v>
      </c>
      <c r="F18" s="91"/>
      <c r="H18" s="91" t="s">
        <v>2</v>
      </c>
      <c r="I18" s="91"/>
      <c r="K18" s="91" t="s">
        <v>0</v>
      </c>
      <c r="L18" s="91"/>
      <c r="N18" s="88" t="s">
        <v>25</v>
      </c>
      <c r="O18" s="88"/>
      <c r="P18" s="88"/>
      <c r="Q18" s="88"/>
      <c r="R18" s="88"/>
      <c r="S18" s="88"/>
      <c r="T18" s="88"/>
      <c r="AB18" s="88" t="s">
        <v>39</v>
      </c>
      <c r="AC18" s="88"/>
      <c r="AD18" s="88"/>
      <c r="AF18" s="88" t="s">
        <v>42</v>
      </c>
      <c r="AG18" s="88"/>
      <c r="AH18" s="88"/>
    </row>
    <row r="19" spans="1:34" ht="15.75" thickBot="1" x14ac:dyDescent="0.3">
      <c r="A19" s="27" t="s">
        <v>1</v>
      </c>
      <c r="B19" s="27" t="s">
        <v>2</v>
      </c>
      <c r="C19" s="27" t="s">
        <v>0</v>
      </c>
      <c r="E19" s="85"/>
      <c r="F19" s="85"/>
      <c r="H19" s="85"/>
      <c r="I19" s="85"/>
      <c r="K19" s="85"/>
      <c r="L19" s="85"/>
      <c r="N19" s="88"/>
      <c r="O19" s="88"/>
      <c r="P19" s="88"/>
      <c r="Q19" s="88"/>
      <c r="R19" s="88"/>
      <c r="S19" s="88"/>
      <c r="T19" s="88"/>
      <c r="AB19" s="85"/>
      <c r="AC19" s="85"/>
      <c r="AD19" s="85"/>
      <c r="AF19" s="85"/>
      <c r="AG19" s="85"/>
      <c r="AH19" s="85"/>
    </row>
    <row r="20" spans="1:34" x14ac:dyDescent="0.25">
      <c r="A20" s="10">
        <f>A3/1000</f>
        <v>3.9329999999999998</v>
      </c>
      <c r="B20" s="10">
        <f>B3/1000</f>
        <v>1.38</v>
      </c>
      <c r="C20" s="10">
        <f>C3/1000</f>
        <v>118.245</v>
      </c>
      <c r="E20" s="2" t="s">
        <v>3</v>
      </c>
      <c r="F20" s="36">
        <f>AVERAGE(A20:A24)</f>
        <v>3.6235999999999997</v>
      </c>
      <c r="H20" s="2" t="s">
        <v>3</v>
      </c>
      <c r="I20" s="34">
        <f>AVERAGE(B20:B24)</f>
        <v>1.3974</v>
      </c>
      <c r="K20" s="2" t="s">
        <v>3</v>
      </c>
      <c r="L20" s="34">
        <f>AVERAGE(C20:C24)</f>
        <v>113.60799999999999</v>
      </c>
      <c r="N20" s="15" t="s">
        <v>16</v>
      </c>
      <c r="O20" s="15" t="s">
        <v>17</v>
      </c>
      <c r="P20" s="15" t="s">
        <v>7</v>
      </c>
      <c r="Q20" s="15" t="s">
        <v>18</v>
      </c>
      <c r="R20" s="15" t="s">
        <v>19</v>
      </c>
      <c r="S20" s="15" t="s">
        <v>20</v>
      </c>
      <c r="T20" s="15" t="s">
        <v>21</v>
      </c>
      <c r="AB20" s="15"/>
      <c r="AC20" s="15" t="s">
        <v>1</v>
      </c>
      <c r="AD20" s="15" t="s">
        <v>2</v>
      </c>
      <c r="AF20" s="1"/>
      <c r="AG20" s="15" t="s">
        <v>1</v>
      </c>
      <c r="AH20" s="15" t="s">
        <v>0</v>
      </c>
    </row>
    <row r="21" spans="1:34" x14ac:dyDescent="0.25">
      <c r="A21" s="10">
        <f t="shared" ref="A21:C24" si="0">A4/1000</f>
        <v>3.5390000000000001</v>
      </c>
      <c r="B21" s="10">
        <f t="shared" si="0"/>
        <v>1.4970000000000001</v>
      </c>
      <c r="C21" s="10">
        <f t="shared" si="0"/>
        <v>110.277</v>
      </c>
      <c r="E21" s="2" t="s">
        <v>26</v>
      </c>
      <c r="F21" s="36">
        <f>F23/SQRT(F31)</f>
        <v>7.9243043858751375E-2</v>
      </c>
      <c r="H21" s="2" t="s">
        <v>26</v>
      </c>
      <c r="I21" s="34">
        <f>I23/SQRT(I31)</f>
        <v>2.4999199987199596E-2</v>
      </c>
      <c r="K21" s="2" t="s">
        <v>26</v>
      </c>
      <c r="L21" s="34">
        <f>L23/SQRT(L31)</f>
        <v>1.3734699851107059</v>
      </c>
      <c r="N21" s="2" t="s">
        <v>22</v>
      </c>
      <c r="O21" s="2">
        <v>41154.571603600001</v>
      </c>
      <c r="P21" s="2">
        <v>2</v>
      </c>
      <c r="Q21" s="2">
        <v>20577.285801800001</v>
      </c>
      <c r="R21" s="2">
        <v>6521.0022407466904</v>
      </c>
      <c r="S21" s="2">
        <v>6.0342726819092668E-19</v>
      </c>
      <c r="T21" s="2">
        <v>3.8852938346523942</v>
      </c>
      <c r="AB21" s="2" t="s">
        <v>3</v>
      </c>
      <c r="AC21" s="2">
        <v>3.6235999999999997</v>
      </c>
      <c r="AD21" s="2">
        <v>1.3974</v>
      </c>
      <c r="AF21" s="2" t="s">
        <v>3</v>
      </c>
      <c r="AG21" s="2">
        <v>3.6235999999999997</v>
      </c>
      <c r="AH21" s="2">
        <v>113.60799999999999</v>
      </c>
    </row>
    <row r="22" spans="1:34" x14ac:dyDescent="0.25">
      <c r="A22" s="10">
        <f t="shared" si="0"/>
        <v>3.6080000000000001</v>
      </c>
      <c r="B22" s="10">
        <f t="shared" si="0"/>
        <v>1.3720000000000001</v>
      </c>
      <c r="C22" s="10">
        <f t="shared" si="0"/>
        <v>111.48699999999999</v>
      </c>
      <c r="E22" s="2" t="s">
        <v>27</v>
      </c>
      <c r="F22" s="36">
        <f>MEDIAN(A20:A24)</f>
        <v>3.5390000000000001</v>
      </c>
      <c r="H22" s="2" t="s">
        <v>27</v>
      </c>
      <c r="I22" s="34">
        <f>MEDIAN(B21:B25)</f>
        <v>1.3720000000000001</v>
      </c>
      <c r="K22" s="2" t="s">
        <v>27</v>
      </c>
      <c r="L22" s="34">
        <f>MEDIAN(C20:C24)</f>
        <v>113.628</v>
      </c>
      <c r="N22" s="2" t="s">
        <v>23</v>
      </c>
      <c r="O22" s="2">
        <v>37.866484400000061</v>
      </c>
      <c r="P22" s="2">
        <v>12</v>
      </c>
      <c r="Q22" s="2">
        <v>3.1555403666666719</v>
      </c>
      <c r="R22" s="2"/>
      <c r="S22" s="2"/>
      <c r="T22" s="2"/>
      <c r="AB22" s="2" t="s">
        <v>4</v>
      </c>
      <c r="AC22" s="2">
        <v>3.1397299999999975E-2</v>
      </c>
      <c r="AD22" s="2">
        <v>3.1248000000000022E-3</v>
      </c>
      <c r="AF22" s="2" t="s">
        <v>4</v>
      </c>
      <c r="AG22" s="2">
        <v>3.1397299999999975E-2</v>
      </c>
      <c r="AH22" s="2">
        <v>9.4320990000000151</v>
      </c>
    </row>
    <row r="23" spans="1:34" x14ac:dyDescent="0.25">
      <c r="A23" s="10">
        <f t="shared" si="0"/>
        <v>3.536</v>
      </c>
      <c r="B23" s="10">
        <f t="shared" si="0"/>
        <v>1.3660000000000001</v>
      </c>
      <c r="C23" s="10">
        <f t="shared" si="0"/>
        <v>113.628</v>
      </c>
      <c r="E23" s="2" t="s">
        <v>29</v>
      </c>
      <c r="F23" s="36">
        <f>_xlfn.STDEV.S(A20:A24)</f>
        <v>0.17719283281216533</v>
      </c>
      <c r="H23" s="2" t="s">
        <v>29</v>
      </c>
      <c r="I23" s="34">
        <f>_xlfn.STDEV.S(B20:B24)</f>
        <v>5.5899910554490173E-2</v>
      </c>
      <c r="K23" s="2" t="s">
        <v>29</v>
      </c>
      <c r="L23" s="34">
        <f>_xlfn.STDEV.S(C20:C24)</f>
        <v>3.0711722517631626</v>
      </c>
      <c r="N23" s="2"/>
      <c r="O23" s="2"/>
      <c r="P23" s="2"/>
      <c r="Q23" s="2"/>
      <c r="R23" s="2"/>
      <c r="S23" s="2"/>
      <c r="T23" s="2"/>
      <c r="AB23" s="2" t="s">
        <v>5</v>
      </c>
      <c r="AC23" s="2">
        <v>5</v>
      </c>
      <c r="AD23" s="2">
        <v>5</v>
      </c>
      <c r="AF23" s="2" t="s">
        <v>5</v>
      </c>
      <c r="AG23" s="2">
        <v>5</v>
      </c>
      <c r="AH23" s="2">
        <v>5</v>
      </c>
    </row>
    <row r="24" spans="1:34" ht="15.75" thickBot="1" x14ac:dyDescent="0.3">
      <c r="A24" s="11">
        <f t="shared" si="0"/>
        <v>3.5019999999999998</v>
      </c>
      <c r="B24" s="11">
        <f t="shared" si="0"/>
        <v>1.3720000000000001</v>
      </c>
      <c r="C24" s="11">
        <f t="shared" si="0"/>
        <v>114.40300000000001</v>
      </c>
      <c r="E24" s="2" t="s">
        <v>30</v>
      </c>
      <c r="F24" s="36">
        <f>VARA(A20:A24)</f>
        <v>3.1397299999999975E-2</v>
      </c>
      <c r="H24" s="2" t="s">
        <v>30</v>
      </c>
      <c r="I24" s="37">
        <f>VARA(B20:B24)</f>
        <v>3.1248000000000022E-3</v>
      </c>
      <c r="K24" s="2" t="s">
        <v>30</v>
      </c>
      <c r="L24" s="34">
        <f>VARA(C20:C24)</f>
        <v>9.4320990000000151</v>
      </c>
      <c r="N24" s="3" t="s">
        <v>24</v>
      </c>
      <c r="O24" s="3">
        <v>41192.438088000003</v>
      </c>
      <c r="P24" s="3">
        <v>14</v>
      </c>
      <c r="Q24" s="3"/>
      <c r="R24" s="3"/>
      <c r="S24" s="3"/>
      <c r="T24" s="3"/>
      <c r="AB24" s="2" t="s">
        <v>13</v>
      </c>
      <c r="AC24" s="2">
        <v>1.726104999999999E-2</v>
      </c>
      <c r="AD24" s="2"/>
      <c r="AF24" s="2" t="s">
        <v>13</v>
      </c>
      <c r="AG24" s="2">
        <v>4.7317481500000076</v>
      </c>
      <c r="AH24" s="2"/>
    </row>
    <row r="25" spans="1:34" x14ac:dyDescent="0.25">
      <c r="E25" s="2" t="s">
        <v>55</v>
      </c>
      <c r="F25" s="12">
        <f>SQRT(F24)/F31</f>
        <v>3.5438566562433063E-2</v>
      </c>
      <c r="G25" s="57"/>
      <c r="H25" s="2" t="s">
        <v>55</v>
      </c>
      <c r="I25" s="58">
        <f>SQRT(I24)/I31</f>
        <v>1.1179982110898035E-2</v>
      </c>
      <c r="J25" s="57"/>
      <c r="K25" s="2" t="s">
        <v>55</v>
      </c>
      <c r="L25" s="12">
        <f>SQRT(L24)/L31</f>
        <v>0.61423445035263247</v>
      </c>
      <c r="AB25" s="2" t="s">
        <v>6</v>
      </c>
      <c r="AC25" s="2">
        <v>0</v>
      </c>
      <c r="AD25" s="2"/>
      <c r="AF25" s="2" t="s">
        <v>6</v>
      </c>
      <c r="AG25" s="2">
        <v>0</v>
      </c>
      <c r="AH25" s="2"/>
    </row>
    <row r="26" spans="1:34" x14ac:dyDescent="0.25">
      <c r="E26" s="2" t="s">
        <v>31</v>
      </c>
      <c r="F26" s="36">
        <f>KURT(A20:A24)</f>
        <v>4.0369547692820351</v>
      </c>
      <c r="H26" s="2" t="s">
        <v>31</v>
      </c>
      <c r="I26" s="34">
        <f>KURT(B20:B24)</f>
        <v>4.8407882743513024</v>
      </c>
      <c r="K26" s="2" t="s">
        <v>31</v>
      </c>
      <c r="L26" s="34">
        <f>KURT(C20:C24)</f>
        <v>0.51568361869365376</v>
      </c>
      <c r="AB26" s="2" t="s">
        <v>7</v>
      </c>
      <c r="AC26" s="2">
        <v>8</v>
      </c>
      <c r="AD26" s="2"/>
      <c r="AF26" s="2" t="s">
        <v>7</v>
      </c>
      <c r="AG26" s="2">
        <v>8</v>
      </c>
      <c r="AH26" s="2"/>
    </row>
    <row r="27" spans="1:34" x14ac:dyDescent="0.25">
      <c r="E27" s="2" t="s">
        <v>32</v>
      </c>
      <c r="F27" s="35">
        <f>SKEW(A20:A24)</f>
        <v>1.9876115414911426</v>
      </c>
      <c r="H27" s="2" t="s">
        <v>32</v>
      </c>
      <c r="I27" s="35">
        <f>SKEW(B20:B24)</f>
        <v>2.1922645996691865</v>
      </c>
      <c r="K27" s="2" t="s">
        <v>32</v>
      </c>
      <c r="L27" s="35">
        <f>SKEW(C20:C24)</f>
        <v>0.77249004250231623</v>
      </c>
      <c r="AB27" s="2" t="s">
        <v>8</v>
      </c>
      <c r="AC27" s="2">
        <v>26.79171887198148</v>
      </c>
      <c r="AD27" s="2"/>
      <c r="AF27" s="2" t="s">
        <v>8</v>
      </c>
      <c r="AG27" s="2">
        <v>-79.944811671599751</v>
      </c>
      <c r="AH27" s="2"/>
    </row>
    <row r="28" spans="1:34" x14ac:dyDescent="0.25">
      <c r="E28" s="2" t="s">
        <v>34</v>
      </c>
      <c r="F28" s="36">
        <f>MIN(A20:A24)</f>
        <v>3.5019999999999998</v>
      </c>
      <c r="H28" s="2" t="s">
        <v>34</v>
      </c>
      <c r="I28" s="34">
        <f>MIN(B20:B24)</f>
        <v>1.3660000000000001</v>
      </c>
      <c r="K28" s="2" t="s">
        <v>34</v>
      </c>
      <c r="L28" s="34">
        <f>MIN(C20:C24)</f>
        <v>110.277</v>
      </c>
      <c r="AB28" s="2" t="s">
        <v>9</v>
      </c>
      <c r="AC28" s="2">
        <v>2.0269968696076943E-9</v>
      </c>
      <c r="AD28" s="2"/>
      <c r="AF28" s="2" t="s">
        <v>9</v>
      </c>
      <c r="AG28" s="2">
        <v>3.3412574174276196E-13</v>
      </c>
      <c r="AH28" s="2"/>
    </row>
    <row r="29" spans="1:34" x14ac:dyDescent="0.25">
      <c r="E29" s="2" t="s">
        <v>35</v>
      </c>
      <c r="F29" s="36">
        <f>MAX(A20:A24)</f>
        <v>3.9329999999999998</v>
      </c>
      <c r="H29" s="2" t="s">
        <v>35</v>
      </c>
      <c r="I29" s="34">
        <f>MAX(B20:B24)</f>
        <v>1.4970000000000001</v>
      </c>
      <c r="K29" s="2" t="s">
        <v>35</v>
      </c>
      <c r="L29" s="34">
        <f>MAX(C20:C24)</f>
        <v>118.245</v>
      </c>
      <c r="AB29" s="2" t="s">
        <v>10</v>
      </c>
      <c r="AC29" s="2">
        <v>1.8595480375308981</v>
      </c>
      <c r="AD29" s="2"/>
      <c r="AF29" s="2" t="s">
        <v>10</v>
      </c>
      <c r="AG29" s="2">
        <v>1.8595480375308981</v>
      </c>
      <c r="AH29" s="2"/>
    </row>
    <row r="30" spans="1:34" x14ac:dyDescent="0.25">
      <c r="E30" s="2" t="s">
        <v>15</v>
      </c>
      <c r="F30" s="36">
        <f>SUM(A20:A24)</f>
        <v>18.117999999999999</v>
      </c>
      <c r="H30" s="2" t="s">
        <v>15</v>
      </c>
      <c r="I30" s="34">
        <f>SUM(B20:B24)</f>
        <v>6.9870000000000001</v>
      </c>
      <c r="K30" s="2" t="s">
        <v>15</v>
      </c>
      <c r="L30" s="34">
        <f>SUM(C20:C24)</f>
        <v>568.04</v>
      </c>
      <c r="AB30" s="2" t="s">
        <v>11</v>
      </c>
      <c r="AC30" s="2">
        <v>4.0539937392153887E-9</v>
      </c>
      <c r="AD30" s="2"/>
      <c r="AF30" s="2" t="s">
        <v>11</v>
      </c>
      <c r="AG30" s="2">
        <v>6.6825148348552392E-13</v>
      </c>
      <c r="AH30" s="2"/>
    </row>
    <row r="31" spans="1:34" ht="15.75" thickBot="1" x14ac:dyDescent="0.3">
      <c r="E31" s="3" t="s">
        <v>14</v>
      </c>
      <c r="F31" s="3">
        <f>COUNT(A20:A24)</f>
        <v>5</v>
      </c>
      <c r="H31" s="3" t="s">
        <v>14</v>
      </c>
      <c r="I31" s="33">
        <f>COUNT(B20:B24)</f>
        <v>5</v>
      </c>
      <c r="K31" s="3" t="s">
        <v>14</v>
      </c>
      <c r="L31" s="33">
        <f>COUNT(C20:C24)</f>
        <v>5</v>
      </c>
      <c r="AB31" s="3" t="s">
        <v>12</v>
      </c>
      <c r="AC31" s="3">
        <v>2.3060041352041671</v>
      </c>
      <c r="AD31" s="3"/>
      <c r="AF31" s="3" t="s">
        <v>12</v>
      </c>
      <c r="AG31" s="3">
        <v>2.3060041352041671</v>
      </c>
      <c r="AH31" s="3"/>
    </row>
    <row r="34" spans="1:16" ht="15.75" thickBot="1" x14ac:dyDescent="0.3">
      <c r="A34" s="25"/>
      <c r="B34" s="25"/>
      <c r="C34" s="25"/>
      <c r="D34" s="25"/>
      <c r="E34" s="25"/>
      <c r="F34" s="9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6" ht="15.75" thickBot="1" x14ac:dyDescent="0.3">
      <c r="A35" s="73" t="s">
        <v>79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</row>
    <row r="36" spans="1:16" ht="15.75" thickBot="1" x14ac:dyDescent="0.3">
      <c r="A36" s="60" t="s">
        <v>80</v>
      </c>
      <c r="B36" s="57"/>
      <c r="C36" s="59" t="s">
        <v>81</v>
      </c>
      <c r="D36" s="24"/>
      <c r="E36" s="72" t="s">
        <v>84</v>
      </c>
      <c r="F36" s="72"/>
      <c r="G36" s="57"/>
      <c r="H36" s="72" t="s">
        <v>61</v>
      </c>
      <c r="I36" s="72"/>
      <c r="J36" s="72"/>
      <c r="K36" s="72"/>
      <c r="L36" s="57"/>
      <c r="M36" s="72" t="s">
        <v>62</v>
      </c>
      <c r="N36" s="72"/>
      <c r="O36" s="72"/>
      <c r="P36" s="72"/>
    </row>
    <row r="37" spans="1:16" x14ac:dyDescent="0.25">
      <c r="A37" s="22">
        <f>A20-B20</f>
        <v>2.5529999999999999</v>
      </c>
      <c r="B37" s="57"/>
      <c r="C37" s="62">
        <f>A20-C20</f>
        <v>-114.31200000000001</v>
      </c>
      <c r="D37" s="57"/>
      <c r="E37" s="57" t="s">
        <v>87</v>
      </c>
      <c r="F37" s="6">
        <f>SQRT(F24/F31)</f>
        <v>7.9243043858751389E-2</v>
      </c>
      <c r="G37" s="57"/>
      <c r="H37" s="74" t="s">
        <v>3</v>
      </c>
      <c r="I37" s="74"/>
      <c r="J37" s="74"/>
      <c r="K37" s="13">
        <f>AVERAGE(A37:A41)</f>
        <v>2.2262</v>
      </c>
      <c r="L37" s="57"/>
      <c r="M37" s="74" t="s">
        <v>3</v>
      </c>
      <c r="N37" s="74"/>
      <c r="O37" s="74"/>
      <c r="P37" s="13">
        <f>AVERAGE(C37:C41)</f>
        <v>-109.98440000000001</v>
      </c>
    </row>
    <row r="38" spans="1:16" x14ac:dyDescent="0.25">
      <c r="A38" s="22">
        <f t="shared" ref="A38:A41" si="1">A21-B21</f>
        <v>2.0419999999999998</v>
      </c>
      <c r="B38" s="57"/>
      <c r="C38" s="22">
        <f>A21-C21</f>
        <v>-106.738</v>
      </c>
      <c r="D38" s="57"/>
      <c r="E38" s="57" t="s">
        <v>85</v>
      </c>
      <c r="F38" s="6">
        <f>F20-($K$41*F37)</f>
        <v>3.4546538304931418</v>
      </c>
      <c r="G38" s="5"/>
      <c r="H38" s="70" t="s">
        <v>4</v>
      </c>
      <c r="I38" s="70"/>
      <c r="J38" s="70"/>
      <c r="K38" s="57">
        <f>VARA(A37:A41)</f>
        <v>3.8309200000000009E-2</v>
      </c>
      <c r="L38" s="57"/>
      <c r="M38" s="70" t="s">
        <v>4</v>
      </c>
      <c r="N38" s="70"/>
      <c r="O38" s="70"/>
      <c r="P38" s="57">
        <f>VARA(C37:C41)</f>
        <v>8.6379193000000427</v>
      </c>
    </row>
    <row r="39" spans="1:16" x14ac:dyDescent="0.25">
      <c r="A39" s="22">
        <f t="shared" si="1"/>
        <v>2.2359999999999998</v>
      </c>
      <c r="B39" s="57"/>
      <c r="C39" s="22">
        <f>A22-C22</f>
        <v>-107.87899999999999</v>
      </c>
      <c r="D39" s="57"/>
      <c r="E39" s="57" t="s">
        <v>86</v>
      </c>
      <c r="F39" s="6">
        <f>F20+(K41*F37)</f>
        <v>3.7925461695068576</v>
      </c>
      <c r="G39" s="57"/>
      <c r="H39" s="71" t="s">
        <v>82</v>
      </c>
      <c r="I39" s="71"/>
      <c r="J39" s="71"/>
      <c r="K39" s="57">
        <f>_xlfn.STDEV.S(A37:A41)</f>
        <v>0.19572736139845143</v>
      </c>
      <c r="L39" s="57"/>
      <c r="M39" s="71" t="s">
        <v>82</v>
      </c>
      <c r="N39" s="71"/>
      <c r="O39" s="71"/>
      <c r="P39" s="57">
        <f>_xlfn.STDEV.S(C37:C41)</f>
        <v>2.9390337357710004</v>
      </c>
    </row>
    <row r="40" spans="1:16" x14ac:dyDescent="0.25">
      <c r="A40" s="22">
        <f t="shared" si="1"/>
        <v>2.17</v>
      </c>
      <c r="B40" s="57"/>
      <c r="C40" s="22">
        <f>A23-C23</f>
        <v>-110.092</v>
      </c>
      <c r="D40" s="57"/>
      <c r="E40" s="57"/>
      <c r="G40" s="57"/>
      <c r="H40" s="70" t="s">
        <v>77</v>
      </c>
      <c r="I40" s="70"/>
      <c r="J40" s="70"/>
      <c r="K40" s="50">
        <f>COUNT(A37:A41)-1</f>
        <v>4</v>
      </c>
      <c r="L40" s="57"/>
      <c r="M40" s="70" t="s">
        <v>77</v>
      </c>
      <c r="N40" s="70"/>
      <c r="O40" s="70"/>
      <c r="P40" s="50">
        <f>COUNT(C37:C41)-1</f>
        <v>4</v>
      </c>
    </row>
    <row r="41" spans="1:16" ht="18" x14ac:dyDescent="0.25">
      <c r="A41" s="22">
        <f t="shared" si="1"/>
        <v>2.13</v>
      </c>
      <c r="B41" s="57"/>
      <c r="C41" s="22">
        <f>A24-C24</f>
        <v>-110.90100000000001</v>
      </c>
      <c r="D41" s="57"/>
      <c r="E41" s="57" t="s">
        <v>88</v>
      </c>
      <c r="F41" s="6">
        <f>SQRT(I24/I31)</f>
        <v>2.49991999871996E-2</v>
      </c>
      <c r="G41" s="57"/>
      <c r="H41" s="70" t="s">
        <v>74</v>
      </c>
      <c r="I41" s="70"/>
      <c r="J41" s="70"/>
      <c r="K41" s="57">
        <v>2.1320000000000001</v>
      </c>
      <c r="L41" s="57"/>
      <c r="M41" s="70" t="s">
        <v>74</v>
      </c>
      <c r="N41" s="70"/>
      <c r="O41" s="70"/>
      <c r="P41" s="57">
        <v>2.1320000000000001</v>
      </c>
    </row>
    <row r="42" spans="1:16" x14ac:dyDescent="0.25">
      <c r="A42" s="57"/>
      <c r="B42" s="57"/>
      <c r="C42" s="57"/>
      <c r="D42" s="57"/>
      <c r="E42" s="57" t="s">
        <v>85</v>
      </c>
      <c r="F42" s="6">
        <f>I20-($K$41*F41)</f>
        <v>1.3441017056272904</v>
      </c>
      <c r="G42" s="57"/>
      <c r="H42" s="70" t="s">
        <v>83</v>
      </c>
      <c r="I42" s="70"/>
      <c r="J42" s="70"/>
      <c r="K42" s="57">
        <f>SQRT(K38/COUNT(A37:A41))</f>
        <v>8.7531937028721127E-2</v>
      </c>
      <c r="L42" s="57"/>
      <c r="M42" s="70" t="s">
        <v>83</v>
      </c>
      <c r="N42" s="70"/>
      <c r="O42" s="70"/>
      <c r="P42" s="57">
        <f>SQRT(P38/COUNT(C37:C41))</f>
        <v>1.3143758442698226</v>
      </c>
    </row>
    <row r="43" spans="1:16" x14ac:dyDescent="0.25">
      <c r="A43" s="22"/>
      <c r="B43" s="57"/>
      <c r="C43" s="57"/>
      <c r="D43" s="57"/>
      <c r="E43" s="57" t="s">
        <v>86</v>
      </c>
      <c r="F43" s="6">
        <f>I20+(K41*F41)</f>
        <v>1.4506982943727096</v>
      </c>
      <c r="G43" s="57"/>
      <c r="H43" s="70" t="s">
        <v>59</v>
      </c>
      <c r="I43" s="70"/>
      <c r="J43" s="70"/>
      <c r="K43" s="57">
        <f>K37-(K42*K41)</f>
        <v>2.0395819102547663</v>
      </c>
      <c r="L43" s="57"/>
      <c r="M43" s="70" t="s">
        <v>59</v>
      </c>
      <c r="N43" s="70"/>
      <c r="O43" s="70"/>
      <c r="P43" s="57">
        <f>P37-(P42*P41)</f>
        <v>-112.78664929998327</v>
      </c>
    </row>
    <row r="44" spans="1:16" x14ac:dyDescent="0.25">
      <c r="A44" s="57"/>
      <c r="B44" s="57"/>
      <c r="C44" s="57"/>
      <c r="D44" s="57"/>
      <c r="E44" s="57"/>
      <c r="G44" s="57"/>
      <c r="H44" s="70" t="s">
        <v>60</v>
      </c>
      <c r="I44" s="70"/>
      <c r="J44" s="70"/>
      <c r="K44" s="57">
        <f>K37+(K43*K42)</f>
        <v>2.4047285553333388</v>
      </c>
      <c r="L44" s="57"/>
      <c r="M44" s="70" t="s">
        <v>60</v>
      </c>
      <c r="N44" s="70"/>
      <c r="O44" s="70"/>
      <c r="P44" s="57">
        <f>P37+(P43*P42)</f>
        <v>-258.22844739602994</v>
      </c>
    </row>
    <row r="45" spans="1:16" x14ac:dyDescent="0.25">
      <c r="A45" s="57"/>
      <c r="B45" s="57"/>
      <c r="C45" s="57"/>
      <c r="D45" s="57"/>
      <c r="E45" s="57" t="s">
        <v>89</v>
      </c>
      <c r="F45" s="6">
        <f>SQRT(L24/L31)</f>
        <v>1.3734699851107059</v>
      </c>
      <c r="G45" s="57"/>
      <c r="H45" s="57"/>
      <c r="I45" s="57"/>
      <c r="J45" s="57"/>
      <c r="K45" s="57" t="s">
        <v>90</v>
      </c>
      <c r="L45" s="57"/>
      <c r="M45" s="57"/>
      <c r="N45" s="57"/>
      <c r="O45" s="57"/>
      <c r="P45" s="57"/>
    </row>
    <row r="46" spans="1:16" x14ac:dyDescent="0.25">
      <c r="A46" s="57"/>
      <c r="B46" s="57"/>
      <c r="C46" s="57"/>
      <c r="D46" s="57"/>
      <c r="E46" s="57" t="s">
        <v>85</v>
      </c>
      <c r="F46" s="13">
        <f>L20-($K$41*F45)</f>
        <v>110.67976199174396</v>
      </c>
      <c r="G46" s="61"/>
      <c r="H46" s="57"/>
      <c r="I46" s="57"/>
      <c r="J46" s="57"/>
      <c r="K46" s="57"/>
      <c r="L46" s="57"/>
      <c r="M46" s="57"/>
      <c r="N46" s="57"/>
      <c r="O46" s="57"/>
      <c r="P46" s="57"/>
    </row>
    <row r="47" spans="1:16" x14ac:dyDescent="0.25">
      <c r="A47" s="57"/>
      <c r="B47" s="57"/>
      <c r="C47" s="57"/>
      <c r="D47" s="57"/>
      <c r="E47" s="57" t="s">
        <v>86</v>
      </c>
      <c r="F47" s="13">
        <f>L20+($K$41*F45)</f>
        <v>116.53623800825602</v>
      </c>
      <c r="G47" s="61"/>
      <c r="H47" s="57"/>
      <c r="I47" s="57"/>
      <c r="J47" s="57"/>
      <c r="K47" s="57"/>
      <c r="L47" s="57"/>
      <c r="M47" s="57"/>
      <c r="N47" s="57"/>
      <c r="O47" s="57"/>
      <c r="P47" s="57"/>
    </row>
  </sheetData>
  <mergeCells count="37">
    <mergeCell ref="H44:J44"/>
    <mergeCell ref="M44:O44"/>
    <mergeCell ref="A35:P35"/>
    <mergeCell ref="E36:F36"/>
    <mergeCell ref="H36:K36"/>
    <mergeCell ref="M36:P36"/>
    <mergeCell ref="H37:J37"/>
    <mergeCell ref="M37:O37"/>
    <mergeCell ref="H38:J38"/>
    <mergeCell ref="M38:O38"/>
    <mergeCell ref="H39:J39"/>
    <mergeCell ref="M39:O39"/>
    <mergeCell ref="H40:J40"/>
    <mergeCell ref="M40:O40"/>
    <mergeCell ref="H41:J41"/>
    <mergeCell ref="M41:O41"/>
    <mergeCell ref="H42:J42"/>
    <mergeCell ref="M42:O42"/>
    <mergeCell ref="H43:J43"/>
    <mergeCell ref="M43:O43"/>
    <mergeCell ref="X1:X2"/>
    <mergeCell ref="Z1:Z2"/>
    <mergeCell ref="AB1:AD2"/>
    <mergeCell ref="AF1:AH2"/>
    <mergeCell ref="A18:C18"/>
    <mergeCell ref="E18:F19"/>
    <mergeCell ref="H18:I19"/>
    <mergeCell ref="K18:L19"/>
    <mergeCell ref="N18:T19"/>
    <mergeCell ref="AB18:AD19"/>
    <mergeCell ref="A1:C1"/>
    <mergeCell ref="E1:F2"/>
    <mergeCell ref="H1:I2"/>
    <mergeCell ref="K1:L2"/>
    <mergeCell ref="N1:T2"/>
    <mergeCell ref="V1:V2"/>
    <mergeCell ref="AF18:AH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topLeftCell="A28" zoomScaleNormal="100" workbookViewId="0">
      <selection activeCell="AO9" sqref="AO9"/>
    </sheetView>
  </sheetViews>
  <sheetFormatPr defaultRowHeight="15" x14ac:dyDescent="0.25"/>
  <cols>
    <col min="1" max="1" width="9.5703125" style="4" bestFit="1" customWidth="1"/>
    <col min="2" max="3" width="11" style="4" bestFit="1" customWidth="1"/>
    <col min="4" max="4" width="8.5703125" style="4" bestFit="1" customWidth="1"/>
    <col min="5" max="5" width="23.7109375" style="4" bestFit="1" customWidth="1"/>
    <col min="6" max="6" width="12.7109375" style="5" bestFit="1" customWidth="1"/>
    <col min="7" max="7" width="9.140625" style="4"/>
    <col min="8" max="8" width="23.7109375" style="4" bestFit="1" customWidth="1"/>
    <col min="9" max="9" width="12.5703125" style="4" bestFit="1" customWidth="1"/>
    <col min="10" max="10" width="9.140625" style="4"/>
    <col min="11" max="11" width="23.7109375" style="4" bestFit="1" customWidth="1"/>
    <col min="12" max="12" width="12.7109375" style="4" bestFit="1" customWidth="1"/>
    <col min="13" max="13" width="9.140625" style="4"/>
    <col min="14" max="14" width="17.5703125" style="4" bestFit="1" customWidth="1"/>
    <col min="15" max="15" width="17.85546875" style="4" bestFit="1" customWidth="1"/>
    <col min="16" max="16" width="8" style="4" customWidth="1"/>
    <col min="17" max="18" width="12" style="4" bestFit="1" customWidth="1"/>
    <col min="19" max="19" width="11" style="4" bestFit="1" customWidth="1"/>
    <col min="20" max="20" width="12" style="4" bestFit="1" customWidth="1"/>
    <col min="21" max="23" width="9.140625" style="4"/>
    <col min="24" max="24" width="24.28515625" style="4" bestFit="1" customWidth="1"/>
    <col min="25" max="25" width="9.140625" style="4"/>
    <col min="26" max="26" width="28.85546875" style="4" bestFit="1" customWidth="1"/>
    <col min="27" max="27" width="9.140625" style="4"/>
    <col min="28" max="28" width="29.85546875" style="4" customWidth="1"/>
    <col min="29" max="29" width="12" style="4" bestFit="1" customWidth="1"/>
    <col min="30" max="30" width="6" style="4" customWidth="1"/>
    <col min="31" max="31" width="9.140625" style="4"/>
    <col min="32" max="32" width="29.85546875" style="4" bestFit="1" customWidth="1"/>
    <col min="33" max="33" width="12.7109375" style="4" bestFit="1" customWidth="1"/>
    <col min="34" max="34" width="11" style="4" bestFit="1" customWidth="1"/>
    <col min="35" max="16384" width="9.140625" style="4"/>
  </cols>
  <sheetData>
    <row r="1" spans="1:34" ht="15" customHeight="1" x14ac:dyDescent="0.25">
      <c r="A1" s="97" t="s">
        <v>41</v>
      </c>
      <c r="B1" s="98"/>
      <c r="C1" s="98"/>
      <c r="D1" s="8"/>
      <c r="E1" s="94" t="s">
        <v>1</v>
      </c>
      <c r="F1" s="94"/>
      <c r="G1" s="14"/>
      <c r="H1" s="94" t="s">
        <v>2</v>
      </c>
      <c r="I1" s="94"/>
      <c r="J1" s="14"/>
      <c r="K1" s="99" t="s">
        <v>0</v>
      </c>
      <c r="L1" s="99"/>
      <c r="N1" s="92" t="s">
        <v>25</v>
      </c>
      <c r="O1" s="92"/>
      <c r="P1" s="92"/>
      <c r="Q1" s="92"/>
      <c r="R1" s="92"/>
      <c r="S1" s="92"/>
      <c r="T1" s="92"/>
      <c r="V1" s="92" t="s">
        <v>36</v>
      </c>
      <c r="X1" s="95" t="s">
        <v>37</v>
      </c>
      <c r="Z1" s="95" t="s">
        <v>38</v>
      </c>
      <c r="AB1" s="92" t="s">
        <v>39</v>
      </c>
      <c r="AC1" s="92"/>
      <c r="AD1" s="92"/>
      <c r="AF1" s="92" t="s">
        <v>42</v>
      </c>
      <c r="AG1" s="92"/>
      <c r="AH1" s="92"/>
    </row>
    <row r="2" spans="1:34" ht="15.75" thickBot="1" x14ac:dyDescent="0.3">
      <c r="A2" s="18" t="s">
        <v>1</v>
      </c>
      <c r="B2" s="18" t="s">
        <v>2</v>
      </c>
      <c r="C2" s="18" t="s">
        <v>0</v>
      </c>
      <c r="D2" s="8"/>
      <c r="E2" s="93"/>
      <c r="F2" s="93"/>
      <c r="G2" s="14"/>
      <c r="H2" s="93"/>
      <c r="I2" s="93"/>
      <c r="J2" s="14"/>
      <c r="K2" s="93"/>
      <c r="L2" s="93"/>
      <c r="N2" s="92"/>
      <c r="O2" s="92"/>
      <c r="P2" s="92"/>
      <c r="Q2" s="92"/>
      <c r="R2" s="92"/>
      <c r="S2" s="92"/>
      <c r="T2" s="92"/>
      <c r="V2" s="92"/>
      <c r="X2" s="96"/>
      <c r="Z2" s="96"/>
      <c r="AB2" s="93"/>
      <c r="AC2" s="93"/>
      <c r="AD2" s="93"/>
      <c r="AF2" s="93"/>
      <c r="AG2" s="93"/>
      <c r="AH2" s="93"/>
    </row>
    <row r="3" spans="1:34" ht="15.75" thickBot="1" x14ac:dyDescent="0.3">
      <c r="A3" s="16">
        <v>5077</v>
      </c>
      <c r="B3" s="16">
        <v>2271</v>
      </c>
      <c r="C3" s="16">
        <v>194564</v>
      </c>
      <c r="D3" s="6"/>
      <c r="E3" s="28" t="s">
        <v>3</v>
      </c>
      <c r="F3" s="2">
        <v>4893.2</v>
      </c>
      <c r="H3" s="28" t="s">
        <v>3</v>
      </c>
      <c r="I3" s="2">
        <v>2267</v>
      </c>
      <c r="K3" s="28" t="s">
        <v>3</v>
      </c>
      <c r="L3" s="2">
        <v>200189.4</v>
      </c>
      <c r="N3" s="15" t="s">
        <v>16</v>
      </c>
      <c r="O3" s="15" t="s">
        <v>17</v>
      </c>
      <c r="P3" s="15" t="s">
        <v>7</v>
      </c>
      <c r="Q3" s="15" t="s">
        <v>18</v>
      </c>
      <c r="R3" s="15" t="s">
        <v>19</v>
      </c>
      <c r="S3" s="15" t="s">
        <v>20</v>
      </c>
      <c r="T3" s="15" t="s">
        <v>21</v>
      </c>
      <c r="V3" s="21">
        <v>0.05</v>
      </c>
      <c r="X3" s="4" t="str">
        <f>IF($S$4&gt;$V$3,"Aceita","Rejeita")</f>
        <v>Rejeita</v>
      </c>
      <c r="Z3" s="4" t="str">
        <f>IF($T$4&gt;$R$4,"Aceita","Rejeita")</f>
        <v>Rejeita</v>
      </c>
      <c r="AB3" s="15"/>
      <c r="AC3" s="15" t="s">
        <v>1</v>
      </c>
      <c r="AD3" s="15" t="s">
        <v>2</v>
      </c>
      <c r="AF3" s="1"/>
      <c r="AG3" s="15" t="s">
        <v>1</v>
      </c>
      <c r="AH3" s="15" t="s">
        <v>0</v>
      </c>
    </row>
    <row r="4" spans="1:34" x14ac:dyDescent="0.25">
      <c r="A4" s="16">
        <v>4798</v>
      </c>
      <c r="B4" s="16">
        <v>2264</v>
      </c>
      <c r="C4" s="16">
        <v>204506</v>
      </c>
      <c r="D4" s="6"/>
      <c r="E4" s="30" t="s">
        <v>26</v>
      </c>
      <c r="F4" s="7">
        <v>69.883045154028594</v>
      </c>
      <c r="G4" s="13"/>
      <c r="H4" s="30" t="s">
        <v>26</v>
      </c>
      <c r="I4" s="7">
        <v>9.5341491492424204</v>
      </c>
      <c r="J4" s="13"/>
      <c r="K4" s="30" t="s">
        <v>26</v>
      </c>
      <c r="L4" s="7">
        <v>1933.8742099733377</v>
      </c>
      <c r="N4" s="2" t="s">
        <v>22</v>
      </c>
      <c r="O4" s="12">
        <v>128867965137.73334</v>
      </c>
      <c r="P4" s="2">
        <v>2</v>
      </c>
      <c r="Q4" s="2">
        <v>64433982568.866669</v>
      </c>
      <c r="R4" s="12">
        <v>10323.631516111218</v>
      </c>
      <c r="S4" s="20">
        <v>3.8405951202089498E-20</v>
      </c>
      <c r="T4" s="12">
        <v>3.8852938346523942</v>
      </c>
      <c r="V4" s="21"/>
      <c r="AB4" s="28" t="s">
        <v>3</v>
      </c>
      <c r="AC4" s="2">
        <v>4893.2</v>
      </c>
      <c r="AD4" s="2">
        <v>2267</v>
      </c>
      <c r="AF4" s="28" t="s">
        <v>3</v>
      </c>
      <c r="AG4" s="2">
        <v>4893.2</v>
      </c>
      <c r="AH4" s="2">
        <v>200189.4</v>
      </c>
    </row>
    <row r="5" spans="1:34" x14ac:dyDescent="0.25">
      <c r="A5" s="16">
        <v>4811</v>
      </c>
      <c r="B5" s="16">
        <v>2246</v>
      </c>
      <c r="C5" s="16">
        <v>202415</v>
      </c>
      <c r="D5" s="6"/>
      <c r="E5" s="28" t="s">
        <v>27</v>
      </c>
      <c r="F5" s="2">
        <v>4811</v>
      </c>
      <c r="H5" s="28" t="s">
        <v>27</v>
      </c>
      <c r="I5" s="2">
        <v>2264</v>
      </c>
      <c r="K5" s="28" t="s">
        <v>27</v>
      </c>
      <c r="L5" s="2">
        <v>202415</v>
      </c>
      <c r="N5" s="2" t="s">
        <v>23</v>
      </c>
      <c r="O5" s="2">
        <v>74896880</v>
      </c>
      <c r="P5" s="2">
        <v>12</v>
      </c>
      <c r="Q5" s="2">
        <v>6241406.666666667</v>
      </c>
      <c r="R5" s="2"/>
      <c r="S5" s="2"/>
      <c r="T5" s="2"/>
      <c r="AB5" s="28" t="s">
        <v>4</v>
      </c>
      <c r="AC5" s="2">
        <v>24418.2</v>
      </c>
      <c r="AD5" s="2">
        <v>454.5</v>
      </c>
      <c r="AF5" s="28" t="s">
        <v>4</v>
      </c>
      <c r="AG5" s="2">
        <v>24418.2</v>
      </c>
      <c r="AH5" s="2">
        <v>18699347.300000001</v>
      </c>
    </row>
    <row r="6" spans="1:34" x14ac:dyDescent="0.25">
      <c r="A6" s="17">
        <v>5045</v>
      </c>
      <c r="B6" s="17">
        <v>2301</v>
      </c>
      <c r="C6" s="17">
        <v>196637</v>
      </c>
      <c r="E6" s="30" t="s">
        <v>29</v>
      </c>
      <c r="F6" s="7">
        <v>156.2632394390952</v>
      </c>
      <c r="G6" s="13"/>
      <c r="H6" s="30" t="s">
        <v>29</v>
      </c>
      <c r="I6" s="7">
        <v>21.319005605327842</v>
      </c>
      <c r="J6" s="13"/>
      <c r="K6" s="30" t="s">
        <v>29</v>
      </c>
      <c r="L6" s="7">
        <v>4324.2741934340847</v>
      </c>
      <c r="N6" s="2"/>
      <c r="O6" s="2"/>
      <c r="P6" s="2"/>
      <c r="Q6" s="2"/>
      <c r="R6" s="2"/>
      <c r="S6" s="2"/>
      <c r="T6" s="2"/>
      <c r="AB6" s="28" t="s">
        <v>5</v>
      </c>
      <c r="AC6" s="2">
        <v>5</v>
      </c>
      <c r="AD6" s="2">
        <v>5</v>
      </c>
      <c r="AF6" s="28" t="s">
        <v>5</v>
      </c>
      <c r="AG6" s="2">
        <v>5</v>
      </c>
      <c r="AH6" s="2">
        <v>5</v>
      </c>
    </row>
    <row r="7" spans="1:34" ht="15.75" thickBot="1" x14ac:dyDescent="0.3">
      <c r="A7" s="19">
        <v>4735</v>
      </c>
      <c r="B7" s="19">
        <v>2253</v>
      </c>
      <c r="C7" s="19">
        <v>202825</v>
      </c>
      <c r="E7" s="28" t="s">
        <v>30</v>
      </c>
      <c r="F7" s="2">
        <v>24418.2</v>
      </c>
      <c r="H7" s="28" t="s">
        <v>30</v>
      </c>
      <c r="I7" s="2">
        <v>454.5</v>
      </c>
      <c r="K7" s="28" t="s">
        <v>30</v>
      </c>
      <c r="L7" s="2">
        <v>18699347.300000001</v>
      </c>
      <c r="N7" s="3" t="s">
        <v>24</v>
      </c>
      <c r="O7" s="3">
        <v>128942862017.73334</v>
      </c>
      <c r="P7" s="3">
        <v>14</v>
      </c>
      <c r="Q7" s="3"/>
      <c r="R7" s="3"/>
      <c r="S7" s="3"/>
      <c r="T7" s="3"/>
      <c r="AB7" s="28" t="s">
        <v>13</v>
      </c>
      <c r="AC7" s="2">
        <v>12436.35</v>
      </c>
      <c r="AD7" s="2"/>
      <c r="AF7" s="28" t="s">
        <v>13</v>
      </c>
      <c r="AG7" s="2">
        <v>9361882.75</v>
      </c>
      <c r="AH7" s="2"/>
    </row>
    <row r="8" spans="1:34" x14ac:dyDescent="0.25">
      <c r="E8" s="30" t="s">
        <v>31</v>
      </c>
      <c r="F8" s="7">
        <v>-2.913193658884798</v>
      </c>
      <c r="G8" s="13"/>
      <c r="H8" s="30" t="s">
        <v>31</v>
      </c>
      <c r="I8" s="7">
        <v>1.4977979646149482</v>
      </c>
      <c r="J8" s="13"/>
      <c r="K8" s="30" t="s">
        <v>31</v>
      </c>
      <c r="L8" s="7">
        <v>-2.3494428114021968</v>
      </c>
      <c r="AB8" s="28" t="s">
        <v>6</v>
      </c>
      <c r="AC8" s="2">
        <v>0</v>
      </c>
      <c r="AD8" s="2"/>
      <c r="AF8" s="28" t="s">
        <v>6</v>
      </c>
      <c r="AG8" s="2">
        <v>0</v>
      </c>
      <c r="AH8" s="2"/>
    </row>
    <row r="9" spans="1:34" x14ac:dyDescent="0.25">
      <c r="E9" s="30" t="s">
        <v>32</v>
      </c>
      <c r="F9" s="7">
        <v>0.47279340263953179</v>
      </c>
      <c r="G9" s="13"/>
      <c r="H9" s="30" t="s">
        <v>32</v>
      </c>
      <c r="I9" s="7">
        <v>1.1755007017936234</v>
      </c>
      <c r="J9" s="13"/>
      <c r="K9" s="30" t="s">
        <v>32</v>
      </c>
      <c r="L9" s="7">
        <v>-0.58270107893895806</v>
      </c>
      <c r="AB9" s="28" t="s">
        <v>7</v>
      </c>
      <c r="AC9" s="2">
        <v>8</v>
      </c>
      <c r="AD9" s="2"/>
      <c r="AF9" s="28" t="s">
        <v>7</v>
      </c>
      <c r="AG9" s="2">
        <v>8</v>
      </c>
      <c r="AH9" s="2"/>
    </row>
    <row r="10" spans="1:34" x14ac:dyDescent="0.25">
      <c r="E10" s="28" t="s">
        <v>33</v>
      </c>
      <c r="F10" s="2">
        <v>342</v>
      </c>
      <c r="H10" s="28" t="s">
        <v>33</v>
      </c>
      <c r="I10" s="2">
        <v>55</v>
      </c>
      <c r="K10" s="28" t="s">
        <v>33</v>
      </c>
      <c r="L10" s="2">
        <v>9942</v>
      </c>
      <c r="AB10" s="28" t="s">
        <v>8</v>
      </c>
      <c r="AC10" s="2">
        <v>37.234997868638104</v>
      </c>
      <c r="AD10" s="2"/>
      <c r="AF10" s="28" t="s">
        <v>8</v>
      </c>
      <c r="AG10" s="2">
        <v>-100.92115182966715</v>
      </c>
      <c r="AH10" s="2"/>
    </row>
    <row r="11" spans="1:34" x14ac:dyDescent="0.25">
      <c r="E11" s="28" t="s">
        <v>34</v>
      </c>
      <c r="F11" s="2">
        <v>4735</v>
      </c>
      <c r="H11" s="28" t="s">
        <v>34</v>
      </c>
      <c r="I11" s="2">
        <v>2246</v>
      </c>
      <c r="K11" s="28" t="s">
        <v>34</v>
      </c>
      <c r="L11" s="2">
        <v>194564</v>
      </c>
      <c r="AB11" s="28" t="s">
        <v>9</v>
      </c>
      <c r="AC11" s="2">
        <v>1.4845042750340435E-10</v>
      </c>
      <c r="AD11" s="2"/>
      <c r="AF11" s="28" t="s">
        <v>9</v>
      </c>
      <c r="AG11" s="2">
        <v>5.1892294356950684E-14</v>
      </c>
      <c r="AH11" s="2"/>
    </row>
    <row r="12" spans="1:34" x14ac:dyDescent="0.25">
      <c r="E12" s="28" t="s">
        <v>35</v>
      </c>
      <c r="F12" s="2">
        <v>5077</v>
      </c>
      <c r="H12" s="28" t="s">
        <v>35</v>
      </c>
      <c r="I12" s="2">
        <v>2301</v>
      </c>
      <c r="K12" s="28" t="s">
        <v>35</v>
      </c>
      <c r="L12" s="2">
        <v>204506</v>
      </c>
      <c r="AB12" s="28" t="s">
        <v>10</v>
      </c>
      <c r="AC12" s="2">
        <v>1.8595480375308981</v>
      </c>
      <c r="AD12" s="2"/>
      <c r="AF12" s="28" t="s">
        <v>10</v>
      </c>
      <c r="AG12" s="2">
        <v>1.8595480375308981</v>
      </c>
      <c r="AH12" s="2"/>
    </row>
    <row r="13" spans="1:34" x14ac:dyDescent="0.25">
      <c r="E13" s="28" t="s">
        <v>15</v>
      </c>
      <c r="F13" s="2">
        <v>24466</v>
      </c>
      <c r="H13" s="28" t="s">
        <v>15</v>
      </c>
      <c r="I13" s="2">
        <v>11335</v>
      </c>
      <c r="K13" s="28" t="s">
        <v>15</v>
      </c>
      <c r="L13" s="2">
        <v>1000947</v>
      </c>
      <c r="AB13" s="28" t="s">
        <v>11</v>
      </c>
      <c r="AC13" s="2">
        <v>2.9690085500680869E-10</v>
      </c>
      <c r="AD13" s="2"/>
      <c r="AF13" s="28" t="s">
        <v>11</v>
      </c>
      <c r="AG13" s="2">
        <v>1.0378458871390137E-13</v>
      </c>
      <c r="AH13" s="2"/>
    </row>
    <row r="14" spans="1:34" ht="15.75" thickBot="1" x14ac:dyDescent="0.3">
      <c r="E14" s="29" t="s">
        <v>14</v>
      </c>
      <c r="F14" s="3">
        <v>5</v>
      </c>
      <c r="H14" s="29" t="s">
        <v>14</v>
      </c>
      <c r="I14" s="3">
        <v>5</v>
      </c>
      <c r="K14" s="29" t="s">
        <v>14</v>
      </c>
      <c r="L14" s="3">
        <v>5</v>
      </c>
      <c r="AB14" s="29" t="s">
        <v>12</v>
      </c>
      <c r="AC14" s="3">
        <v>2.3060041352041671</v>
      </c>
      <c r="AD14" s="3"/>
      <c r="AF14" s="29" t="s">
        <v>12</v>
      </c>
      <c r="AG14" s="3">
        <v>2.3060041352041671</v>
      </c>
      <c r="AH14" s="3"/>
    </row>
    <row r="17" spans="1:34" ht="15.75" thickBot="1" x14ac:dyDescent="0.3">
      <c r="N17" s="25"/>
      <c r="O17" s="25"/>
      <c r="P17" s="25"/>
      <c r="Q17" s="25"/>
      <c r="R17" s="25"/>
      <c r="S17" s="25"/>
      <c r="T17" s="25"/>
      <c r="AB17" s="25"/>
      <c r="AC17" s="25"/>
      <c r="AD17" s="25"/>
      <c r="AF17" s="25"/>
      <c r="AG17" s="25"/>
      <c r="AH17" s="25"/>
    </row>
    <row r="18" spans="1:34" x14ac:dyDescent="0.25">
      <c r="A18" s="97" t="s">
        <v>40</v>
      </c>
      <c r="B18" s="98"/>
      <c r="C18" s="98"/>
      <c r="E18" s="99" t="s">
        <v>1</v>
      </c>
      <c r="F18" s="99"/>
      <c r="H18" s="99" t="s">
        <v>2</v>
      </c>
      <c r="I18" s="99"/>
      <c r="K18" s="99" t="s">
        <v>0</v>
      </c>
      <c r="L18" s="99"/>
      <c r="N18" s="92" t="s">
        <v>25</v>
      </c>
      <c r="O18" s="92"/>
      <c r="P18" s="92"/>
      <c r="Q18" s="92"/>
      <c r="R18" s="92"/>
      <c r="S18" s="92"/>
      <c r="T18" s="92"/>
      <c r="AB18" s="92" t="s">
        <v>39</v>
      </c>
      <c r="AC18" s="92"/>
      <c r="AD18" s="92"/>
      <c r="AF18" s="92" t="s">
        <v>42</v>
      </c>
      <c r="AG18" s="92"/>
      <c r="AH18" s="92"/>
    </row>
    <row r="19" spans="1:34" ht="15.75" thickBot="1" x14ac:dyDescent="0.3">
      <c r="A19" s="18" t="s">
        <v>1</v>
      </c>
      <c r="B19" s="18" t="s">
        <v>2</v>
      </c>
      <c r="C19" s="18" t="s">
        <v>0</v>
      </c>
      <c r="E19" s="93"/>
      <c r="F19" s="93"/>
      <c r="H19" s="93"/>
      <c r="I19" s="93"/>
      <c r="K19" s="93"/>
      <c r="L19" s="93"/>
      <c r="N19" s="92"/>
      <c r="O19" s="92"/>
      <c r="P19" s="92"/>
      <c r="Q19" s="92"/>
      <c r="R19" s="92"/>
      <c r="S19" s="92"/>
      <c r="T19" s="92"/>
      <c r="AB19" s="93"/>
      <c r="AC19" s="93"/>
      <c r="AD19" s="93"/>
      <c r="AF19" s="93"/>
      <c r="AG19" s="93"/>
      <c r="AH19" s="93"/>
    </row>
    <row r="20" spans="1:34" x14ac:dyDescent="0.25">
      <c r="A20" s="10">
        <f t="shared" ref="A20:C24" si="0">A3/1000</f>
        <v>5.077</v>
      </c>
      <c r="B20" s="10">
        <f t="shared" si="0"/>
        <v>2.2709999999999999</v>
      </c>
      <c r="C20" s="10">
        <f t="shared" si="0"/>
        <v>194.56399999999999</v>
      </c>
      <c r="E20" s="2" t="s">
        <v>3</v>
      </c>
      <c r="F20" s="36">
        <f>AVERAGE(A20:A24)</f>
        <v>4.8932000000000002</v>
      </c>
      <c r="H20" s="2" t="s">
        <v>3</v>
      </c>
      <c r="I20" s="34">
        <f>AVERAGE(B20:B24)</f>
        <v>2.2670000000000003</v>
      </c>
      <c r="K20" s="2" t="s">
        <v>3</v>
      </c>
      <c r="L20" s="34">
        <f>AVERAGE(C20:C24)</f>
        <v>200.18940000000003</v>
      </c>
      <c r="N20" s="15" t="s">
        <v>16</v>
      </c>
      <c r="O20" s="15" t="s">
        <v>17</v>
      </c>
      <c r="P20" s="15" t="s">
        <v>47</v>
      </c>
      <c r="Q20" s="15" t="s">
        <v>18</v>
      </c>
      <c r="R20" s="15" t="s">
        <v>19</v>
      </c>
      <c r="S20" s="15" t="s">
        <v>20</v>
      </c>
      <c r="T20" s="15" t="s">
        <v>21</v>
      </c>
      <c r="AB20" s="1"/>
      <c r="AC20" s="15" t="s">
        <v>1</v>
      </c>
      <c r="AD20" s="15" t="s">
        <v>2</v>
      </c>
      <c r="AF20" s="1"/>
      <c r="AG20" s="15" t="s">
        <v>1</v>
      </c>
      <c r="AH20" s="15" t="s">
        <v>0</v>
      </c>
    </row>
    <row r="21" spans="1:34" x14ac:dyDescent="0.25">
      <c r="A21" s="10">
        <f t="shared" si="0"/>
        <v>4.798</v>
      </c>
      <c r="B21" s="10">
        <f t="shared" si="0"/>
        <v>2.2639999999999998</v>
      </c>
      <c r="C21" s="10">
        <f t="shared" si="0"/>
        <v>204.506</v>
      </c>
      <c r="E21" s="2" t="s">
        <v>26</v>
      </c>
      <c r="F21" s="36">
        <f>F23/SQRT(F31)</f>
        <v>6.9883045154028545E-2</v>
      </c>
      <c r="H21" s="2" t="s">
        <v>26</v>
      </c>
      <c r="I21" s="34">
        <f>I23/SQRT(I31)</f>
        <v>9.5341491492424435E-3</v>
      </c>
      <c r="K21" s="2" t="s">
        <v>26</v>
      </c>
      <c r="L21" s="34">
        <f>L23/SQRT(L31)</f>
        <v>1.933874209973337</v>
      </c>
      <c r="N21" s="2" t="s">
        <v>22</v>
      </c>
      <c r="O21" s="7">
        <v>128867.96513773334</v>
      </c>
      <c r="P21" s="39">
        <v>2</v>
      </c>
      <c r="Q21" s="7">
        <v>64433.982568866668</v>
      </c>
      <c r="R21" s="2">
        <v>10323.63151611122</v>
      </c>
      <c r="S21" s="2">
        <v>3.840595120208954E-20</v>
      </c>
      <c r="T21" s="2">
        <v>3.8852938346523942</v>
      </c>
      <c r="AB21" s="28" t="s">
        <v>3</v>
      </c>
      <c r="AC21" s="2">
        <v>4.8932000000000002</v>
      </c>
      <c r="AD21" s="2">
        <v>2.2670000000000003</v>
      </c>
      <c r="AF21" s="28" t="s">
        <v>3</v>
      </c>
      <c r="AG21" s="2">
        <v>4.8932000000000002</v>
      </c>
      <c r="AH21" s="2">
        <v>200.18940000000003</v>
      </c>
    </row>
    <row r="22" spans="1:34" x14ac:dyDescent="0.25">
      <c r="A22" s="10">
        <f t="shared" si="0"/>
        <v>4.8109999999999999</v>
      </c>
      <c r="B22" s="10">
        <f t="shared" si="0"/>
        <v>2.246</v>
      </c>
      <c r="C22" s="10">
        <f t="shared" si="0"/>
        <v>202.41499999999999</v>
      </c>
      <c r="E22" s="2" t="s">
        <v>27</v>
      </c>
      <c r="F22" s="36">
        <f>MEDIAN(A20:A24)</f>
        <v>4.8109999999999999</v>
      </c>
      <c r="H22" s="2" t="s">
        <v>27</v>
      </c>
      <c r="I22" s="34">
        <f>MEDIAN(B21:B25)</f>
        <v>2.2584999999999997</v>
      </c>
      <c r="K22" s="2" t="s">
        <v>27</v>
      </c>
      <c r="L22" s="34">
        <f>MEDIAN(C20:C24)</f>
        <v>202.41499999999999</v>
      </c>
      <c r="N22" s="2" t="s">
        <v>23</v>
      </c>
      <c r="O22" s="7">
        <v>74.896879999999996</v>
      </c>
      <c r="P22" s="39">
        <v>12</v>
      </c>
      <c r="Q22" s="7">
        <v>6.2414066666666663</v>
      </c>
      <c r="R22" s="2"/>
      <c r="S22" s="2"/>
      <c r="T22" s="2"/>
      <c r="AB22" s="28" t="s">
        <v>4</v>
      </c>
      <c r="AC22" s="2">
        <v>2.4418199999999963E-2</v>
      </c>
      <c r="AD22" s="2">
        <v>4.5450000000000199E-4</v>
      </c>
      <c r="AF22" s="28" t="s">
        <v>4</v>
      </c>
      <c r="AG22" s="2">
        <v>2.4418199999999963E-2</v>
      </c>
      <c r="AH22" s="2">
        <v>18.699347299999999</v>
      </c>
    </row>
    <row r="23" spans="1:34" x14ac:dyDescent="0.25">
      <c r="A23" s="10">
        <f t="shared" si="0"/>
        <v>5.0449999999999999</v>
      </c>
      <c r="B23" s="10">
        <f t="shared" si="0"/>
        <v>2.3010000000000002</v>
      </c>
      <c r="C23" s="10">
        <f t="shared" si="0"/>
        <v>196.637</v>
      </c>
      <c r="E23" s="2" t="s">
        <v>29</v>
      </c>
      <c r="F23" s="36">
        <f>_xlfn.STDEV.S(A20:A24)</f>
        <v>0.15626323943909509</v>
      </c>
      <c r="H23" s="2" t="s">
        <v>29</v>
      </c>
      <c r="I23" s="34">
        <f>_xlfn.STDEV.S(B20:B24)</f>
        <v>2.131900560532789E-2</v>
      </c>
      <c r="K23" s="2" t="s">
        <v>29</v>
      </c>
      <c r="L23" s="34">
        <f>_xlfn.STDEV.S(C20:C24)</f>
        <v>4.3242741934340838</v>
      </c>
      <c r="N23" s="2"/>
      <c r="O23" s="7"/>
      <c r="P23" s="39"/>
      <c r="Q23" s="7"/>
      <c r="R23" s="2"/>
      <c r="S23" s="2"/>
      <c r="T23" s="2"/>
      <c r="AB23" s="28" t="s">
        <v>5</v>
      </c>
      <c r="AC23" s="2">
        <v>5</v>
      </c>
      <c r="AD23" s="2">
        <v>5</v>
      </c>
      <c r="AF23" s="28" t="s">
        <v>5</v>
      </c>
      <c r="AG23" s="2">
        <v>5</v>
      </c>
      <c r="AH23" s="2">
        <v>5</v>
      </c>
    </row>
    <row r="24" spans="1:34" ht="15.75" thickBot="1" x14ac:dyDescent="0.3">
      <c r="A24" s="11">
        <f t="shared" si="0"/>
        <v>4.7350000000000003</v>
      </c>
      <c r="B24" s="11">
        <f t="shared" si="0"/>
        <v>2.2530000000000001</v>
      </c>
      <c r="C24" s="11">
        <f t="shared" si="0"/>
        <v>202.82499999999999</v>
      </c>
      <c r="E24" s="2" t="s">
        <v>30</v>
      </c>
      <c r="F24" s="36">
        <f>VARA(A20:A24)</f>
        <v>2.4418199999999963E-2</v>
      </c>
      <c r="H24" s="2" t="s">
        <v>30</v>
      </c>
      <c r="I24" s="38">
        <f>VARA(B20:B24)</f>
        <v>4.5450000000000199E-4</v>
      </c>
      <c r="K24" s="2" t="s">
        <v>30</v>
      </c>
      <c r="L24" s="34">
        <f>VARA(C20:C24)</f>
        <v>18.699347299999999</v>
      </c>
      <c r="N24" s="3" t="s">
        <v>24</v>
      </c>
      <c r="O24" s="33">
        <v>128942.86201773334</v>
      </c>
      <c r="P24" s="40">
        <v>14</v>
      </c>
      <c r="Q24" s="33"/>
      <c r="R24" s="3"/>
      <c r="S24" s="3"/>
      <c r="T24" s="3"/>
      <c r="AB24" s="28" t="s">
        <v>13</v>
      </c>
      <c r="AC24" s="2">
        <v>1.2436349999999983E-2</v>
      </c>
      <c r="AD24" s="2"/>
      <c r="AF24" s="28" t="s">
        <v>13</v>
      </c>
      <c r="AG24" s="2">
        <v>9.3618827499999995</v>
      </c>
      <c r="AH24" s="2"/>
    </row>
    <row r="25" spans="1:34" x14ac:dyDescent="0.25">
      <c r="A25" s="22"/>
      <c r="B25" s="22"/>
      <c r="C25" s="22"/>
      <c r="E25" s="2" t="s">
        <v>55</v>
      </c>
      <c r="F25" s="12">
        <f>SQRT(F24)/F31</f>
        <v>3.1252647887819021E-2</v>
      </c>
      <c r="H25" s="2" t="s">
        <v>55</v>
      </c>
      <c r="I25" s="58">
        <f>SQRT(I24)/I31</f>
        <v>4.2638011210655779E-3</v>
      </c>
      <c r="K25" s="2" t="s">
        <v>55</v>
      </c>
      <c r="L25" s="12">
        <f>SQRT(L24)/L31</f>
        <v>0.86485483868681678</v>
      </c>
      <c r="AB25" s="28" t="s">
        <v>6</v>
      </c>
      <c r="AC25" s="2">
        <v>0</v>
      </c>
      <c r="AD25" s="2"/>
      <c r="AF25" s="28" t="s">
        <v>6</v>
      </c>
      <c r="AG25" s="2">
        <v>0</v>
      </c>
      <c r="AH25" s="2"/>
    </row>
    <row r="26" spans="1:34" x14ac:dyDescent="0.25">
      <c r="E26" s="2" t="s">
        <v>31</v>
      </c>
      <c r="F26" s="36">
        <f>KURT(A20:A24)</f>
        <v>-2.9131936588848122</v>
      </c>
      <c r="H26" s="2" t="s">
        <v>31</v>
      </c>
      <c r="I26" s="34">
        <f>KURT(B20:B24)</f>
        <v>1.4977979646147723</v>
      </c>
      <c r="K26" s="2" t="s">
        <v>31</v>
      </c>
      <c r="L26" s="34">
        <f>KURT(C20:C24)</f>
        <v>-2.3494428114021115</v>
      </c>
      <c r="AB26" s="28" t="s">
        <v>7</v>
      </c>
      <c r="AC26" s="2">
        <v>8</v>
      </c>
      <c r="AD26" s="2"/>
      <c r="AF26" s="28" t="s">
        <v>7</v>
      </c>
      <c r="AG26" s="2">
        <v>8</v>
      </c>
      <c r="AH26" s="2"/>
    </row>
    <row r="27" spans="1:34" x14ac:dyDescent="0.25">
      <c r="E27" s="2" t="s">
        <v>32</v>
      </c>
      <c r="F27" s="35">
        <f>SKEW(A20:A24)</f>
        <v>0.47279340263952191</v>
      </c>
      <c r="H27" s="2" t="s">
        <v>32</v>
      </c>
      <c r="I27" s="35">
        <f>SKEW(B20:B24)</f>
        <v>1.1755007017935593</v>
      </c>
      <c r="K27" s="2" t="s">
        <v>32</v>
      </c>
      <c r="L27" s="35">
        <f>SKEW(C20:C24)</f>
        <v>-0.58270107893901069</v>
      </c>
      <c r="AB27" s="28" t="s">
        <v>8</v>
      </c>
      <c r="AC27" s="2">
        <v>37.234997868638132</v>
      </c>
      <c r="AD27" s="2"/>
      <c r="AF27" s="28" t="s">
        <v>8</v>
      </c>
      <c r="AG27" s="2">
        <v>-100.92115182966717</v>
      </c>
      <c r="AH27" s="2"/>
    </row>
    <row r="28" spans="1:34" x14ac:dyDescent="0.25">
      <c r="E28" s="2" t="s">
        <v>34</v>
      </c>
      <c r="F28" s="36">
        <f>MIN(A20:A24)</f>
        <v>4.7350000000000003</v>
      </c>
      <c r="H28" s="2" t="s">
        <v>34</v>
      </c>
      <c r="I28" s="34">
        <f>MIN(B20:B24)</f>
        <v>2.246</v>
      </c>
      <c r="K28" s="2" t="s">
        <v>34</v>
      </c>
      <c r="L28" s="34">
        <f>MIN(C20:C24)</f>
        <v>194.56399999999999</v>
      </c>
      <c r="AB28" s="28" t="s">
        <v>9</v>
      </c>
      <c r="AC28" s="2">
        <v>1.4845042750340329E-10</v>
      </c>
      <c r="AD28" s="2"/>
      <c r="AF28" s="28" t="s">
        <v>9</v>
      </c>
      <c r="AG28" s="2">
        <v>5.1892294356950684E-14</v>
      </c>
      <c r="AH28" s="2"/>
    </row>
    <row r="29" spans="1:34" x14ac:dyDescent="0.25">
      <c r="E29" s="2" t="s">
        <v>35</v>
      </c>
      <c r="F29" s="36">
        <f>MAX(A20:A24)</f>
        <v>5.077</v>
      </c>
      <c r="H29" s="2" t="s">
        <v>35</v>
      </c>
      <c r="I29" s="34">
        <f>MAX(B20:B24)</f>
        <v>2.3010000000000002</v>
      </c>
      <c r="K29" s="2" t="s">
        <v>35</v>
      </c>
      <c r="L29" s="34">
        <f>MAX(C20:C24)</f>
        <v>204.506</v>
      </c>
      <c r="AB29" s="28" t="s">
        <v>10</v>
      </c>
      <c r="AC29" s="2">
        <v>1.8595480375308981</v>
      </c>
      <c r="AD29" s="2"/>
      <c r="AF29" s="28" t="s">
        <v>10</v>
      </c>
      <c r="AG29" s="2">
        <v>1.8595480375308981</v>
      </c>
      <c r="AH29" s="2"/>
    </row>
    <row r="30" spans="1:34" x14ac:dyDescent="0.25">
      <c r="E30" s="2" t="s">
        <v>15</v>
      </c>
      <c r="F30" s="36">
        <f>SUM(A20:A24)</f>
        <v>24.466000000000001</v>
      </c>
      <c r="H30" s="2" t="s">
        <v>15</v>
      </c>
      <c r="I30" s="34">
        <f>SUM(B20:B24)</f>
        <v>11.335000000000001</v>
      </c>
      <c r="K30" s="2" t="s">
        <v>15</v>
      </c>
      <c r="L30" s="34">
        <f>SUM(C20:C24)</f>
        <v>1000.9470000000001</v>
      </c>
      <c r="AB30" s="28" t="s">
        <v>11</v>
      </c>
      <c r="AC30" s="2">
        <v>2.9690085500680657E-10</v>
      </c>
      <c r="AD30" s="2"/>
      <c r="AF30" s="28" t="s">
        <v>11</v>
      </c>
      <c r="AG30" s="2">
        <v>1.0378458871390137E-13</v>
      </c>
      <c r="AH30" s="2"/>
    </row>
    <row r="31" spans="1:34" ht="15.75" thickBot="1" x14ac:dyDescent="0.3">
      <c r="E31" s="3" t="s">
        <v>14</v>
      </c>
      <c r="F31" s="3">
        <f>COUNT(A20:A24)</f>
        <v>5</v>
      </c>
      <c r="H31" s="3" t="s">
        <v>14</v>
      </c>
      <c r="I31" s="33">
        <f>COUNT(B20:B24)</f>
        <v>5</v>
      </c>
      <c r="K31" s="3" t="s">
        <v>14</v>
      </c>
      <c r="L31" s="33">
        <f>COUNT(C20:C24)</f>
        <v>5</v>
      </c>
      <c r="AB31" s="29" t="s">
        <v>12</v>
      </c>
      <c r="AC31" s="3">
        <v>2.3060041352041671</v>
      </c>
      <c r="AD31" s="3"/>
      <c r="AF31" s="29" t="s">
        <v>12</v>
      </c>
      <c r="AG31" s="3">
        <v>2.3060041352041671</v>
      </c>
      <c r="AH31" s="3"/>
    </row>
    <row r="34" spans="1:16" ht="15.75" thickBot="1" x14ac:dyDescent="0.3">
      <c r="A34" s="25"/>
      <c r="B34" s="25"/>
      <c r="C34" s="25"/>
      <c r="D34" s="25"/>
      <c r="E34" s="25"/>
      <c r="F34" s="9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6" ht="15.75" thickBot="1" x14ac:dyDescent="0.3">
      <c r="A35" s="73" t="s">
        <v>79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</row>
    <row r="36" spans="1:16" ht="15.75" thickBot="1" x14ac:dyDescent="0.3">
      <c r="A36" s="60" t="s">
        <v>80</v>
      </c>
      <c r="B36" s="57"/>
      <c r="C36" s="59" t="s">
        <v>81</v>
      </c>
      <c r="D36" s="24"/>
      <c r="E36" s="72" t="s">
        <v>84</v>
      </c>
      <c r="F36" s="72"/>
      <c r="G36" s="57"/>
      <c r="H36" s="72" t="s">
        <v>61</v>
      </c>
      <c r="I36" s="72"/>
      <c r="J36" s="72"/>
      <c r="K36" s="72"/>
      <c r="L36" s="57"/>
      <c r="M36" s="72" t="s">
        <v>62</v>
      </c>
      <c r="N36" s="72"/>
      <c r="O36" s="72"/>
      <c r="P36" s="72"/>
    </row>
    <row r="37" spans="1:16" x14ac:dyDescent="0.25">
      <c r="A37" s="22">
        <f>A20-B20</f>
        <v>2.806</v>
      </c>
      <c r="B37" s="57"/>
      <c r="C37" s="62">
        <f>A20-C20</f>
        <v>-189.48699999999999</v>
      </c>
      <c r="D37" s="57"/>
      <c r="E37" s="57" t="s">
        <v>87</v>
      </c>
      <c r="F37" s="6">
        <f>SQRT(F24/F31)</f>
        <v>6.9883045154028545E-2</v>
      </c>
      <c r="G37" s="57"/>
      <c r="H37" s="74" t="s">
        <v>3</v>
      </c>
      <c r="I37" s="74"/>
      <c r="J37" s="74"/>
      <c r="K37" s="13">
        <f>AVERAGE(A37:A41)</f>
        <v>2.6261999999999999</v>
      </c>
      <c r="L37" s="57"/>
      <c r="M37" s="74" t="s">
        <v>3</v>
      </c>
      <c r="N37" s="74"/>
      <c r="O37" s="74"/>
      <c r="P37" s="13">
        <f>AVERAGE(C37:C41)</f>
        <v>-195.2962</v>
      </c>
    </row>
    <row r="38" spans="1:16" x14ac:dyDescent="0.25">
      <c r="A38" s="22">
        <f t="shared" ref="A38:A41" si="1">A21-B21</f>
        <v>2.5340000000000003</v>
      </c>
      <c r="B38" s="57"/>
      <c r="C38" s="22">
        <f>A21-C21</f>
        <v>-199.708</v>
      </c>
      <c r="D38" s="57"/>
      <c r="E38" s="57" t="s">
        <v>85</v>
      </c>
      <c r="F38" s="6">
        <f>F20-($K$41*F37)</f>
        <v>4.7442093477316112</v>
      </c>
      <c r="G38" s="5"/>
      <c r="H38" s="70" t="s">
        <v>4</v>
      </c>
      <c r="I38" s="70"/>
      <c r="J38" s="70"/>
      <c r="K38" s="13">
        <f>VARA(A37:A41)</f>
        <v>1.9811199999999966E-2</v>
      </c>
      <c r="L38" s="57"/>
      <c r="M38" s="70" t="s">
        <v>4</v>
      </c>
      <c r="N38" s="70"/>
      <c r="O38" s="70"/>
      <c r="P38" s="13">
        <f>VARA(C37:C41)</f>
        <v>20.015785199999936</v>
      </c>
    </row>
    <row r="39" spans="1:16" x14ac:dyDescent="0.25">
      <c r="A39" s="22">
        <f t="shared" si="1"/>
        <v>2.5649999999999999</v>
      </c>
      <c r="B39" s="57"/>
      <c r="C39" s="22">
        <f>A22-C22</f>
        <v>-197.60399999999998</v>
      </c>
      <c r="D39" s="57"/>
      <c r="E39" s="57" t="s">
        <v>86</v>
      </c>
      <c r="F39" s="6">
        <f>F20+(K41*F37)</f>
        <v>5.0421906522683893</v>
      </c>
      <c r="G39" s="57"/>
      <c r="H39" s="71" t="s">
        <v>82</v>
      </c>
      <c r="I39" s="71"/>
      <c r="J39" s="71"/>
      <c r="K39" s="13">
        <f>_xlfn.STDEV.S(A37:A41)</f>
        <v>0.14075226463542234</v>
      </c>
      <c r="L39" s="57"/>
      <c r="M39" s="71" t="s">
        <v>82</v>
      </c>
      <c r="N39" s="71"/>
      <c r="O39" s="71"/>
      <c r="P39" s="13">
        <f>_xlfn.STDEV.S(C37:C41)</f>
        <v>4.4739004459196376</v>
      </c>
    </row>
    <row r="40" spans="1:16" x14ac:dyDescent="0.25">
      <c r="A40" s="22">
        <f t="shared" si="1"/>
        <v>2.7439999999999998</v>
      </c>
      <c r="B40" s="57"/>
      <c r="C40" s="22">
        <f>A23-C23</f>
        <v>-191.59200000000001</v>
      </c>
      <c r="D40" s="57"/>
      <c r="E40" s="57"/>
      <c r="G40" s="57"/>
      <c r="H40" s="70" t="s">
        <v>77</v>
      </c>
      <c r="I40" s="70"/>
      <c r="J40" s="70"/>
      <c r="K40" s="50">
        <f>COUNT(A37:A41)-1</f>
        <v>4</v>
      </c>
      <c r="L40" s="57"/>
      <c r="M40" s="70" t="s">
        <v>77</v>
      </c>
      <c r="N40" s="70"/>
      <c r="O40" s="70"/>
      <c r="P40" s="50">
        <f>COUNT(C37:C41)-1</f>
        <v>4</v>
      </c>
    </row>
    <row r="41" spans="1:16" ht="18" x14ac:dyDescent="0.25">
      <c r="A41" s="22">
        <f t="shared" si="1"/>
        <v>2.4820000000000002</v>
      </c>
      <c r="B41" s="57"/>
      <c r="C41" s="22">
        <f>A24-C24</f>
        <v>-198.08999999999997</v>
      </c>
      <c r="D41" s="57"/>
      <c r="E41" s="57" t="s">
        <v>88</v>
      </c>
      <c r="F41" s="6">
        <f>SQRT(I24/I31)</f>
        <v>9.5341491492424435E-3</v>
      </c>
      <c r="G41" s="57"/>
      <c r="H41" s="70" t="s">
        <v>74</v>
      </c>
      <c r="I41" s="70"/>
      <c r="J41" s="70"/>
      <c r="K41" s="57">
        <v>2.1320000000000001</v>
      </c>
      <c r="L41" s="57"/>
      <c r="M41" s="70" t="s">
        <v>74</v>
      </c>
      <c r="N41" s="70"/>
      <c r="O41" s="70"/>
      <c r="P41" s="57">
        <v>2.1320000000000001</v>
      </c>
    </row>
    <row r="42" spans="1:16" x14ac:dyDescent="0.25">
      <c r="A42" s="57"/>
      <c r="B42" s="57"/>
      <c r="C42" s="57"/>
      <c r="D42" s="57"/>
      <c r="E42" s="57" t="s">
        <v>85</v>
      </c>
      <c r="F42" s="6">
        <f>I20-($K$41*F41)</f>
        <v>2.2466731940138156</v>
      </c>
      <c r="G42" s="57"/>
      <c r="H42" s="70" t="s">
        <v>83</v>
      </c>
      <c r="I42" s="70"/>
      <c r="J42" s="70"/>
      <c r="K42" s="13">
        <f>SQRT(K38/COUNT(A37:A41))</f>
        <v>6.2946326342368811E-2</v>
      </c>
      <c r="L42" s="57"/>
      <c r="M42" s="70" t="s">
        <v>83</v>
      </c>
      <c r="N42" s="70"/>
      <c r="O42" s="70"/>
      <c r="P42" s="13">
        <f>SQRT(P38/COUNT(C37:C41))</f>
        <v>2.0007891043285864</v>
      </c>
    </row>
    <row r="43" spans="1:16" x14ac:dyDescent="0.25">
      <c r="A43" s="22"/>
      <c r="B43" s="57"/>
      <c r="C43" s="57"/>
      <c r="D43" s="57"/>
      <c r="E43" s="57" t="s">
        <v>86</v>
      </c>
      <c r="F43" s="6">
        <f>I20+(K41*F41)</f>
        <v>2.2873268059861851</v>
      </c>
      <c r="G43" s="57"/>
      <c r="H43" s="70" t="s">
        <v>59</v>
      </c>
      <c r="I43" s="70"/>
      <c r="J43" s="70"/>
      <c r="K43" s="13">
        <f>K37-(K42*K41)</f>
        <v>2.4919984322380695</v>
      </c>
      <c r="L43" s="57"/>
      <c r="M43" s="70" t="s">
        <v>59</v>
      </c>
      <c r="N43" s="70"/>
      <c r="O43" s="70"/>
      <c r="P43" s="13">
        <f>P37-(P42*P41)</f>
        <v>-199.56188237042855</v>
      </c>
    </row>
    <row r="44" spans="1:16" x14ac:dyDescent="0.25">
      <c r="A44" s="57"/>
      <c r="B44" s="57"/>
      <c r="C44" s="57"/>
      <c r="D44" s="57"/>
      <c r="E44" s="57"/>
      <c r="G44" s="57"/>
      <c r="H44" s="70" t="s">
        <v>60</v>
      </c>
      <c r="I44" s="70"/>
      <c r="J44" s="70"/>
      <c r="K44" s="13">
        <f>K37+(K43*K42)</f>
        <v>2.7830621465603289</v>
      </c>
      <c r="L44" s="57"/>
      <c r="M44" s="70" t="s">
        <v>60</v>
      </c>
      <c r="N44" s="70"/>
      <c r="O44" s="70"/>
      <c r="P44" s="13">
        <f>P37+(P43*P42)</f>
        <v>-594.57743988605648</v>
      </c>
    </row>
    <row r="45" spans="1:16" x14ac:dyDescent="0.25">
      <c r="A45" s="57"/>
      <c r="B45" s="57"/>
      <c r="C45" s="57"/>
      <c r="D45" s="57"/>
      <c r="E45" s="57" t="s">
        <v>89</v>
      </c>
      <c r="F45" s="6">
        <f>SQRT(L24/L31)</f>
        <v>1.9338742099733375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</row>
    <row r="46" spans="1:16" x14ac:dyDescent="0.25">
      <c r="A46" s="57"/>
      <c r="B46" s="57"/>
      <c r="C46" s="57"/>
      <c r="D46" s="57"/>
      <c r="E46" s="57" t="s">
        <v>85</v>
      </c>
      <c r="F46" s="13">
        <f>L20-($K$41*F45)</f>
        <v>196.06638018433688</v>
      </c>
      <c r="G46" s="61"/>
      <c r="H46" s="57"/>
      <c r="I46" s="57"/>
      <c r="J46" s="57"/>
      <c r="K46" s="57"/>
      <c r="L46" s="57"/>
      <c r="M46" s="57"/>
      <c r="N46" s="57"/>
      <c r="O46" s="57"/>
      <c r="P46" s="57"/>
    </row>
    <row r="47" spans="1:16" x14ac:dyDescent="0.25">
      <c r="A47" s="57"/>
      <c r="B47" s="57"/>
      <c r="C47" s="57"/>
      <c r="D47" s="57"/>
      <c r="E47" s="57" t="s">
        <v>86</v>
      </c>
      <c r="F47" s="13">
        <f>L20+($K$41*F45)</f>
        <v>204.31241981566319</v>
      </c>
      <c r="G47" s="61"/>
      <c r="H47" s="57"/>
      <c r="I47" s="57"/>
      <c r="J47" s="57"/>
      <c r="K47" s="57"/>
      <c r="L47" s="57"/>
      <c r="M47" s="57"/>
      <c r="N47" s="57"/>
      <c r="O47" s="57"/>
      <c r="P47" s="57"/>
    </row>
  </sheetData>
  <mergeCells count="37">
    <mergeCell ref="M44:O44"/>
    <mergeCell ref="M41:O41"/>
    <mergeCell ref="H42:J42"/>
    <mergeCell ref="M42:O42"/>
    <mergeCell ref="H43:J43"/>
    <mergeCell ref="M43:O43"/>
    <mergeCell ref="H41:J41"/>
    <mergeCell ref="H44:J44"/>
    <mergeCell ref="M38:O38"/>
    <mergeCell ref="H39:J39"/>
    <mergeCell ref="M39:O39"/>
    <mergeCell ref="H40:J40"/>
    <mergeCell ref="M40:O40"/>
    <mergeCell ref="H38:J38"/>
    <mergeCell ref="A35:P35"/>
    <mergeCell ref="E36:F36"/>
    <mergeCell ref="H36:K36"/>
    <mergeCell ref="M36:P36"/>
    <mergeCell ref="H37:J37"/>
    <mergeCell ref="M37:O37"/>
    <mergeCell ref="AB18:AD19"/>
    <mergeCell ref="N1:T2"/>
    <mergeCell ref="V1:V2"/>
    <mergeCell ref="A1:C1"/>
    <mergeCell ref="K1:L2"/>
    <mergeCell ref="H1:I2"/>
    <mergeCell ref="E1:F2"/>
    <mergeCell ref="A18:C18"/>
    <mergeCell ref="E18:F19"/>
    <mergeCell ref="H18:I19"/>
    <mergeCell ref="K18:L19"/>
    <mergeCell ref="N18:T19"/>
    <mergeCell ref="X1:X2"/>
    <mergeCell ref="Z1:Z2"/>
    <mergeCell ref="AB1:AD2"/>
    <mergeCell ref="AF1:AH2"/>
    <mergeCell ref="AF18:AH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6"/>
  <sheetViews>
    <sheetView tabSelected="1" topLeftCell="A88" zoomScaleNormal="100" workbookViewId="0">
      <selection activeCell="R17" sqref="R17"/>
    </sheetView>
  </sheetViews>
  <sheetFormatPr defaultRowHeight="15" x14ac:dyDescent="0.25"/>
  <cols>
    <col min="1" max="22" width="9.140625" style="4"/>
    <col min="23" max="23" width="26.140625" style="4" bestFit="1" customWidth="1"/>
    <col min="24" max="24" width="6.5703125" style="4" bestFit="1" customWidth="1"/>
    <col min="25" max="25" width="9.140625" style="4"/>
    <col min="26" max="26" width="26.140625" style="4" bestFit="1" customWidth="1"/>
    <col min="27" max="27" width="5.5703125" style="4" bestFit="1" customWidth="1"/>
    <col min="28" max="28" width="9.140625" style="4"/>
    <col min="29" max="29" width="26.140625" style="4" bestFit="1" customWidth="1"/>
    <col min="30" max="30" width="7.5703125" style="4" bestFit="1" customWidth="1"/>
    <col min="31" max="31" width="9.140625" style="4"/>
    <col min="32" max="32" width="23.7109375" style="4" bestFit="1" customWidth="1"/>
    <col min="33" max="33" width="7.7109375" style="4" bestFit="1" customWidth="1"/>
    <col min="34" max="34" width="9.140625" style="4"/>
    <col min="35" max="35" width="23.7109375" style="4" bestFit="1" customWidth="1"/>
    <col min="36" max="36" width="11" style="4" bestFit="1" customWidth="1"/>
    <col min="37" max="37" width="9.140625" style="4"/>
    <col min="38" max="38" width="23.7109375" style="4" bestFit="1" customWidth="1"/>
    <col min="39" max="39" width="7.7109375" style="4" bestFit="1" customWidth="1"/>
    <col min="40" max="40" width="9.140625" style="4"/>
    <col min="41" max="41" width="23.7109375" style="4" bestFit="1" customWidth="1"/>
    <col min="42" max="42" width="9.5703125" style="4" bestFit="1" customWidth="1"/>
    <col min="43" max="16384" width="9.140625" style="4"/>
  </cols>
  <sheetData>
    <row r="1" spans="1:49" s="41" customFormat="1" ht="16.5" thickBot="1" x14ac:dyDescent="0.3">
      <c r="B1" s="64" t="s">
        <v>48</v>
      </c>
      <c r="C1" s="64"/>
      <c r="D1" s="64"/>
      <c r="E1" s="64"/>
      <c r="F1" s="104"/>
      <c r="G1" s="76" t="s">
        <v>49</v>
      </c>
      <c r="H1" s="76"/>
      <c r="I1" s="76"/>
      <c r="J1" s="76"/>
      <c r="K1" s="105"/>
      <c r="L1" s="85" t="s">
        <v>50</v>
      </c>
      <c r="M1" s="85"/>
      <c r="N1" s="85"/>
      <c r="O1" s="85"/>
      <c r="P1" s="106"/>
      <c r="Q1" s="107" t="s">
        <v>51</v>
      </c>
      <c r="R1" s="107"/>
      <c r="S1" s="107"/>
      <c r="T1" s="107"/>
      <c r="U1" s="108"/>
      <c r="W1" s="109" t="s">
        <v>1</v>
      </c>
      <c r="X1" s="109"/>
      <c r="Z1" s="102" t="s">
        <v>52</v>
      </c>
      <c r="AA1" s="102"/>
      <c r="AC1" s="103" t="s">
        <v>53</v>
      </c>
      <c r="AD1" s="103"/>
      <c r="AF1" s="101" t="s">
        <v>1</v>
      </c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51"/>
      <c r="AR1" s="51"/>
      <c r="AS1" s="51"/>
      <c r="AT1" s="51"/>
      <c r="AU1" s="51"/>
      <c r="AV1" s="51"/>
      <c r="AW1" s="51"/>
    </row>
    <row r="2" spans="1:49" ht="15.75" thickBot="1" x14ac:dyDescent="0.3">
      <c r="A2" s="45" t="s">
        <v>1</v>
      </c>
      <c r="B2" s="48">
        <v>15.686999999999999</v>
      </c>
      <c r="C2" s="48">
        <v>15.212</v>
      </c>
      <c r="D2" s="48">
        <v>16.841999999999999</v>
      </c>
      <c r="E2" s="48">
        <v>16.338999999999999</v>
      </c>
      <c r="F2" s="44">
        <v>16.151</v>
      </c>
      <c r="G2" s="48">
        <v>6.0179999999999998</v>
      </c>
      <c r="H2" s="48">
        <v>5.8789999999999996</v>
      </c>
      <c r="I2" s="48">
        <v>5.68</v>
      </c>
      <c r="J2" s="48">
        <v>5.944</v>
      </c>
      <c r="K2" s="44">
        <v>6.1440000000000001</v>
      </c>
      <c r="L2" s="48">
        <v>3.9329999999999998</v>
      </c>
      <c r="M2" s="48">
        <v>3.5390000000000001</v>
      </c>
      <c r="N2" s="48">
        <v>3.6080000000000001</v>
      </c>
      <c r="O2" s="48">
        <v>3.536</v>
      </c>
      <c r="P2" s="44">
        <v>3.5019999999999998</v>
      </c>
      <c r="Q2" s="48">
        <v>5.077</v>
      </c>
      <c r="R2" s="48">
        <v>4.798</v>
      </c>
      <c r="S2" s="48">
        <v>4.8109999999999999</v>
      </c>
      <c r="T2" s="48">
        <v>5.0449999999999999</v>
      </c>
      <c r="U2" s="44">
        <v>4.7350000000000003</v>
      </c>
      <c r="W2" s="2" t="s">
        <v>3</v>
      </c>
      <c r="X2" s="7">
        <f>AVERAGE(B2:U2)</f>
        <v>7.6240000000000006</v>
      </c>
      <c r="Z2" s="2" t="s">
        <v>3</v>
      </c>
      <c r="AA2" s="7">
        <f>AVERAGE(B3:U3)</f>
        <v>2.4568000000000003</v>
      </c>
      <c r="AC2" s="2" t="s">
        <v>3</v>
      </c>
      <c r="AD2" s="7">
        <f>AVERAGE(B4:U4)</f>
        <v>207.98269999999997</v>
      </c>
      <c r="AF2" s="85" t="s">
        <v>48</v>
      </c>
      <c r="AG2" s="85"/>
      <c r="AI2" s="85" t="s">
        <v>49</v>
      </c>
      <c r="AJ2" s="85"/>
      <c r="AL2" s="85" t="s">
        <v>50</v>
      </c>
      <c r="AM2" s="85"/>
      <c r="AO2" s="85" t="s">
        <v>51</v>
      </c>
      <c r="AP2" s="85"/>
    </row>
    <row r="3" spans="1:49" x14ac:dyDescent="0.25">
      <c r="A3" s="45" t="s">
        <v>2</v>
      </c>
      <c r="B3" s="48">
        <v>3.54</v>
      </c>
      <c r="C3" s="48">
        <v>3.5489999999999999</v>
      </c>
      <c r="D3" s="48">
        <v>3.9</v>
      </c>
      <c r="E3" s="48">
        <v>3.5649999999999999</v>
      </c>
      <c r="F3" s="42">
        <v>4.0869999999999997</v>
      </c>
      <c r="G3" s="48">
        <v>2.415</v>
      </c>
      <c r="H3" s="48">
        <v>2.4430000000000001</v>
      </c>
      <c r="I3" s="48">
        <v>2.4390000000000001</v>
      </c>
      <c r="J3" s="48">
        <v>2.4620000000000002</v>
      </c>
      <c r="K3" s="42">
        <v>2.4140000000000001</v>
      </c>
      <c r="L3" s="48">
        <v>1.38</v>
      </c>
      <c r="M3" s="48">
        <v>1.4970000000000001</v>
      </c>
      <c r="N3" s="48">
        <v>1.3720000000000001</v>
      </c>
      <c r="O3" s="48">
        <v>1.3660000000000001</v>
      </c>
      <c r="P3" s="42">
        <v>1.3720000000000001</v>
      </c>
      <c r="Q3" s="48">
        <v>2.2709999999999999</v>
      </c>
      <c r="R3" s="48">
        <v>2.2639999999999998</v>
      </c>
      <c r="S3" s="48">
        <v>2.246</v>
      </c>
      <c r="T3" s="48">
        <v>2.3010000000000002</v>
      </c>
      <c r="U3" s="42">
        <v>2.2530000000000001</v>
      </c>
      <c r="W3" s="2" t="s">
        <v>26</v>
      </c>
      <c r="X3" s="7">
        <f>X6/SQRT(X14)</f>
        <v>1.1334205263156669</v>
      </c>
      <c r="Z3" s="2" t="s">
        <v>26</v>
      </c>
      <c r="AA3" s="7">
        <f>AA6/SQRT(AA14)</f>
        <v>0.1929337301005872</v>
      </c>
      <c r="AC3" s="2" t="s">
        <v>26</v>
      </c>
      <c r="AD3" s="7">
        <f>AD6/SQRT(AD14)</f>
        <v>15.79246568697271</v>
      </c>
      <c r="AF3" s="2" t="s">
        <v>3</v>
      </c>
      <c r="AG3" s="7">
        <f>AVERAGE(B2:F2)</f>
        <v>16.046199999999999</v>
      </c>
      <c r="AI3" s="2" t="s">
        <v>3</v>
      </c>
      <c r="AJ3" s="7">
        <f>AVERAGE(G2:K2)</f>
        <v>5.9329999999999998</v>
      </c>
      <c r="AL3" s="2" t="s">
        <v>3</v>
      </c>
      <c r="AM3" s="7">
        <f>AVERAGE(L2:P2)</f>
        <v>3.6235999999999997</v>
      </c>
      <c r="AO3" s="2" t="s">
        <v>3</v>
      </c>
      <c r="AP3" s="7">
        <f>AVERAGE(Q2:U2)</f>
        <v>4.8932000000000002</v>
      </c>
      <c r="AR3" s="13">
        <f>AVERAGE(AG3,AJ3,AM3,AP3)</f>
        <v>7.6239999999999997</v>
      </c>
    </row>
    <row r="4" spans="1:49" ht="15.75" thickBot="1" x14ac:dyDescent="0.3">
      <c r="A4" s="46" t="s">
        <v>0</v>
      </c>
      <c r="B4" s="47">
        <v>310.35899999999998</v>
      </c>
      <c r="C4" s="25">
        <v>320.49799999999999</v>
      </c>
      <c r="D4" s="25">
        <v>318.81200000000001</v>
      </c>
      <c r="E4" s="25">
        <v>295.08999999999997</v>
      </c>
      <c r="F4" s="43">
        <v>288.47399999999999</v>
      </c>
      <c r="G4" s="25">
        <v>205.13200000000001</v>
      </c>
      <c r="H4" s="25">
        <v>202.88</v>
      </c>
      <c r="I4" s="25">
        <v>213.17</v>
      </c>
      <c r="J4" s="25">
        <v>223.893</v>
      </c>
      <c r="K4" s="43">
        <v>212.35900000000001</v>
      </c>
      <c r="L4" s="25">
        <v>118.245</v>
      </c>
      <c r="M4" s="25">
        <v>110.277</v>
      </c>
      <c r="N4" s="25">
        <v>111.48699999999999</v>
      </c>
      <c r="O4" s="25">
        <v>113.628</v>
      </c>
      <c r="P4" s="43">
        <v>114.40300000000001</v>
      </c>
      <c r="Q4" s="25">
        <v>194.56399999999999</v>
      </c>
      <c r="R4" s="25">
        <v>204.506</v>
      </c>
      <c r="S4" s="25">
        <v>202.41499999999999</v>
      </c>
      <c r="T4" s="25">
        <v>196.637</v>
      </c>
      <c r="U4" s="43">
        <v>202.82499999999999</v>
      </c>
      <c r="W4" s="2" t="s">
        <v>27</v>
      </c>
      <c r="X4" s="7">
        <f>MEDIAN(B2:U2)</f>
        <v>5.3784999999999998</v>
      </c>
      <c r="Z4" s="2" t="s">
        <v>27</v>
      </c>
      <c r="AA4" s="7">
        <f>MEDIAN(B3:U3)</f>
        <v>2.3574999999999999</v>
      </c>
      <c r="AC4" s="2" t="s">
        <v>27</v>
      </c>
      <c r="AD4" s="7">
        <f>MEDIAN(B4:U4)</f>
        <v>203.69299999999998</v>
      </c>
      <c r="AF4" s="2" t="s">
        <v>26</v>
      </c>
      <c r="AG4" s="7">
        <f>AG6/SQRT(AG14)</f>
        <v>0.27883030681760529</v>
      </c>
      <c r="AI4" s="2" t="s">
        <v>26</v>
      </c>
      <c r="AJ4" s="7">
        <f>AJ6/SQRT(AJ14)</f>
        <v>7.7068800431822015E-2</v>
      </c>
      <c r="AL4" s="2" t="s">
        <v>26</v>
      </c>
      <c r="AM4" s="7">
        <f>AM6/SQRT(AM14)</f>
        <v>7.9243043858751375E-2</v>
      </c>
      <c r="AO4" s="2" t="s">
        <v>26</v>
      </c>
      <c r="AP4" s="7">
        <f>AP6/SQRT(AP14)</f>
        <v>6.9883045154028545E-2</v>
      </c>
    </row>
    <row r="5" spans="1:49" x14ac:dyDescent="0.25">
      <c r="A5" s="24"/>
      <c r="D5" s="24"/>
      <c r="W5" s="2" t="s">
        <v>28</v>
      </c>
      <c r="X5" s="7" t="e">
        <f>_xlfn.MODE.SNGL(B2:U2)</f>
        <v>#N/A</v>
      </c>
      <c r="Z5" s="2" t="s">
        <v>28</v>
      </c>
      <c r="AA5" s="7">
        <f>_xlfn.MODE.SNGL(B3:U3)</f>
        <v>1.3720000000000001</v>
      </c>
      <c r="AC5" s="2" t="s">
        <v>28</v>
      </c>
      <c r="AD5" s="7" t="e">
        <f>_xlfn.MODE.SNGL(B4:U4)</f>
        <v>#N/A</v>
      </c>
      <c r="AF5" s="2" t="s">
        <v>27</v>
      </c>
      <c r="AG5" s="7">
        <f>MEDIAN(B2:F2)</f>
        <v>16.151</v>
      </c>
      <c r="AI5" s="2" t="s">
        <v>27</v>
      </c>
      <c r="AJ5" s="7">
        <f>MEDIAN(G2:K2)</f>
        <v>5.944</v>
      </c>
      <c r="AL5" s="2" t="s">
        <v>27</v>
      </c>
      <c r="AM5" s="7">
        <f>MEDIAN(L2:P2)</f>
        <v>3.5390000000000001</v>
      </c>
      <c r="AO5" s="2" t="s">
        <v>27</v>
      </c>
      <c r="AP5" s="7">
        <f>MEDIAN(Q2:U2)</f>
        <v>4.8109999999999999</v>
      </c>
    </row>
    <row r="6" spans="1:49" x14ac:dyDescent="0.25">
      <c r="W6" s="2" t="s">
        <v>29</v>
      </c>
      <c r="X6" s="7">
        <f>_xlfn.STDEV.S(B2:U2)</f>
        <v>5.0688106878708412</v>
      </c>
      <c r="Z6" s="2" t="s">
        <v>29</v>
      </c>
      <c r="AA6" s="7">
        <f>_xlfn.STDEV.S(B3:U3)</f>
        <v>0.86282587131502064</v>
      </c>
      <c r="AC6" s="2" t="s">
        <v>29</v>
      </c>
      <c r="AD6" s="7">
        <f>_xlfn.STDEV.S(B4:U4)</f>
        <v>70.626053616807795</v>
      </c>
      <c r="AF6" s="2" t="s">
        <v>29</v>
      </c>
      <c r="AG6" s="7">
        <f>_xlfn.STDEV.S(B2:F2)</f>
        <v>0.6234835202312885</v>
      </c>
      <c r="AI6" s="2" t="s">
        <v>29</v>
      </c>
      <c r="AJ6" s="7">
        <f>_xlfn.STDEV.S(G2:K2)</f>
        <v>0.17233107670991918</v>
      </c>
      <c r="AL6" s="2" t="s">
        <v>29</v>
      </c>
      <c r="AM6" s="7">
        <f>_xlfn.STDEV.S(L2:P2)</f>
        <v>0.17719283281216533</v>
      </c>
      <c r="AO6" s="2" t="s">
        <v>29</v>
      </c>
      <c r="AP6" s="7">
        <f>_xlfn.STDEV.S(Q2:U2)</f>
        <v>0.15626323943909509</v>
      </c>
    </row>
    <row r="7" spans="1:49" ht="15.75" thickBot="1" x14ac:dyDescent="0.3">
      <c r="B7" s="25"/>
      <c r="C7" s="25"/>
      <c r="D7" s="25"/>
      <c r="E7" s="25"/>
      <c r="F7" s="25"/>
      <c r="G7" s="25"/>
      <c r="H7" s="25"/>
      <c r="I7" s="25"/>
      <c r="J7" s="25"/>
      <c r="W7" s="2" t="s">
        <v>30</v>
      </c>
      <c r="X7" s="7">
        <f>VARA(B2:U2)</f>
        <v>25.692841789473672</v>
      </c>
      <c r="Z7" s="2" t="s">
        <v>30</v>
      </c>
      <c r="AA7" s="7">
        <f>VARA(B3:U3)</f>
        <v>0.74446848421052447</v>
      </c>
      <c r="AC7" s="2" t="s">
        <v>30</v>
      </c>
      <c r="AD7" s="7">
        <f>VARA(B4:U4)</f>
        <v>4988.0394494842103</v>
      </c>
      <c r="AF7" s="2" t="s">
        <v>30</v>
      </c>
      <c r="AG7" s="7">
        <f>VARA(B2:F2)</f>
        <v>0.38873169999999951</v>
      </c>
      <c r="AI7" s="2" t="s">
        <v>30</v>
      </c>
      <c r="AJ7" s="7">
        <f>VARA(G2:K2)</f>
        <v>2.9698000000000051E-2</v>
      </c>
      <c r="AL7" s="2" t="s">
        <v>30</v>
      </c>
      <c r="AM7" s="7">
        <f>VARA(L2:P2)</f>
        <v>3.1397299999999975E-2</v>
      </c>
      <c r="AO7" s="2" t="s">
        <v>30</v>
      </c>
      <c r="AP7" s="7">
        <f>VARA(Q2:U2)</f>
        <v>2.4418199999999963E-2</v>
      </c>
    </row>
    <row r="8" spans="1:49" ht="15.75" thickBot="1" x14ac:dyDescent="0.3">
      <c r="B8" s="110" t="s">
        <v>91</v>
      </c>
      <c r="C8" s="110"/>
      <c r="D8" s="110"/>
      <c r="E8" s="110"/>
      <c r="F8" s="110"/>
      <c r="G8" s="110"/>
      <c r="H8" s="110"/>
      <c r="I8" s="110"/>
      <c r="J8" s="110"/>
      <c r="W8" s="2" t="s">
        <v>55</v>
      </c>
      <c r="X8" s="7">
        <f>SQRT(X7)/X14</f>
        <v>0.25344053439354208</v>
      </c>
      <c r="Z8" s="2" t="s">
        <v>55</v>
      </c>
      <c r="AA8" s="7">
        <f>SQRT(AA7)/AA14</f>
        <v>4.3141293565751034E-2</v>
      </c>
      <c r="AC8" s="2" t="s">
        <v>55</v>
      </c>
      <c r="AD8" s="7">
        <f>SQRT(AD7)/AD14</f>
        <v>3.5313026808403896</v>
      </c>
      <c r="AF8" s="2" t="s">
        <v>55</v>
      </c>
      <c r="AG8" s="7">
        <f>SQRT(AG7)/AG14</f>
        <v>0.1246967040462577</v>
      </c>
      <c r="AI8" s="2" t="s">
        <v>55</v>
      </c>
      <c r="AJ8" s="7">
        <f>SQRT(AJ7)/AJ14</f>
        <v>3.4466215341983839E-2</v>
      </c>
      <c r="AL8" s="2" t="s">
        <v>55</v>
      </c>
      <c r="AM8" s="7">
        <f>SQRT(AM7)/AM14</f>
        <v>3.5438566562433063E-2</v>
      </c>
      <c r="AO8" s="2" t="s">
        <v>55</v>
      </c>
      <c r="AP8" s="7">
        <f>SQRT(AP7)/AP14</f>
        <v>3.1252647887819021E-2</v>
      </c>
    </row>
    <row r="9" spans="1:49" ht="15.75" thickBot="1" x14ac:dyDescent="0.3">
      <c r="B9" s="72" t="s">
        <v>61</v>
      </c>
      <c r="C9" s="72"/>
      <c r="D9" s="72"/>
      <c r="E9" s="72"/>
      <c r="G9" s="72" t="s">
        <v>62</v>
      </c>
      <c r="H9" s="72"/>
      <c r="I9" s="72"/>
      <c r="J9" s="72"/>
      <c r="W9" s="2" t="s">
        <v>31</v>
      </c>
      <c r="X9" s="7">
        <f>KURT(B2:U2)</f>
        <v>-0.53694131803892509</v>
      </c>
      <c r="Z9" s="2" t="s">
        <v>31</v>
      </c>
      <c r="AA9" s="7">
        <f>KURT(B3:U3)</f>
        <v>-0.65945236983841582</v>
      </c>
      <c r="AC9" s="2" t="s">
        <v>31</v>
      </c>
      <c r="AD9" s="7">
        <f>KURT(B4:U4)</f>
        <v>-0.87010092976662445</v>
      </c>
      <c r="AF9" s="2" t="s">
        <v>31</v>
      </c>
      <c r="AG9" s="7">
        <f>KURT(B2:F2)</f>
        <v>-0.4770682380782203</v>
      </c>
      <c r="AI9" s="2" t="s">
        <v>31</v>
      </c>
      <c r="AJ9" s="7">
        <f>KURT(G2:K2)</f>
        <v>0.70208377574195602</v>
      </c>
      <c r="AL9" s="2" t="s">
        <v>31</v>
      </c>
      <c r="AM9" s="7">
        <f>KURT(L2:P2)</f>
        <v>4.0369547692820351</v>
      </c>
      <c r="AO9" s="2" t="s">
        <v>31</v>
      </c>
      <c r="AP9" s="7">
        <f>KURT(Q2:U2)</f>
        <v>-2.9131936588848122</v>
      </c>
    </row>
    <row r="10" spans="1:49" x14ac:dyDescent="0.25">
      <c r="B10" s="74" t="s">
        <v>54</v>
      </c>
      <c r="C10" s="74"/>
      <c r="D10" s="74"/>
      <c r="E10" s="13">
        <f>$X$2-$AA$2</f>
        <v>5.1672000000000002</v>
      </c>
      <c r="G10" s="74" t="s">
        <v>54</v>
      </c>
      <c r="H10" s="74"/>
      <c r="I10" s="74"/>
      <c r="J10" s="13">
        <f>$X$2-$AD$2</f>
        <v>-200.35869999999997</v>
      </c>
      <c r="W10" s="2" t="s">
        <v>32</v>
      </c>
      <c r="X10" s="7">
        <f>SKEW(B2:U2)</f>
        <v>1.1573079128922763</v>
      </c>
      <c r="Z10" s="2" t="s">
        <v>32</v>
      </c>
      <c r="AA10" s="7">
        <f>SKEW(B3:U3)</f>
        <v>0.47832291242695274</v>
      </c>
      <c r="AC10" s="2" t="s">
        <v>32</v>
      </c>
      <c r="AD10" s="7">
        <f>SKEW(B4:U4)</f>
        <v>0.13738647087492542</v>
      </c>
      <c r="AF10" s="2" t="s">
        <v>32</v>
      </c>
      <c r="AG10" s="7">
        <f>SKEW(B2:F2)</f>
        <v>-0.1661132681318287</v>
      </c>
      <c r="AI10" s="2" t="s">
        <v>32</v>
      </c>
      <c r="AJ10" s="7">
        <f>SKEW(G2:K2)</f>
        <v>-0.51635505442167873</v>
      </c>
      <c r="AL10" s="2" t="s">
        <v>32</v>
      </c>
      <c r="AM10" s="7">
        <f>SKEW(L2:P2)</f>
        <v>1.9876115414911426</v>
      </c>
      <c r="AO10" s="2" t="s">
        <v>32</v>
      </c>
      <c r="AP10" s="7">
        <f>SKEW(Q2:U2)</f>
        <v>0.47279340263952191</v>
      </c>
    </row>
    <row r="11" spans="1:49" x14ac:dyDescent="0.25">
      <c r="B11" s="71" t="s">
        <v>56</v>
      </c>
      <c r="C11" s="71"/>
      <c r="D11" s="71"/>
      <c r="E11" s="4">
        <f>SQRT($X$8+$AA$8)</f>
        <v>0.54459326837493416</v>
      </c>
      <c r="G11" s="71" t="s">
        <v>56</v>
      </c>
      <c r="H11" s="71"/>
      <c r="I11" s="71"/>
      <c r="J11" s="4">
        <f>SQRT($X$8+$AD$8)</f>
        <v>1.9454416504315752</v>
      </c>
      <c r="W11" s="2" t="s">
        <v>34</v>
      </c>
      <c r="X11" s="7">
        <f>MIN(B2:U2)</f>
        <v>3.5019999999999998</v>
      </c>
      <c r="Z11" s="2" t="s">
        <v>34</v>
      </c>
      <c r="AA11" s="7">
        <f>MIN(B3:U3)</f>
        <v>1.3660000000000001</v>
      </c>
      <c r="AC11" s="2" t="s">
        <v>34</v>
      </c>
      <c r="AD11" s="7">
        <f>MIN(B4:U4)</f>
        <v>110.277</v>
      </c>
      <c r="AF11" s="2" t="s">
        <v>34</v>
      </c>
      <c r="AG11" s="7">
        <f>MIN(B2:F2)</f>
        <v>15.212</v>
      </c>
      <c r="AI11" s="2" t="s">
        <v>34</v>
      </c>
      <c r="AJ11" s="7">
        <f>MIN(G2:K2)</f>
        <v>5.68</v>
      </c>
      <c r="AL11" s="2" t="s">
        <v>34</v>
      </c>
      <c r="AM11" s="7">
        <f>MIN(L2:P2)</f>
        <v>3.5019999999999998</v>
      </c>
      <c r="AO11" s="2" t="s">
        <v>34</v>
      </c>
      <c r="AP11" s="7">
        <f>MIN(Q2:U2)</f>
        <v>4.7350000000000003</v>
      </c>
    </row>
    <row r="12" spans="1:49" x14ac:dyDescent="0.25">
      <c r="B12" s="70" t="s">
        <v>57</v>
      </c>
      <c r="C12" s="70"/>
      <c r="D12" s="70"/>
      <c r="E12" s="50">
        <f>$X$14-1</f>
        <v>19</v>
      </c>
      <c r="G12" s="70" t="s">
        <v>57</v>
      </c>
      <c r="H12" s="70"/>
      <c r="I12" s="70"/>
      <c r="J12" s="50">
        <f>$X$14-1</f>
        <v>19</v>
      </c>
      <c r="W12" s="2" t="s">
        <v>35</v>
      </c>
      <c r="X12" s="7">
        <f>MAX(B2:U2)</f>
        <v>16.841999999999999</v>
      </c>
      <c r="Z12" s="2" t="s">
        <v>35</v>
      </c>
      <c r="AA12" s="7">
        <f>MAX(B3:U3)</f>
        <v>4.0869999999999997</v>
      </c>
      <c r="AC12" s="2" t="s">
        <v>35</v>
      </c>
      <c r="AD12" s="7">
        <f>MAX(B4:U4)</f>
        <v>320.49799999999999</v>
      </c>
      <c r="AF12" s="2" t="s">
        <v>35</v>
      </c>
      <c r="AG12" s="7">
        <f>MAX(B2:F2)</f>
        <v>16.841999999999999</v>
      </c>
      <c r="AI12" s="2" t="s">
        <v>35</v>
      </c>
      <c r="AJ12" s="7">
        <f>MAX(G2:K2)</f>
        <v>6.1440000000000001</v>
      </c>
      <c r="AL12" s="2" t="s">
        <v>35</v>
      </c>
      <c r="AM12" s="7">
        <f>MAX(L2:P2)</f>
        <v>3.9329999999999998</v>
      </c>
      <c r="AO12" s="2" t="s">
        <v>35</v>
      </c>
      <c r="AP12" s="7">
        <f>MAX(Q2:U2)</f>
        <v>5.077</v>
      </c>
    </row>
    <row r="13" spans="1:49" ht="18" x14ac:dyDescent="0.25">
      <c r="B13" s="70" t="s">
        <v>63</v>
      </c>
      <c r="C13" s="70"/>
      <c r="D13" s="70"/>
      <c r="E13" s="4">
        <v>1.7290000000000001</v>
      </c>
      <c r="G13" s="70" t="s">
        <v>58</v>
      </c>
      <c r="H13" s="70"/>
      <c r="I13" s="70"/>
      <c r="J13" s="48">
        <v>1.7290000000000001</v>
      </c>
      <c r="W13" s="2" t="s">
        <v>15</v>
      </c>
      <c r="X13" s="7">
        <f>SUM(B2:U2)</f>
        <v>152.48000000000002</v>
      </c>
      <c r="Z13" s="2" t="s">
        <v>15</v>
      </c>
      <c r="AA13" s="7">
        <f>SUM(B3:U3)</f>
        <v>49.13600000000001</v>
      </c>
      <c r="AC13" s="2" t="s">
        <v>15</v>
      </c>
      <c r="AD13" s="7">
        <f>SUM(B4:U4)</f>
        <v>4159.6539999999995</v>
      </c>
      <c r="AF13" s="2" t="s">
        <v>15</v>
      </c>
      <c r="AG13" s="7">
        <f>SUM(B2:F2)</f>
        <v>80.230999999999995</v>
      </c>
      <c r="AI13" s="2" t="s">
        <v>15</v>
      </c>
      <c r="AJ13" s="7">
        <f>SUM(G2:K2)</f>
        <v>29.664999999999999</v>
      </c>
      <c r="AL13" s="2" t="s">
        <v>15</v>
      </c>
      <c r="AM13" s="7">
        <f>SUM(L2:P2)</f>
        <v>18.117999999999999</v>
      </c>
      <c r="AO13" s="2" t="s">
        <v>15</v>
      </c>
      <c r="AP13" s="7">
        <f>SUM(Q2:U2)</f>
        <v>24.466000000000001</v>
      </c>
    </row>
    <row r="14" spans="1:49" ht="15.75" thickBot="1" x14ac:dyDescent="0.3">
      <c r="B14" s="70" t="s">
        <v>59</v>
      </c>
      <c r="C14" s="70"/>
      <c r="D14" s="70"/>
      <c r="E14" s="4">
        <f>E10-E13*E11</f>
        <v>4.2255982389797389</v>
      </c>
      <c r="G14" s="70" t="s">
        <v>59</v>
      </c>
      <c r="H14" s="70"/>
      <c r="I14" s="70"/>
      <c r="J14" s="4">
        <f>J10-J13*J11</f>
        <v>-203.72236861359616</v>
      </c>
      <c r="W14" s="3" t="s">
        <v>14</v>
      </c>
      <c r="X14" s="40">
        <f>COUNT(B2:U2)</f>
        <v>20</v>
      </c>
      <c r="Z14" s="3" t="s">
        <v>14</v>
      </c>
      <c r="AA14" s="40">
        <f>COUNT(B3:U3)</f>
        <v>20</v>
      </c>
      <c r="AC14" s="3" t="s">
        <v>14</v>
      </c>
      <c r="AD14" s="40">
        <f>COUNT(B4:U4)</f>
        <v>20</v>
      </c>
      <c r="AF14" s="3" t="s">
        <v>14</v>
      </c>
      <c r="AG14" s="40">
        <f>COUNT(B2:F2)</f>
        <v>5</v>
      </c>
      <c r="AI14" s="3" t="s">
        <v>14</v>
      </c>
      <c r="AJ14" s="40">
        <f>COUNT(G2:K2)</f>
        <v>5</v>
      </c>
      <c r="AL14" s="3" t="s">
        <v>14</v>
      </c>
      <c r="AM14" s="40">
        <f>COUNT(L2:P2)</f>
        <v>5</v>
      </c>
      <c r="AO14" s="3" t="s">
        <v>14</v>
      </c>
      <c r="AP14" s="40">
        <f>COUNT(Q2:U2)</f>
        <v>5</v>
      </c>
    </row>
    <row r="15" spans="1:49" x14ac:dyDescent="0.25">
      <c r="B15" s="70" t="s">
        <v>60</v>
      </c>
      <c r="C15" s="70"/>
      <c r="D15" s="70"/>
      <c r="E15" s="4">
        <f>E10+E13*E11</f>
        <v>6.1088017610202616</v>
      </c>
      <c r="G15" s="70" t="s">
        <v>60</v>
      </c>
      <c r="H15" s="70"/>
      <c r="I15" s="70"/>
      <c r="J15" s="4">
        <f>J10+J13*J11</f>
        <v>-196.99503138640378</v>
      </c>
    </row>
    <row r="16" spans="1:49" ht="15.75" thickBot="1" x14ac:dyDescent="0.3"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</row>
    <row r="17" spans="2:44" ht="16.5" thickBot="1" x14ac:dyDescent="0.3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AF17" s="112" t="s">
        <v>2</v>
      </c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</row>
    <row r="18" spans="2:44" ht="15.75" thickBot="1" x14ac:dyDescent="0.3">
      <c r="B18" s="100" t="s">
        <v>65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55"/>
      <c r="Q18" s="55"/>
      <c r="R18" s="5"/>
      <c r="AF18" s="113" t="s">
        <v>48</v>
      </c>
      <c r="AG18" s="113"/>
      <c r="AH18" s="48"/>
      <c r="AI18" s="113" t="s">
        <v>49</v>
      </c>
      <c r="AJ18" s="113"/>
      <c r="AK18" s="48"/>
      <c r="AL18" s="113" t="s">
        <v>50</v>
      </c>
      <c r="AM18" s="113"/>
      <c r="AN18" s="48"/>
      <c r="AO18" s="113" t="s">
        <v>51</v>
      </c>
      <c r="AP18" s="113"/>
    </row>
    <row r="19" spans="2:44" ht="15.75" thickBot="1" x14ac:dyDescent="0.3"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56"/>
      <c r="Q19" s="56"/>
      <c r="R19" s="5"/>
      <c r="AF19" s="2" t="s">
        <v>3</v>
      </c>
      <c r="AG19" s="7">
        <f>AVERAGE(B3:F3)</f>
        <v>3.7281999999999997</v>
      </c>
      <c r="AH19" s="48"/>
      <c r="AI19" s="2" t="s">
        <v>3</v>
      </c>
      <c r="AJ19" s="7">
        <f>AVERAGE(G3:K3)</f>
        <v>2.4346000000000001</v>
      </c>
      <c r="AK19" s="48"/>
      <c r="AL19" s="2" t="s">
        <v>3</v>
      </c>
      <c r="AM19" s="7">
        <f>AVERAGE(L2:P2)</f>
        <v>3.6235999999999997</v>
      </c>
      <c r="AN19" s="48"/>
      <c r="AO19" s="2" t="s">
        <v>3</v>
      </c>
      <c r="AP19" s="7">
        <f>AVERAGE(Q3:U3)</f>
        <v>2.2670000000000003</v>
      </c>
      <c r="AR19" s="13">
        <f>AVERAGE(AG19,AJ19,AM19,AP19)</f>
        <v>3.01335</v>
      </c>
    </row>
    <row r="20" spans="2:44" ht="15.75" thickBot="1" x14ac:dyDescent="0.3">
      <c r="B20" s="72" t="s">
        <v>1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AF20" s="2" t="s">
        <v>26</v>
      </c>
      <c r="AG20" s="7">
        <f>AG22/SQRT(AG30)</f>
        <v>0.11234295705561603</v>
      </c>
      <c r="AH20" s="48"/>
      <c r="AI20" s="2" t="s">
        <v>26</v>
      </c>
      <c r="AJ20" s="7">
        <f>AJ22/SQRT(AJ30)</f>
        <v>9.0807488677972035E-3</v>
      </c>
      <c r="AK20" s="48"/>
      <c r="AL20" s="2" t="s">
        <v>26</v>
      </c>
      <c r="AM20" s="7">
        <f>AM22/SQRT(AM30)</f>
        <v>7.9243043858751375E-2</v>
      </c>
      <c r="AN20" s="48"/>
      <c r="AO20" s="2" t="s">
        <v>26</v>
      </c>
      <c r="AP20" s="7">
        <f>AP22/SQRT(AP30)</f>
        <v>9.5341491492424435E-3</v>
      </c>
    </row>
    <row r="21" spans="2:44" ht="15.75" thickBot="1" x14ac:dyDescent="0.3">
      <c r="B21" s="114" t="s">
        <v>66</v>
      </c>
      <c r="C21" s="114"/>
      <c r="D21" s="114"/>
      <c r="E21" s="114"/>
      <c r="G21" s="114" t="s">
        <v>67</v>
      </c>
      <c r="H21" s="114"/>
      <c r="I21" s="114"/>
      <c r="J21" s="114"/>
      <c r="L21" s="114" t="s">
        <v>68</v>
      </c>
      <c r="M21" s="114"/>
      <c r="N21" s="114"/>
      <c r="O21" s="114"/>
      <c r="AF21" s="2" t="s">
        <v>27</v>
      </c>
      <c r="AG21" s="7">
        <f>MEDIAN(B3:F3)</f>
        <v>3.5649999999999999</v>
      </c>
      <c r="AH21" s="48"/>
      <c r="AI21" s="2" t="s">
        <v>27</v>
      </c>
      <c r="AJ21" s="7">
        <f>MEDIAN(G3:K3)</f>
        <v>2.4390000000000001</v>
      </c>
      <c r="AK21" s="48"/>
      <c r="AL21" s="2" t="s">
        <v>27</v>
      </c>
      <c r="AM21" s="7">
        <f>MEDIAN(L2:P2)</f>
        <v>3.5390000000000001</v>
      </c>
      <c r="AN21" s="48"/>
      <c r="AO21" s="2" t="s">
        <v>27</v>
      </c>
      <c r="AP21" s="7">
        <f>MEDIAN(Q3:U3)</f>
        <v>2.2639999999999998</v>
      </c>
    </row>
    <row r="22" spans="2:44" x14ac:dyDescent="0.25">
      <c r="B22" s="74" t="s">
        <v>54</v>
      </c>
      <c r="C22" s="74"/>
      <c r="D22" s="74"/>
      <c r="E22" s="13">
        <f>$AG$3-$AJ$3</f>
        <v>10.113199999999999</v>
      </c>
      <c r="G22" s="74" t="s">
        <v>54</v>
      </c>
      <c r="H22" s="74"/>
      <c r="I22" s="74"/>
      <c r="J22" s="13">
        <f>$AG$3-$AM$3</f>
        <v>12.422599999999999</v>
      </c>
      <c r="L22" s="74" t="s">
        <v>54</v>
      </c>
      <c r="M22" s="74"/>
      <c r="N22" s="74"/>
      <c r="O22" s="13">
        <f>$AG$3-$AP$3</f>
        <v>11.152999999999999</v>
      </c>
      <c r="AF22" s="2" t="s">
        <v>29</v>
      </c>
      <c r="AG22" s="7">
        <f>_xlfn.STDEV.S(B3:F3)</f>
        <v>0.25120648876969709</v>
      </c>
      <c r="AH22" s="48"/>
      <c r="AI22" s="2" t="s">
        <v>29</v>
      </c>
      <c r="AJ22" s="7">
        <f>_xlfn.STDEV.S(G3:K3)</f>
        <v>2.03051717549988E-2</v>
      </c>
      <c r="AK22" s="48"/>
      <c r="AL22" s="2" t="s">
        <v>29</v>
      </c>
      <c r="AM22" s="7">
        <f>_xlfn.STDEV.S(L2:P2)</f>
        <v>0.17719283281216533</v>
      </c>
      <c r="AN22" s="48"/>
      <c r="AO22" s="2" t="s">
        <v>29</v>
      </c>
      <c r="AP22" s="7">
        <f>_xlfn.STDEV.S(Q3:U3)</f>
        <v>2.131900560532789E-2</v>
      </c>
    </row>
    <row r="23" spans="2:44" x14ac:dyDescent="0.25">
      <c r="B23" s="71" t="s">
        <v>56</v>
      </c>
      <c r="C23" s="71"/>
      <c r="D23" s="71"/>
      <c r="E23" s="49">
        <f>SQRT($AG$8+$AJ$8)</f>
        <v>0.3989522770811586</v>
      </c>
      <c r="G23" s="71" t="s">
        <v>56</v>
      </c>
      <c r="H23" s="71"/>
      <c r="I23" s="71"/>
      <c r="J23" s="54">
        <f>SQRT($AG$8+$AM$8)</f>
        <v>0.40016905253741292</v>
      </c>
      <c r="L23" s="71" t="s">
        <v>56</v>
      </c>
      <c r="M23" s="71"/>
      <c r="N23" s="71"/>
      <c r="O23" s="54">
        <f>SQRT($AG$8+$AP$8)</f>
        <v>0.39490423134486252</v>
      </c>
      <c r="AF23" s="2" t="s">
        <v>30</v>
      </c>
      <c r="AG23" s="7">
        <f>VARA(B3:F3)</f>
        <v>6.3104699999999958E-2</v>
      </c>
      <c r="AH23" s="48"/>
      <c r="AI23" s="2" t="s">
        <v>30</v>
      </c>
      <c r="AJ23" s="52">
        <f>VARA(G3:K3)</f>
        <v>4.1230000000000108E-4</v>
      </c>
      <c r="AK23" s="48"/>
      <c r="AL23" s="2" t="s">
        <v>30</v>
      </c>
      <c r="AM23" s="7">
        <f>VARA(L2:P2)</f>
        <v>3.1397299999999975E-2</v>
      </c>
      <c r="AN23" s="48"/>
      <c r="AO23" s="2" t="s">
        <v>30</v>
      </c>
      <c r="AP23" s="53">
        <f>VARA(Q3:U3)</f>
        <v>4.5450000000000199E-4</v>
      </c>
    </row>
    <row r="24" spans="2:44" x14ac:dyDescent="0.25">
      <c r="B24" s="70" t="s">
        <v>57</v>
      </c>
      <c r="C24" s="70"/>
      <c r="D24" s="70"/>
      <c r="E24" s="50">
        <f>$AG$14-1</f>
        <v>4</v>
      </c>
      <c r="G24" s="70" t="s">
        <v>57</v>
      </c>
      <c r="H24" s="70"/>
      <c r="I24" s="70"/>
      <c r="J24" s="50">
        <f>$AG$14-1</f>
        <v>4</v>
      </c>
      <c r="L24" s="70" t="s">
        <v>57</v>
      </c>
      <c r="M24" s="70"/>
      <c r="N24" s="70"/>
      <c r="O24" s="50">
        <f>$AG$14-1</f>
        <v>4</v>
      </c>
      <c r="AF24" s="2" t="s">
        <v>55</v>
      </c>
      <c r="AG24" s="7">
        <f>SQRT(AG23)/AG30</f>
        <v>5.0241297753939415E-2</v>
      </c>
      <c r="AH24" s="48"/>
      <c r="AI24" s="2" t="s">
        <v>55</v>
      </c>
      <c r="AJ24" s="53">
        <f>SQRT(AJ23)/AJ30</f>
        <v>4.0610343509997603E-3</v>
      </c>
      <c r="AK24" s="48"/>
      <c r="AL24" s="2" t="s">
        <v>55</v>
      </c>
      <c r="AM24" s="7">
        <f>SQRT(AM23)/AM30</f>
        <v>3.5438566562433063E-2</v>
      </c>
      <c r="AN24" s="48"/>
      <c r="AO24" s="2" t="s">
        <v>55</v>
      </c>
      <c r="AP24" s="53">
        <f>SQRT(AP23)/AP30</f>
        <v>4.2638011210655779E-3</v>
      </c>
    </row>
    <row r="25" spans="2:44" ht="18" x14ac:dyDescent="0.25">
      <c r="B25" s="70" t="s">
        <v>74</v>
      </c>
      <c r="C25" s="70"/>
      <c r="D25" s="70"/>
      <c r="E25" s="49">
        <v>2.1320000000000001</v>
      </c>
      <c r="G25" s="70" t="s">
        <v>74</v>
      </c>
      <c r="H25" s="70"/>
      <c r="I25" s="70"/>
      <c r="J25" s="54">
        <v>2.1320000000000001</v>
      </c>
      <c r="L25" s="70" t="s">
        <v>74</v>
      </c>
      <c r="M25" s="70"/>
      <c r="N25" s="70"/>
      <c r="O25" s="54">
        <v>2.1320000000000001</v>
      </c>
      <c r="AF25" s="2" t="s">
        <v>31</v>
      </c>
      <c r="AG25" s="7">
        <f>KURT(B3:F3)</f>
        <v>-1.584077717669544</v>
      </c>
      <c r="AH25" s="48"/>
      <c r="AI25" s="2" t="s">
        <v>31</v>
      </c>
      <c r="AJ25" s="7">
        <f>KURT(G3:K3)</f>
        <v>-1.4066150095101726</v>
      </c>
      <c r="AK25" s="48"/>
      <c r="AL25" s="2" t="s">
        <v>31</v>
      </c>
      <c r="AM25" s="7">
        <f>KURT(L2:P2)</f>
        <v>4.0369547692820351</v>
      </c>
      <c r="AN25" s="48"/>
      <c r="AO25" s="2" t="s">
        <v>31</v>
      </c>
      <c r="AP25" s="7">
        <f>KURT(Q3:U3)</f>
        <v>1.4977979646147723</v>
      </c>
    </row>
    <row r="26" spans="2:44" x14ac:dyDescent="0.25">
      <c r="B26" s="70" t="s">
        <v>59</v>
      </c>
      <c r="C26" s="70"/>
      <c r="D26" s="70"/>
      <c r="E26" s="49">
        <f>E22-E25*E23</f>
        <v>9.2626337452629688</v>
      </c>
      <c r="G26" s="70" t="s">
        <v>59</v>
      </c>
      <c r="H26" s="70"/>
      <c r="I26" s="70"/>
      <c r="J26" s="54">
        <f>J22-J25*J23</f>
        <v>11.569439579990235</v>
      </c>
      <c r="L26" s="70" t="s">
        <v>59</v>
      </c>
      <c r="M26" s="70"/>
      <c r="N26" s="70"/>
      <c r="O26" s="54">
        <f>O22-O25*O23</f>
        <v>10.311064178772751</v>
      </c>
      <c r="AF26" s="2" t="s">
        <v>32</v>
      </c>
      <c r="AG26" s="7">
        <f>SKEW(B3:F3)</f>
        <v>0.90666379843543354</v>
      </c>
      <c r="AH26" s="48"/>
      <c r="AI26" s="2" t="s">
        <v>32</v>
      </c>
      <c r="AJ26" s="7">
        <f>SKEW(G3:K3)</f>
        <v>0.24772384339629011</v>
      </c>
      <c r="AK26" s="48"/>
      <c r="AL26" s="2" t="s">
        <v>32</v>
      </c>
      <c r="AM26" s="7">
        <f>SKEW(L2:P2)</f>
        <v>1.9876115414911426</v>
      </c>
      <c r="AN26" s="48"/>
      <c r="AO26" s="2" t="s">
        <v>32</v>
      </c>
      <c r="AP26" s="7">
        <f>SKEW(Q3:U3)</f>
        <v>1.1755007017935593</v>
      </c>
    </row>
    <row r="27" spans="2:44" x14ac:dyDescent="0.25">
      <c r="B27" s="70" t="s">
        <v>60</v>
      </c>
      <c r="C27" s="70"/>
      <c r="D27" s="70"/>
      <c r="E27" s="49">
        <f>E22+E25*E23</f>
        <v>10.963766254737029</v>
      </c>
      <c r="G27" s="70" t="s">
        <v>60</v>
      </c>
      <c r="H27" s="70"/>
      <c r="I27" s="70"/>
      <c r="J27" s="54">
        <f>J22+J25*J23</f>
        <v>13.275760420009764</v>
      </c>
      <c r="L27" s="70" t="s">
        <v>60</v>
      </c>
      <c r="M27" s="70"/>
      <c r="N27" s="70"/>
      <c r="O27" s="54">
        <f>O22+O25*O23</f>
        <v>11.994935821227246</v>
      </c>
      <c r="AF27" s="2" t="s">
        <v>34</v>
      </c>
      <c r="AG27" s="7">
        <f>MIN(B3:F3)</f>
        <v>3.54</v>
      </c>
      <c r="AH27" s="48"/>
      <c r="AI27" s="2" t="s">
        <v>34</v>
      </c>
      <c r="AJ27" s="7">
        <f>MIN(G3:K3)</f>
        <v>2.4140000000000001</v>
      </c>
      <c r="AK27" s="48"/>
      <c r="AL27" s="2" t="s">
        <v>34</v>
      </c>
      <c r="AM27" s="7">
        <f>MIN(L2:P2)</f>
        <v>3.5019999999999998</v>
      </c>
      <c r="AN27" s="48"/>
      <c r="AO27" s="2" t="s">
        <v>34</v>
      </c>
      <c r="AP27" s="7">
        <f>MIN(Q3:U3)</f>
        <v>2.246</v>
      </c>
    </row>
    <row r="28" spans="2:44" ht="15.75" thickBot="1" x14ac:dyDescent="0.3">
      <c r="B28" s="25"/>
      <c r="C28" s="25"/>
      <c r="D28" s="25"/>
      <c r="E28" s="25"/>
      <c r="G28" s="25"/>
      <c r="H28" s="25"/>
      <c r="I28" s="25"/>
      <c r="J28" s="25"/>
      <c r="L28" s="25"/>
      <c r="M28" s="25"/>
      <c r="N28" s="25"/>
      <c r="O28" s="25"/>
      <c r="AF28" s="2" t="s">
        <v>35</v>
      </c>
      <c r="AG28" s="7">
        <f>MAX(B3:F3)</f>
        <v>4.0869999999999997</v>
      </c>
      <c r="AH28" s="48"/>
      <c r="AI28" s="2" t="s">
        <v>35</v>
      </c>
      <c r="AJ28" s="7">
        <f>MAX(G3:K3)</f>
        <v>2.4620000000000002</v>
      </c>
      <c r="AK28" s="48"/>
      <c r="AL28" s="2" t="s">
        <v>35</v>
      </c>
      <c r="AM28" s="7">
        <f>MAX(L2:P2)</f>
        <v>3.9329999999999998</v>
      </c>
      <c r="AN28" s="48"/>
      <c r="AO28" s="2" t="s">
        <v>35</v>
      </c>
      <c r="AP28" s="7">
        <f>MAX(Q3:U3)</f>
        <v>2.3010000000000002</v>
      </c>
    </row>
    <row r="29" spans="2:44" ht="15.75" thickBot="1" x14ac:dyDescent="0.3">
      <c r="B29" s="114" t="s">
        <v>69</v>
      </c>
      <c r="C29" s="114"/>
      <c r="D29" s="114"/>
      <c r="E29" s="114"/>
      <c r="G29" s="114" t="s">
        <v>70</v>
      </c>
      <c r="H29" s="114"/>
      <c r="I29" s="114"/>
      <c r="J29" s="114"/>
      <c r="L29" s="114" t="s">
        <v>71</v>
      </c>
      <c r="M29" s="114"/>
      <c r="N29" s="114"/>
      <c r="O29" s="114"/>
      <c r="AF29" s="2" t="s">
        <v>15</v>
      </c>
      <c r="AG29" s="7">
        <f>SUM(B3:F3)</f>
        <v>18.640999999999998</v>
      </c>
      <c r="AH29" s="48"/>
      <c r="AI29" s="2" t="s">
        <v>15</v>
      </c>
      <c r="AJ29" s="7">
        <f>SUM(G3:K3)</f>
        <v>12.173</v>
      </c>
      <c r="AK29" s="48"/>
      <c r="AL29" s="2" t="s">
        <v>15</v>
      </c>
      <c r="AM29" s="7">
        <f>SUM(L2:P2)</f>
        <v>18.117999999999999</v>
      </c>
      <c r="AN29" s="48"/>
      <c r="AO29" s="2" t="s">
        <v>15</v>
      </c>
      <c r="AP29" s="7">
        <f>SUM(Q3:U3)</f>
        <v>11.335000000000001</v>
      </c>
    </row>
    <row r="30" spans="2:44" ht="15.75" thickBot="1" x14ac:dyDescent="0.3">
      <c r="B30" s="74" t="s">
        <v>54</v>
      </c>
      <c r="C30" s="74"/>
      <c r="D30" s="74"/>
      <c r="E30" s="13">
        <f>$AJ$3-$AG$3</f>
        <v>-10.113199999999999</v>
      </c>
      <c r="G30" s="74" t="s">
        <v>54</v>
      </c>
      <c r="H30" s="74"/>
      <c r="I30" s="74"/>
      <c r="J30" s="13">
        <f>$AJ$3-$AM$3</f>
        <v>2.3094000000000001</v>
      </c>
      <c r="L30" s="74" t="s">
        <v>54</v>
      </c>
      <c r="M30" s="74"/>
      <c r="N30" s="74"/>
      <c r="O30" s="13">
        <f>$AJ$3-$AP$3</f>
        <v>1.0397999999999996</v>
      </c>
      <c r="AF30" s="3" t="s">
        <v>14</v>
      </c>
      <c r="AG30" s="40">
        <f>COUNT(B3:F3)</f>
        <v>5</v>
      </c>
      <c r="AH30" s="48"/>
      <c r="AI30" s="3" t="s">
        <v>14</v>
      </c>
      <c r="AJ30" s="40">
        <f>COUNT(G3:K3)</f>
        <v>5</v>
      </c>
      <c r="AK30" s="48"/>
      <c r="AL30" s="3" t="s">
        <v>14</v>
      </c>
      <c r="AM30" s="40">
        <f>COUNT(L2:P2)</f>
        <v>5</v>
      </c>
      <c r="AN30" s="48"/>
      <c r="AO30" s="3" t="s">
        <v>14</v>
      </c>
      <c r="AP30" s="40">
        <f>COUNT(Q3:U3)</f>
        <v>5</v>
      </c>
    </row>
    <row r="31" spans="2:44" x14ac:dyDescent="0.25">
      <c r="B31" s="71" t="s">
        <v>56</v>
      </c>
      <c r="C31" s="71"/>
      <c r="D31" s="71"/>
      <c r="E31" s="54">
        <f>SQRT($AJ$8+$AG$8)</f>
        <v>0.3989522770811586</v>
      </c>
      <c r="G31" s="71" t="s">
        <v>56</v>
      </c>
      <c r="H31" s="71"/>
      <c r="I31" s="71"/>
      <c r="J31" s="54">
        <f>SQRT($AJ$8+$AM$8)</f>
        <v>0.26439512458518766</v>
      </c>
      <c r="L31" s="71" t="s">
        <v>56</v>
      </c>
      <c r="M31" s="71"/>
      <c r="N31" s="71"/>
      <c r="O31" s="54">
        <f>SQRT($AJ$8+$AP$8)</f>
        <v>0.25635690595301475</v>
      </c>
    </row>
    <row r="32" spans="2:44" ht="15.75" thickBot="1" x14ac:dyDescent="0.3">
      <c r="B32" s="70" t="s">
        <v>57</v>
      </c>
      <c r="C32" s="70"/>
      <c r="D32" s="70"/>
      <c r="E32" s="50">
        <f>$AJ$14-1</f>
        <v>4</v>
      </c>
      <c r="G32" s="70" t="s">
        <v>57</v>
      </c>
      <c r="H32" s="70"/>
      <c r="I32" s="70"/>
      <c r="J32" s="50">
        <f>$AJ$14-1</f>
        <v>4</v>
      </c>
      <c r="L32" s="70" t="s">
        <v>57</v>
      </c>
      <c r="M32" s="70"/>
      <c r="N32" s="70"/>
      <c r="O32" s="50">
        <f>$AJ$14-1</f>
        <v>4</v>
      </c>
    </row>
    <row r="33" spans="2:44" ht="18.75" thickBot="1" x14ac:dyDescent="0.3">
      <c r="B33" s="70" t="s">
        <v>74</v>
      </c>
      <c r="C33" s="70"/>
      <c r="D33" s="70"/>
      <c r="E33" s="54">
        <v>2.1320000000000001</v>
      </c>
      <c r="G33" s="70" t="s">
        <v>74</v>
      </c>
      <c r="H33" s="70"/>
      <c r="I33" s="70"/>
      <c r="J33" s="54">
        <v>2.1320000000000001</v>
      </c>
      <c r="L33" s="70" t="s">
        <v>74</v>
      </c>
      <c r="M33" s="70"/>
      <c r="N33" s="70"/>
      <c r="O33" s="54">
        <v>2.1320000000000001</v>
      </c>
      <c r="AF33" s="111" t="s">
        <v>0</v>
      </c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</row>
    <row r="34" spans="2:44" ht="15.75" thickBot="1" x14ac:dyDescent="0.3">
      <c r="B34" s="70" t="s">
        <v>59</v>
      </c>
      <c r="C34" s="70"/>
      <c r="D34" s="70"/>
      <c r="E34" s="54">
        <f>E30-E33*E31</f>
        <v>-10.963766254737029</v>
      </c>
      <c r="G34" s="70" t="s">
        <v>59</v>
      </c>
      <c r="H34" s="70"/>
      <c r="I34" s="70"/>
      <c r="J34" s="54">
        <f>J30-J33*J31</f>
        <v>1.7457095943843801</v>
      </c>
      <c r="L34" s="70" t="s">
        <v>59</v>
      </c>
      <c r="M34" s="70"/>
      <c r="N34" s="70"/>
      <c r="O34" s="54">
        <f>O30-O33*O31</f>
        <v>0.49324707650817212</v>
      </c>
      <c r="AF34" s="76" t="s">
        <v>48</v>
      </c>
      <c r="AG34" s="76"/>
      <c r="AH34" s="48"/>
      <c r="AI34" s="76" t="s">
        <v>49</v>
      </c>
      <c r="AJ34" s="76"/>
      <c r="AK34" s="48"/>
      <c r="AL34" s="76" t="s">
        <v>50</v>
      </c>
      <c r="AM34" s="76"/>
      <c r="AN34" s="48"/>
      <c r="AO34" s="76" t="s">
        <v>51</v>
      </c>
      <c r="AP34" s="76"/>
    </row>
    <row r="35" spans="2:44" x14ac:dyDescent="0.25">
      <c r="B35" s="70" t="s">
        <v>60</v>
      </c>
      <c r="C35" s="70"/>
      <c r="D35" s="70"/>
      <c r="E35" s="54">
        <f>E30+E33*E31</f>
        <v>-9.2626337452629688</v>
      </c>
      <c r="G35" s="70" t="s">
        <v>60</v>
      </c>
      <c r="H35" s="70"/>
      <c r="I35" s="70"/>
      <c r="J35" s="54">
        <f>J30+J33*J31</f>
        <v>2.8730904056156201</v>
      </c>
      <c r="L35" s="70" t="s">
        <v>60</v>
      </c>
      <c r="M35" s="70"/>
      <c r="N35" s="70"/>
      <c r="O35" s="54">
        <f>O30+O33*O31</f>
        <v>1.5863529234918272</v>
      </c>
      <c r="AF35" s="2" t="s">
        <v>3</v>
      </c>
      <c r="AG35" s="7">
        <f>AVERAGE(B4:F4)</f>
        <v>306.64659999999998</v>
      </c>
      <c r="AH35" s="48"/>
      <c r="AI35" s="2" t="s">
        <v>3</v>
      </c>
      <c r="AJ35" s="7">
        <f>AVERAGE(G4:K4)</f>
        <v>211.48679999999999</v>
      </c>
      <c r="AK35" s="48"/>
      <c r="AL35" s="2" t="s">
        <v>3</v>
      </c>
      <c r="AM35" s="7">
        <f>AVERAGE(L4:P4)</f>
        <v>113.60799999999999</v>
      </c>
      <c r="AN35" s="48"/>
      <c r="AO35" s="2" t="s">
        <v>3</v>
      </c>
      <c r="AP35" s="7">
        <f>AVERAGE(Q4:U4)</f>
        <v>200.18940000000003</v>
      </c>
      <c r="AR35" s="13">
        <f>AVERAGE(AG35,AJ35,AM35,AP35)</f>
        <v>207.98269999999997</v>
      </c>
    </row>
    <row r="36" spans="2:44" ht="15.75" thickBot="1" x14ac:dyDescent="0.3">
      <c r="B36" s="25"/>
      <c r="C36" s="25"/>
      <c r="D36" s="25"/>
      <c r="E36" s="25"/>
      <c r="G36" s="25"/>
      <c r="H36" s="25"/>
      <c r="I36" s="25"/>
      <c r="J36" s="25"/>
      <c r="L36" s="25"/>
      <c r="M36" s="25"/>
      <c r="N36" s="25"/>
      <c r="O36" s="25"/>
      <c r="AF36" s="2" t="s">
        <v>26</v>
      </c>
      <c r="AG36" s="7">
        <f>AG38/SQRT(AG46)</f>
        <v>6.3931156222924708</v>
      </c>
      <c r="AH36" s="48"/>
      <c r="AI36" s="2" t="s">
        <v>26</v>
      </c>
      <c r="AJ36" s="7">
        <f>AJ38/SQRT(AJ46)</f>
        <v>3.6876020853665872</v>
      </c>
      <c r="AK36" s="48"/>
      <c r="AL36" s="2" t="s">
        <v>26</v>
      </c>
      <c r="AM36" s="7">
        <f>AM38/SQRT(AM46)</f>
        <v>1.3734699851107059</v>
      </c>
      <c r="AN36" s="48"/>
      <c r="AO36" s="2" t="s">
        <v>26</v>
      </c>
      <c r="AP36" s="7">
        <f>AP38/SQRT(AP46)</f>
        <v>1.933874209973337</v>
      </c>
    </row>
    <row r="37" spans="2:44" ht="15.75" thickBot="1" x14ac:dyDescent="0.3">
      <c r="B37" s="114" t="s">
        <v>72</v>
      </c>
      <c r="C37" s="114"/>
      <c r="D37" s="114"/>
      <c r="E37" s="114"/>
      <c r="G37" s="114" t="s">
        <v>73</v>
      </c>
      <c r="H37" s="114"/>
      <c r="I37" s="114"/>
      <c r="J37" s="114"/>
      <c r="L37" s="114" t="s">
        <v>75</v>
      </c>
      <c r="M37" s="114"/>
      <c r="N37" s="114"/>
      <c r="O37" s="114"/>
      <c r="AF37" s="2" t="s">
        <v>27</v>
      </c>
      <c r="AG37" s="7">
        <f>MEDIAN(B4:F4)</f>
        <v>310.35899999999998</v>
      </c>
      <c r="AH37" s="48"/>
      <c r="AI37" s="2" t="s">
        <v>27</v>
      </c>
      <c r="AJ37" s="7">
        <f>MEDIAN(G4:K4)</f>
        <v>212.35900000000001</v>
      </c>
      <c r="AK37" s="48"/>
      <c r="AL37" s="2" t="s">
        <v>27</v>
      </c>
      <c r="AM37" s="7">
        <f>MEDIAN(L4:P4)</f>
        <v>113.628</v>
      </c>
      <c r="AN37" s="48"/>
      <c r="AO37" s="2" t="s">
        <v>27</v>
      </c>
      <c r="AP37" s="7">
        <f>MEDIAN(Q4:U4)</f>
        <v>202.41499999999999</v>
      </c>
    </row>
    <row r="38" spans="2:44" x14ac:dyDescent="0.25">
      <c r="B38" s="74" t="s">
        <v>54</v>
      </c>
      <c r="C38" s="74"/>
      <c r="D38" s="74"/>
      <c r="E38" s="13">
        <f>$AM$3-$AG$3</f>
        <v>-12.422599999999999</v>
      </c>
      <c r="G38" s="74" t="s">
        <v>54</v>
      </c>
      <c r="H38" s="74"/>
      <c r="I38" s="74"/>
      <c r="J38" s="13">
        <f>$AM$3-$AJ$3</f>
        <v>-2.3094000000000001</v>
      </c>
      <c r="L38" s="74" t="s">
        <v>54</v>
      </c>
      <c r="M38" s="74"/>
      <c r="N38" s="74"/>
      <c r="O38" s="13">
        <f>$AM$3-$AP$3</f>
        <v>-1.2696000000000005</v>
      </c>
      <c r="AF38" s="2" t="s">
        <v>29</v>
      </c>
      <c r="AG38" s="7">
        <f>_xlfn.STDEV.S(B4:F4)</f>
        <v>14.295441119461834</v>
      </c>
      <c r="AH38" s="48"/>
      <c r="AI38" s="2" t="s">
        <v>29</v>
      </c>
      <c r="AJ38" s="7">
        <f>_xlfn.STDEV.S(G4:K4)</f>
        <v>8.2457289368496713</v>
      </c>
      <c r="AK38" s="48"/>
      <c r="AL38" s="2" t="s">
        <v>29</v>
      </c>
      <c r="AM38" s="7">
        <f>_xlfn.STDEV.S(L4:P4)</f>
        <v>3.0711722517631626</v>
      </c>
      <c r="AN38" s="48"/>
      <c r="AO38" s="2" t="s">
        <v>29</v>
      </c>
      <c r="AP38" s="7">
        <f>_xlfn.STDEV.S(Q4:U4)</f>
        <v>4.3242741934340838</v>
      </c>
    </row>
    <row r="39" spans="2:44" x14ac:dyDescent="0.25">
      <c r="B39" s="71" t="s">
        <v>56</v>
      </c>
      <c r="C39" s="71"/>
      <c r="D39" s="71"/>
      <c r="E39" s="54">
        <f>SQRT($AM$8+$AG$8)</f>
        <v>0.40016905253741292</v>
      </c>
      <c r="G39" s="71" t="s">
        <v>56</v>
      </c>
      <c r="H39" s="71"/>
      <c r="I39" s="71"/>
      <c r="J39" s="54">
        <f>SQRT($AM$8+$AJ$8)</f>
        <v>0.26439512458518766</v>
      </c>
      <c r="L39" s="71" t="s">
        <v>56</v>
      </c>
      <c r="M39" s="71"/>
      <c r="N39" s="71"/>
      <c r="O39" s="54">
        <f>SQRT($AM$8+$AP$8)</f>
        <v>0.25824642195053177</v>
      </c>
      <c r="AF39" s="2" t="s">
        <v>30</v>
      </c>
      <c r="AG39" s="7">
        <f>VARA(B4:F4)</f>
        <v>204.3596368000002</v>
      </c>
      <c r="AH39" s="48"/>
      <c r="AI39" s="2" t="s">
        <v>30</v>
      </c>
      <c r="AJ39" s="34">
        <f>VARA(G4:K4)</f>
        <v>67.992045700000006</v>
      </c>
      <c r="AK39" s="48"/>
      <c r="AL39" s="2" t="s">
        <v>30</v>
      </c>
      <c r="AM39" s="7">
        <f>VARA(L4:P4)</f>
        <v>9.4320990000000151</v>
      </c>
      <c r="AN39" s="48"/>
      <c r="AO39" s="2" t="s">
        <v>30</v>
      </c>
      <c r="AP39" s="53">
        <f>VARA(Q4:U4)</f>
        <v>18.699347299999999</v>
      </c>
    </row>
    <row r="40" spans="2:44" x14ac:dyDescent="0.25">
      <c r="B40" s="70" t="s">
        <v>57</v>
      </c>
      <c r="C40" s="70"/>
      <c r="D40" s="70"/>
      <c r="E40" s="50">
        <f>$AM$14-1</f>
        <v>4</v>
      </c>
      <c r="G40" s="70" t="s">
        <v>57</v>
      </c>
      <c r="H40" s="70"/>
      <c r="I40" s="70"/>
      <c r="J40" s="50">
        <f>$AM$14-1</f>
        <v>4</v>
      </c>
      <c r="L40" s="70" t="s">
        <v>57</v>
      </c>
      <c r="M40" s="70"/>
      <c r="N40" s="70"/>
      <c r="O40" s="50">
        <f>$AM$14-1</f>
        <v>4</v>
      </c>
      <c r="AF40" s="2" t="s">
        <v>55</v>
      </c>
      <c r="AG40" s="7">
        <f>SQRT(AG39)/AG46</f>
        <v>2.8590882238923667</v>
      </c>
      <c r="AH40" s="48"/>
      <c r="AI40" s="2" t="s">
        <v>55</v>
      </c>
      <c r="AJ40" s="34">
        <f>SQRT(AJ39)/AJ46</f>
        <v>1.6491457873699342</v>
      </c>
      <c r="AK40" s="48"/>
      <c r="AL40" s="2" t="s">
        <v>55</v>
      </c>
      <c r="AM40" s="7">
        <f>SQRT(AM39)/AM46</f>
        <v>0.61423445035263247</v>
      </c>
      <c r="AN40" s="48"/>
      <c r="AO40" s="2" t="s">
        <v>55</v>
      </c>
      <c r="AP40" s="53">
        <f>SQRT(AP39)/AP46</f>
        <v>0.86485483868681678</v>
      </c>
    </row>
    <row r="41" spans="2:44" ht="18" x14ac:dyDescent="0.25">
      <c r="B41" s="70" t="s">
        <v>74</v>
      </c>
      <c r="C41" s="70"/>
      <c r="D41" s="70"/>
      <c r="E41" s="54">
        <v>2.1320000000000001</v>
      </c>
      <c r="G41" s="70" t="s">
        <v>74</v>
      </c>
      <c r="H41" s="70"/>
      <c r="I41" s="70"/>
      <c r="J41" s="54">
        <v>2.1320000000000001</v>
      </c>
      <c r="L41" s="70" t="s">
        <v>74</v>
      </c>
      <c r="M41" s="70"/>
      <c r="N41" s="70"/>
      <c r="O41" s="54">
        <v>2.1320000000000001</v>
      </c>
      <c r="AF41" s="2" t="s">
        <v>31</v>
      </c>
      <c r="AG41" s="7">
        <f>KURT(B4:F4)</f>
        <v>-2.4387961283770956</v>
      </c>
      <c r="AH41" s="48"/>
      <c r="AI41" s="2" t="s">
        <v>31</v>
      </c>
      <c r="AJ41" s="7">
        <f>KURT(G4:K4)</f>
        <v>0.33247787777167304</v>
      </c>
      <c r="AK41" s="48"/>
      <c r="AL41" s="2" t="s">
        <v>31</v>
      </c>
      <c r="AM41" s="7">
        <f>KURT(L2:P4)</f>
        <v>-1.6033568372998559</v>
      </c>
      <c r="AN41" s="48"/>
      <c r="AO41" s="2" t="s">
        <v>31</v>
      </c>
      <c r="AP41" s="7">
        <f>KURT(Q4:U4)</f>
        <v>-2.3494428114021115</v>
      </c>
    </row>
    <row r="42" spans="2:44" x14ac:dyDescent="0.25">
      <c r="B42" s="70" t="s">
        <v>59</v>
      </c>
      <c r="C42" s="70"/>
      <c r="D42" s="70"/>
      <c r="E42" s="54">
        <f>E38-E41*E39</f>
        <v>-13.275760420009764</v>
      </c>
      <c r="G42" s="70" t="s">
        <v>59</v>
      </c>
      <c r="H42" s="70"/>
      <c r="I42" s="70"/>
      <c r="J42" s="54">
        <f>J38-J41*J39</f>
        <v>-2.8730904056156201</v>
      </c>
      <c r="L42" s="70" t="s">
        <v>59</v>
      </c>
      <c r="M42" s="70"/>
      <c r="N42" s="70"/>
      <c r="O42" s="54">
        <f>O38-O41*O39</f>
        <v>-1.8201813715985342</v>
      </c>
      <c r="AF42" s="2" t="s">
        <v>32</v>
      </c>
      <c r="AG42" s="7">
        <f>SKEW(B4:F4)</f>
        <v>-0.43296274695617365</v>
      </c>
      <c r="AH42" s="48"/>
      <c r="AI42" s="2" t="s">
        <v>32</v>
      </c>
      <c r="AJ42" s="7">
        <f>SKEW(G4:K4)</f>
        <v>0.75859395587529466</v>
      </c>
      <c r="AK42" s="48"/>
      <c r="AL42" s="2" t="s">
        <v>32</v>
      </c>
      <c r="AM42" s="7">
        <f>SKEW(L4:P4)</f>
        <v>0.77249004250231623</v>
      </c>
      <c r="AN42" s="48"/>
      <c r="AO42" s="2" t="s">
        <v>32</v>
      </c>
      <c r="AP42" s="7">
        <f>SKEW(Q4:U4)</f>
        <v>-0.58270107893901069</v>
      </c>
    </row>
    <row r="43" spans="2:44" x14ac:dyDescent="0.25">
      <c r="B43" s="70" t="s">
        <v>60</v>
      </c>
      <c r="C43" s="70"/>
      <c r="D43" s="70"/>
      <c r="E43" s="54">
        <f>E38+E41*E39</f>
        <v>-11.569439579990235</v>
      </c>
      <c r="G43" s="70" t="s">
        <v>60</v>
      </c>
      <c r="H43" s="70"/>
      <c r="I43" s="70"/>
      <c r="J43" s="54">
        <f>J38+J41*J39</f>
        <v>-1.7457095943843801</v>
      </c>
      <c r="L43" s="70" t="s">
        <v>60</v>
      </c>
      <c r="M43" s="70"/>
      <c r="N43" s="70"/>
      <c r="O43" s="54">
        <f>O38+O41*O39</f>
        <v>-0.7190186284014668</v>
      </c>
      <c r="AF43" s="2" t="s">
        <v>34</v>
      </c>
      <c r="AG43" s="7">
        <f>MIN(B4:F4)</f>
        <v>288.47399999999999</v>
      </c>
      <c r="AH43" s="48"/>
      <c r="AI43" s="2" t="s">
        <v>34</v>
      </c>
      <c r="AJ43" s="7">
        <f>MIN(G4:K4)</f>
        <v>202.88</v>
      </c>
      <c r="AK43" s="48"/>
      <c r="AL43" s="2" t="s">
        <v>34</v>
      </c>
      <c r="AM43" s="7">
        <f>MIN(L4:P4)</f>
        <v>110.277</v>
      </c>
      <c r="AN43" s="48"/>
      <c r="AO43" s="2" t="s">
        <v>34</v>
      </c>
      <c r="AP43" s="7">
        <f>MIN(Q4:U4)</f>
        <v>194.56399999999999</v>
      </c>
    </row>
    <row r="44" spans="2:44" ht="15.75" thickBot="1" x14ac:dyDescent="0.3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AF44" s="2" t="s">
        <v>35</v>
      </c>
      <c r="AG44" s="7">
        <f>MAX(B4:F4)</f>
        <v>320.49799999999999</v>
      </c>
      <c r="AH44" s="48"/>
      <c r="AI44" s="2" t="s">
        <v>35</v>
      </c>
      <c r="AJ44" s="7">
        <f>MAX(G4:K4)</f>
        <v>223.893</v>
      </c>
      <c r="AK44" s="48"/>
      <c r="AL44" s="2" t="s">
        <v>35</v>
      </c>
      <c r="AM44" s="7">
        <f>MAX(L4:P4)</f>
        <v>118.245</v>
      </c>
      <c r="AN44" s="48"/>
      <c r="AO44" s="2" t="s">
        <v>35</v>
      </c>
      <c r="AP44" s="7">
        <f>MAX(Q4:U4)</f>
        <v>204.506</v>
      </c>
    </row>
    <row r="45" spans="2:44" ht="15.75" thickBot="1" x14ac:dyDescent="0.3">
      <c r="B45" s="115" t="s">
        <v>52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AF45" s="2" t="s">
        <v>15</v>
      </c>
      <c r="AG45" s="7">
        <f>SUM(B4:F4)</f>
        <v>1533.2329999999999</v>
      </c>
      <c r="AH45" s="48"/>
      <c r="AI45" s="2" t="s">
        <v>15</v>
      </c>
      <c r="AJ45" s="7">
        <f>SUM(G4:K4)</f>
        <v>1057.434</v>
      </c>
      <c r="AK45" s="48"/>
      <c r="AL45" s="2" t="s">
        <v>15</v>
      </c>
      <c r="AM45" s="7">
        <f>SUM(L4:P4)</f>
        <v>568.04</v>
      </c>
      <c r="AN45" s="48"/>
      <c r="AO45" s="2" t="s">
        <v>15</v>
      </c>
      <c r="AP45" s="7">
        <f>SUM(Q4:U4)</f>
        <v>1000.9470000000001</v>
      </c>
    </row>
    <row r="46" spans="2:44" ht="15.75" thickBot="1" x14ac:dyDescent="0.3">
      <c r="B46" s="113" t="s">
        <v>66</v>
      </c>
      <c r="C46" s="113"/>
      <c r="D46" s="113"/>
      <c r="E46" s="113"/>
      <c r="F46" s="54"/>
      <c r="G46" s="113" t="s">
        <v>67</v>
      </c>
      <c r="H46" s="113"/>
      <c r="I46" s="113"/>
      <c r="J46" s="113"/>
      <c r="K46" s="54"/>
      <c r="L46" s="113" t="s">
        <v>68</v>
      </c>
      <c r="M46" s="113"/>
      <c r="N46" s="113"/>
      <c r="O46" s="113"/>
      <c r="AF46" s="3" t="s">
        <v>14</v>
      </c>
      <c r="AG46" s="40">
        <f>COUNT(B4:F4)</f>
        <v>5</v>
      </c>
      <c r="AH46" s="48"/>
      <c r="AI46" s="3" t="s">
        <v>14</v>
      </c>
      <c r="AJ46" s="40">
        <f>COUNT(G4:K4)</f>
        <v>5</v>
      </c>
      <c r="AK46" s="48"/>
      <c r="AL46" s="3" t="s">
        <v>14</v>
      </c>
      <c r="AM46" s="40">
        <f>COUNT(L4:P4)</f>
        <v>5</v>
      </c>
      <c r="AN46" s="48"/>
      <c r="AO46" s="3" t="s">
        <v>14</v>
      </c>
      <c r="AP46" s="40">
        <f>COUNT(Q4:U4)</f>
        <v>5</v>
      </c>
    </row>
    <row r="47" spans="2:44" x14ac:dyDescent="0.25">
      <c r="B47" s="74" t="s">
        <v>54</v>
      </c>
      <c r="C47" s="74"/>
      <c r="D47" s="74"/>
      <c r="E47" s="13">
        <f>$AG$19-$AJ$19</f>
        <v>1.2935999999999996</v>
      </c>
      <c r="F47" s="54"/>
      <c r="G47" s="74" t="s">
        <v>54</v>
      </c>
      <c r="H47" s="74"/>
      <c r="I47" s="74"/>
      <c r="J47" s="13">
        <f>$AG$19-$AM$19</f>
        <v>0.10460000000000003</v>
      </c>
      <c r="K47" s="54"/>
      <c r="L47" s="74" t="s">
        <v>54</v>
      </c>
      <c r="M47" s="74"/>
      <c r="N47" s="74"/>
      <c r="O47" s="13">
        <f>$AG$19-$AP$19</f>
        <v>1.4611999999999994</v>
      </c>
    </row>
    <row r="48" spans="2:44" x14ac:dyDescent="0.25">
      <c r="B48" s="71" t="s">
        <v>56</v>
      </c>
      <c r="C48" s="71"/>
      <c r="D48" s="71"/>
      <c r="E48" s="54">
        <f>SQRT($AG$24+$AJ$24)</f>
        <v>0.2330286079110013</v>
      </c>
      <c r="F48" s="54"/>
      <c r="G48" s="71" t="s">
        <v>56</v>
      </c>
      <c r="H48" s="71"/>
      <c r="I48" s="71"/>
      <c r="J48" s="54">
        <f>SQRT($AG$19+$AM$19)</f>
        <v>2.7114202920240897</v>
      </c>
      <c r="K48" s="54"/>
      <c r="L48" s="71" t="s">
        <v>56</v>
      </c>
      <c r="M48" s="71"/>
      <c r="N48" s="71"/>
      <c r="O48" s="54">
        <f>SQRT($AG$19+$AP$19)</f>
        <v>2.4485097508484626</v>
      </c>
    </row>
    <row r="49" spans="2:15" x14ac:dyDescent="0.25">
      <c r="B49" s="70" t="s">
        <v>57</v>
      </c>
      <c r="C49" s="70"/>
      <c r="D49" s="70"/>
      <c r="E49" s="50">
        <f>$AG$30-1</f>
        <v>4</v>
      </c>
      <c r="F49" s="54"/>
      <c r="G49" s="70" t="s">
        <v>57</v>
      </c>
      <c r="H49" s="70"/>
      <c r="I49" s="70"/>
      <c r="J49" s="50">
        <f>$AG$30-1</f>
        <v>4</v>
      </c>
      <c r="K49" s="54"/>
      <c r="L49" s="70" t="s">
        <v>57</v>
      </c>
      <c r="M49" s="70"/>
      <c r="N49" s="70"/>
      <c r="O49" s="50">
        <f>$AG$30-1</f>
        <v>4</v>
      </c>
    </row>
    <row r="50" spans="2:15" ht="18" x14ac:dyDescent="0.25">
      <c r="B50" s="70" t="s">
        <v>74</v>
      </c>
      <c r="C50" s="70"/>
      <c r="D50" s="70"/>
      <c r="E50" s="54">
        <v>2.1320000000000001</v>
      </c>
      <c r="F50" s="54"/>
      <c r="G50" s="70" t="s">
        <v>74</v>
      </c>
      <c r="H50" s="70"/>
      <c r="I50" s="70"/>
      <c r="J50" s="54">
        <v>2.1320000000000001</v>
      </c>
      <c r="K50" s="54"/>
      <c r="L50" s="70" t="s">
        <v>74</v>
      </c>
      <c r="M50" s="70"/>
      <c r="N50" s="70"/>
      <c r="O50" s="54">
        <v>2.1320000000000001</v>
      </c>
    </row>
    <row r="51" spans="2:15" x14ac:dyDescent="0.25">
      <c r="B51" s="70" t="s">
        <v>59</v>
      </c>
      <c r="C51" s="70"/>
      <c r="D51" s="70"/>
      <c r="E51" s="54">
        <f>E47-E50*E48</f>
        <v>0.79678300793374479</v>
      </c>
      <c r="F51" s="54"/>
      <c r="G51" s="70" t="s">
        <v>59</v>
      </c>
      <c r="H51" s="70"/>
      <c r="I51" s="70"/>
      <c r="J51" s="54">
        <f>J47-J50*J48</f>
        <v>-5.6761480625953595</v>
      </c>
      <c r="K51" s="54"/>
      <c r="L51" s="70" t="s">
        <v>59</v>
      </c>
      <c r="M51" s="70"/>
      <c r="N51" s="70"/>
      <c r="O51" s="54">
        <f>O47-O50*O48</f>
        <v>-3.7590227888089234</v>
      </c>
    </row>
    <row r="52" spans="2:15" x14ac:dyDescent="0.25">
      <c r="B52" s="70" t="s">
        <v>60</v>
      </c>
      <c r="C52" s="70"/>
      <c r="D52" s="70"/>
      <c r="E52" s="54">
        <f>E47+E50*E48</f>
        <v>1.7904169920662545</v>
      </c>
      <c r="F52" s="54"/>
      <c r="G52" s="70" t="s">
        <v>60</v>
      </c>
      <c r="H52" s="70"/>
      <c r="I52" s="70"/>
      <c r="J52" s="54">
        <f>J47+J50*J48</f>
        <v>5.8853480625953605</v>
      </c>
      <c r="K52" s="54"/>
      <c r="L52" s="70" t="s">
        <v>60</v>
      </c>
      <c r="M52" s="70"/>
      <c r="N52" s="70"/>
      <c r="O52" s="54">
        <f>O47+O50*O48</f>
        <v>6.6814227888089217</v>
      </c>
    </row>
    <row r="53" spans="2:15" ht="15.75" thickBot="1" x14ac:dyDescent="0.3">
      <c r="B53" s="25"/>
      <c r="C53" s="25"/>
      <c r="D53" s="25"/>
      <c r="E53" s="25"/>
      <c r="F53" s="54"/>
      <c r="G53" s="25"/>
      <c r="H53" s="25"/>
      <c r="I53" s="25"/>
      <c r="J53" s="25"/>
      <c r="K53" s="54"/>
      <c r="L53" s="25"/>
      <c r="M53" s="25"/>
      <c r="N53" s="25"/>
      <c r="O53" s="25"/>
    </row>
    <row r="54" spans="2:15" ht="15.75" thickBot="1" x14ac:dyDescent="0.3">
      <c r="B54" s="113" t="s">
        <v>69</v>
      </c>
      <c r="C54" s="113"/>
      <c r="D54" s="113"/>
      <c r="E54" s="113"/>
      <c r="F54" s="54"/>
      <c r="G54" s="113" t="s">
        <v>70</v>
      </c>
      <c r="H54" s="113"/>
      <c r="I54" s="113"/>
      <c r="J54" s="113"/>
      <c r="K54" s="54"/>
      <c r="L54" s="113" t="s">
        <v>71</v>
      </c>
      <c r="M54" s="113"/>
      <c r="N54" s="113"/>
      <c r="O54" s="113"/>
    </row>
    <row r="55" spans="2:15" x14ac:dyDescent="0.25">
      <c r="B55" s="74" t="s">
        <v>54</v>
      </c>
      <c r="C55" s="74"/>
      <c r="D55" s="74"/>
      <c r="E55" s="13">
        <f>$AJ$19-$AG$19</f>
        <v>-1.2935999999999996</v>
      </c>
      <c r="F55" s="54"/>
      <c r="G55" s="74" t="s">
        <v>54</v>
      </c>
      <c r="H55" s="74"/>
      <c r="I55" s="74"/>
      <c r="J55" s="13">
        <f>$AJ$19-$AM$3</f>
        <v>-1.1889999999999996</v>
      </c>
      <c r="K55" s="54"/>
      <c r="L55" s="74" t="s">
        <v>54</v>
      </c>
      <c r="M55" s="74"/>
      <c r="N55" s="74"/>
      <c r="O55" s="13">
        <f>$AJ$19-$AP$19</f>
        <v>0.16759999999999975</v>
      </c>
    </row>
    <row r="56" spans="2:15" x14ac:dyDescent="0.25">
      <c r="B56" s="71" t="s">
        <v>56</v>
      </c>
      <c r="C56" s="71"/>
      <c r="D56" s="71"/>
      <c r="E56" s="54">
        <f>SQRT($AJ$24+$AG$24)</f>
        <v>0.2330286079110013</v>
      </c>
      <c r="F56" s="54"/>
      <c r="G56" s="71" t="s">
        <v>56</v>
      </c>
      <c r="H56" s="71"/>
      <c r="I56" s="71"/>
      <c r="J56" s="54">
        <f>SQRT($AJ$24+$AM$24)</f>
        <v>0.1987450651297607</v>
      </c>
      <c r="K56" s="54"/>
      <c r="L56" s="71" t="s">
        <v>56</v>
      </c>
      <c r="M56" s="71"/>
      <c r="N56" s="71"/>
      <c r="O56" s="54">
        <f>SQRT($AJ$24+$AP$24)</f>
        <v>9.1240536342490547E-2</v>
      </c>
    </row>
    <row r="57" spans="2:15" x14ac:dyDescent="0.25">
      <c r="B57" s="70" t="s">
        <v>57</v>
      </c>
      <c r="C57" s="70"/>
      <c r="D57" s="70"/>
      <c r="E57" s="50">
        <f>$AJ$30-1</f>
        <v>4</v>
      </c>
      <c r="F57" s="54"/>
      <c r="G57" s="70" t="s">
        <v>57</v>
      </c>
      <c r="H57" s="70"/>
      <c r="I57" s="70"/>
      <c r="J57" s="50">
        <f>$AJ$30-1</f>
        <v>4</v>
      </c>
      <c r="K57" s="54"/>
      <c r="L57" s="70" t="s">
        <v>57</v>
      </c>
      <c r="M57" s="70"/>
      <c r="N57" s="70"/>
      <c r="O57" s="50">
        <f>$AJ$30-1</f>
        <v>4</v>
      </c>
    </row>
    <row r="58" spans="2:15" ht="18" x14ac:dyDescent="0.25">
      <c r="B58" s="70" t="s">
        <v>74</v>
      </c>
      <c r="C58" s="70"/>
      <c r="D58" s="70"/>
      <c r="E58" s="54">
        <v>2.1320000000000001</v>
      </c>
      <c r="F58" s="54"/>
      <c r="G58" s="70" t="s">
        <v>74</v>
      </c>
      <c r="H58" s="70"/>
      <c r="I58" s="70"/>
      <c r="J58" s="54">
        <v>2.1320000000000001</v>
      </c>
      <c r="K58" s="54"/>
      <c r="L58" s="70" t="s">
        <v>74</v>
      </c>
      <c r="M58" s="70"/>
      <c r="N58" s="70"/>
      <c r="O58" s="54">
        <v>2.1320000000000001</v>
      </c>
    </row>
    <row r="59" spans="2:15" x14ac:dyDescent="0.25">
      <c r="B59" s="70" t="s">
        <v>59</v>
      </c>
      <c r="C59" s="70"/>
      <c r="D59" s="70"/>
      <c r="E59" s="54">
        <f>E55-E58*E56</f>
        <v>-1.7904169920662545</v>
      </c>
      <c r="F59" s="54"/>
      <c r="G59" s="70" t="s">
        <v>59</v>
      </c>
      <c r="H59" s="70"/>
      <c r="I59" s="70"/>
      <c r="J59" s="54">
        <f>J55-J58*J56</f>
        <v>-1.6127244788566495</v>
      </c>
      <c r="K59" s="54"/>
      <c r="L59" s="70" t="s">
        <v>59</v>
      </c>
      <c r="M59" s="70"/>
      <c r="N59" s="70"/>
      <c r="O59" s="54">
        <f>O55-O58*O56</f>
        <v>-2.6924823482190108E-2</v>
      </c>
    </row>
    <row r="60" spans="2:15" x14ac:dyDescent="0.25">
      <c r="B60" s="70" t="s">
        <v>60</v>
      </c>
      <c r="C60" s="70"/>
      <c r="D60" s="70"/>
      <c r="E60" s="54">
        <f>E55+E58*E56</f>
        <v>-0.79678300793374479</v>
      </c>
      <c r="F60" s="54"/>
      <c r="G60" s="70" t="s">
        <v>60</v>
      </c>
      <c r="H60" s="70"/>
      <c r="I60" s="70"/>
      <c r="J60" s="54">
        <f>J55+J58*J56</f>
        <v>-0.76527552114334974</v>
      </c>
      <c r="K60" s="54"/>
      <c r="L60" s="70" t="s">
        <v>60</v>
      </c>
      <c r="M60" s="70"/>
      <c r="N60" s="70"/>
      <c r="O60" s="54">
        <f>O55+O58*O56</f>
        <v>0.36212482348218961</v>
      </c>
    </row>
    <row r="61" spans="2:15" ht="15.75" thickBot="1" x14ac:dyDescent="0.3">
      <c r="B61" s="25"/>
      <c r="C61" s="25"/>
      <c r="D61" s="25"/>
      <c r="E61" s="25"/>
      <c r="F61" s="54"/>
      <c r="G61" s="25"/>
      <c r="H61" s="25"/>
      <c r="I61" s="25"/>
      <c r="J61" s="25"/>
      <c r="K61" s="54"/>
      <c r="L61" s="25"/>
      <c r="M61" s="25"/>
      <c r="N61" s="25"/>
      <c r="O61" s="25"/>
    </row>
    <row r="62" spans="2:15" ht="15.75" thickBot="1" x14ac:dyDescent="0.3">
      <c r="B62" s="113" t="s">
        <v>72</v>
      </c>
      <c r="C62" s="113"/>
      <c r="D62" s="113"/>
      <c r="E62" s="113"/>
      <c r="F62" s="54"/>
      <c r="G62" s="113" t="s">
        <v>73</v>
      </c>
      <c r="H62" s="113"/>
      <c r="I62" s="113"/>
      <c r="J62" s="113"/>
      <c r="K62" s="54"/>
      <c r="L62" s="113" t="s">
        <v>75</v>
      </c>
      <c r="M62" s="113"/>
      <c r="N62" s="113"/>
      <c r="O62" s="113"/>
    </row>
    <row r="63" spans="2:15" x14ac:dyDescent="0.25">
      <c r="B63" s="74" t="s">
        <v>54</v>
      </c>
      <c r="C63" s="74"/>
      <c r="D63" s="74"/>
      <c r="E63" s="13">
        <f>$AM$19-$AG$19</f>
        <v>-0.10460000000000003</v>
      </c>
      <c r="F63" s="54"/>
      <c r="G63" s="74" t="s">
        <v>54</v>
      </c>
      <c r="H63" s="74"/>
      <c r="I63" s="74"/>
      <c r="J63" s="13">
        <f>$AM$19-$AJ$19</f>
        <v>1.1889999999999996</v>
      </c>
      <c r="K63" s="54"/>
      <c r="L63" s="74" t="s">
        <v>54</v>
      </c>
      <c r="M63" s="74"/>
      <c r="N63" s="74"/>
      <c r="O63" s="13">
        <f>$AM$19-$AP$19</f>
        <v>1.3565999999999994</v>
      </c>
    </row>
    <row r="64" spans="2:15" x14ac:dyDescent="0.25">
      <c r="B64" s="71" t="s">
        <v>56</v>
      </c>
      <c r="C64" s="71"/>
      <c r="D64" s="71"/>
      <c r="E64" s="54">
        <f>SQRT($AM$24+$AG$24)</f>
        <v>0.2927112302532523</v>
      </c>
      <c r="F64" s="54"/>
      <c r="G64" s="71" t="s">
        <v>56</v>
      </c>
      <c r="H64" s="71"/>
      <c r="I64" s="71"/>
      <c r="J64" s="54">
        <f>SQRT($AM$24+$AJ$24)</f>
        <v>0.1987450651297607</v>
      </c>
      <c r="K64" s="54"/>
      <c r="L64" s="71" t="s">
        <v>56</v>
      </c>
      <c r="M64" s="71"/>
      <c r="N64" s="71"/>
      <c r="O64" s="54">
        <f>SQRT($AM$24+$AP$24)</f>
        <v>0.19925452989455131</v>
      </c>
    </row>
    <row r="65" spans="2:15" x14ac:dyDescent="0.25">
      <c r="B65" s="70" t="s">
        <v>57</v>
      </c>
      <c r="C65" s="70"/>
      <c r="D65" s="70"/>
      <c r="E65" s="50">
        <f>$AM$30-1</f>
        <v>4</v>
      </c>
      <c r="F65" s="54"/>
      <c r="G65" s="70" t="s">
        <v>57</v>
      </c>
      <c r="H65" s="70"/>
      <c r="I65" s="70"/>
      <c r="J65" s="50">
        <f>$AM$30-1</f>
        <v>4</v>
      </c>
      <c r="K65" s="54"/>
      <c r="L65" s="70" t="s">
        <v>57</v>
      </c>
      <c r="M65" s="70"/>
      <c r="N65" s="70"/>
      <c r="O65" s="50">
        <f>$AM$30-1</f>
        <v>4</v>
      </c>
    </row>
    <row r="66" spans="2:15" ht="18" x14ac:dyDescent="0.25">
      <c r="B66" s="70" t="s">
        <v>74</v>
      </c>
      <c r="C66" s="70"/>
      <c r="D66" s="70"/>
      <c r="E66" s="54">
        <v>2.1320000000000001</v>
      </c>
      <c r="F66" s="54"/>
      <c r="G66" s="70" t="s">
        <v>74</v>
      </c>
      <c r="H66" s="70"/>
      <c r="I66" s="70"/>
      <c r="J66" s="54">
        <v>2.1320000000000001</v>
      </c>
      <c r="K66" s="54"/>
      <c r="L66" s="70" t="s">
        <v>74</v>
      </c>
      <c r="M66" s="70"/>
      <c r="N66" s="70"/>
      <c r="O66" s="54">
        <v>2.1320000000000001</v>
      </c>
    </row>
    <row r="67" spans="2:15" x14ac:dyDescent="0.25">
      <c r="B67" s="70" t="s">
        <v>59</v>
      </c>
      <c r="C67" s="70"/>
      <c r="D67" s="70"/>
      <c r="E67" s="54">
        <f>E63-E66*E64</f>
        <v>-0.72866034289993398</v>
      </c>
      <c r="F67" s="54"/>
      <c r="G67" s="70" t="s">
        <v>59</v>
      </c>
      <c r="H67" s="70"/>
      <c r="I67" s="70"/>
      <c r="J67" s="54">
        <f>J63-J66*J64</f>
        <v>0.76527552114334974</v>
      </c>
      <c r="K67" s="54"/>
      <c r="L67" s="70" t="s">
        <v>59</v>
      </c>
      <c r="M67" s="70"/>
      <c r="N67" s="70"/>
      <c r="O67" s="54">
        <f>O63-O66*O64</f>
        <v>0.93178934226481602</v>
      </c>
    </row>
    <row r="68" spans="2:15" x14ac:dyDescent="0.25">
      <c r="B68" s="70" t="s">
        <v>60</v>
      </c>
      <c r="C68" s="70"/>
      <c r="D68" s="70"/>
      <c r="E68" s="54">
        <f>E63+E66*E64</f>
        <v>0.51946034289993392</v>
      </c>
      <c r="F68" s="54"/>
      <c r="G68" s="70" t="s">
        <v>60</v>
      </c>
      <c r="H68" s="70"/>
      <c r="I68" s="70"/>
      <c r="J68" s="54">
        <f>J63+J66*J64</f>
        <v>1.6127244788566495</v>
      </c>
      <c r="K68" s="54"/>
      <c r="L68" s="70" t="s">
        <v>60</v>
      </c>
      <c r="M68" s="70"/>
      <c r="N68" s="70"/>
      <c r="O68" s="54">
        <f>O63+O66*O64</f>
        <v>1.7814106577351827</v>
      </c>
    </row>
    <row r="69" spans="2:15" ht="15.75" thickBot="1" x14ac:dyDescent="0.3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2:15" ht="15.75" thickBot="1" x14ac:dyDescent="0.3">
      <c r="B70" s="116" t="s">
        <v>53</v>
      </c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</row>
    <row r="71" spans="2:15" ht="15.75" thickBot="1" x14ac:dyDescent="0.3">
      <c r="B71" s="117" t="s">
        <v>66</v>
      </c>
      <c r="C71" s="117"/>
      <c r="D71" s="117"/>
      <c r="E71" s="117"/>
      <c r="F71" s="54"/>
      <c r="G71" s="117" t="s">
        <v>67</v>
      </c>
      <c r="H71" s="117"/>
      <c r="I71" s="117"/>
      <c r="J71" s="117"/>
      <c r="K71" s="54"/>
      <c r="L71" s="117" t="s">
        <v>68</v>
      </c>
      <c r="M71" s="117"/>
      <c r="N71" s="117"/>
      <c r="O71" s="117"/>
    </row>
    <row r="72" spans="2:15" x14ac:dyDescent="0.25">
      <c r="B72" s="74" t="s">
        <v>54</v>
      </c>
      <c r="C72" s="74"/>
      <c r="D72" s="74"/>
      <c r="E72" s="13">
        <f>$AG$35-$AJ$35</f>
        <v>95.15979999999999</v>
      </c>
      <c r="F72" s="54"/>
      <c r="G72" s="74" t="s">
        <v>54</v>
      </c>
      <c r="H72" s="74"/>
      <c r="I72" s="74"/>
      <c r="J72" s="13">
        <f>$AG$35-$AM$35</f>
        <v>193.03859999999997</v>
      </c>
      <c r="K72" s="54"/>
      <c r="L72" s="74" t="s">
        <v>54</v>
      </c>
      <c r="M72" s="74"/>
      <c r="N72" s="74"/>
      <c r="O72" s="13">
        <f>$AG$35-$AP$35</f>
        <v>106.45719999999994</v>
      </c>
    </row>
    <row r="73" spans="2:15" x14ac:dyDescent="0.25">
      <c r="B73" s="71" t="s">
        <v>56</v>
      </c>
      <c r="C73" s="71"/>
      <c r="D73" s="71"/>
      <c r="E73" s="54">
        <f>SQRT($AG$40+$AJ$40)</f>
        <v>2.1232602316396125</v>
      </c>
      <c r="F73" s="54"/>
      <c r="G73" s="71" t="s">
        <v>56</v>
      </c>
      <c r="H73" s="71"/>
      <c r="I73" s="71"/>
      <c r="J73" s="54">
        <f>SQRT($AG$40+$AM$40)</f>
        <v>1.8636852401210346</v>
      </c>
      <c r="K73" s="54"/>
      <c r="L73" s="71" t="s">
        <v>56</v>
      </c>
      <c r="M73" s="71"/>
      <c r="N73" s="71"/>
      <c r="O73" s="54">
        <f>SQRT($AG$40+$AP$40)</f>
        <v>1.9297520728267616</v>
      </c>
    </row>
    <row r="74" spans="2:15" x14ac:dyDescent="0.25">
      <c r="B74" s="70" t="s">
        <v>57</v>
      </c>
      <c r="C74" s="70"/>
      <c r="D74" s="70"/>
      <c r="E74" s="50">
        <f>$AG$30-1</f>
        <v>4</v>
      </c>
      <c r="F74" s="54"/>
      <c r="G74" s="70" t="s">
        <v>57</v>
      </c>
      <c r="H74" s="70"/>
      <c r="I74" s="70"/>
      <c r="J74" s="50">
        <f>$AG$30-1</f>
        <v>4</v>
      </c>
      <c r="K74" s="54"/>
      <c r="L74" s="70" t="s">
        <v>57</v>
      </c>
      <c r="M74" s="70"/>
      <c r="N74" s="70"/>
      <c r="O74" s="50">
        <f>$AG$30-1</f>
        <v>4</v>
      </c>
    </row>
    <row r="75" spans="2:15" ht="18" x14ac:dyDescent="0.25">
      <c r="B75" s="70" t="s">
        <v>74</v>
      </c>
      <c r="C75" s="70"/>
      <c r="D75" s="70"/>
      <c r="E75" s="54">
        <v>2.1320000000000001</v>
      </c>
      <c r="F75" s="54"/>
      <c r="G75" s="70" t="s">
        <v>74</v>
      </c>
      <c r="H75" s="70"/>
      <c r="I75" s="70"/>
      <c r="J75" s="54">
        <v>2.1320000000000001</v>
      </c>
      <c r="K75" s="54"/>
      <c r="L75" s="70" t="s">
        <v>74</v>
      </c>
      <c r="M75" s="70"/>
      <c r="N75" s="70"/>
      <c r="O75" s="54">
        <v>2.1320000000000001</v>
      </c>
    </row>
    <row r="76" spans="2:15" x14ac:dyDescent="0.25">
      <c r="B76" s="70" t="s">
        <v>59</v>
      </c>
      <c r="C76" s="70"/>
      <c r="D76" s="70"/>
      <c r="E76" s="54">
        <f>E72-E75*E73</f>
        <v>90.633009186144335</v>
      </c>
      <c r="F76" s="54"/>
      <c r="G76" s="70" t="s">
        <v>59</v>
      </c>
      <c r="H76" s="70"/>
      <c r="I76" s="70"/>
      <c r="J76" s="54">
        <f>J72-J75*J73</f>
        <v>189.06522306806193</v>
      </c>
      <c r="K76" s="54"/>
      <c r="L76" s="70" t="s">
        <v>59</v>
      </c>
      <c r="M76" s="70"/>
      <c r="N76" s="70"/>
      <c r="O76" s="54">
        <f>O72-O75*O73</f>
        <v>102.34296858073328</v>
      </c>
    </row>
    <row r="77" spans="2:15" x14ac:dyDescent="0.25">
      <c r="B77" s="70" t="s">
        <v>60</v>
      </c>
      <c r="C77" s="70"/>
      <c r="D77" s="70"/>
      <c r="E77" s="54">
        <f>E72+E75*E73</f>
        <v>99.686590813855645</v>
      </c>
      <c r="F77" s="54"/>
      <c r="G77" s="70" t="s">
        <v>60</v>
      </c>
      <c r="H77" s="70"/>
      <c r="I77" s="70"/>
      <c r="J77" s="54">
        <f>J72+J75*J73</f>
        <v>197.01197693193802</v>
      </c>
      <c r="K77" s="54"/>
      <c r="L77" s="70" t="s">
        <v>60</v>
      </c>
      <c r="M77" s="70"/>
      <c r="N77" s="70"/>
      <c r="O77" s="54">
        <f>O72+O75*O73</f>
        <v>110.5714314192666</v>
      </c>
    </row>
    <row r="78" spans="2:15" ht="15.75" thickBot="1" x14ac:dyDescent="0.3">
      <c r="B78" s="25"/>
      <c r="C78" s="25"/>
      <c r="D78" s="25"/>
      <c r="E78" s="25"/>
      <c r="F78" s="54"/>
      <c r="G78" s="25"/>
      <c r="H78" s="25"/>
      <c r="I78" s="25"/>
      <c r="J78" s="25"/>
      <c r="K78" s="54"/>
      <c r="L78" s="25"/>
      <c r="M78" s="25"/>
      <c r="N78" s="25"/>
      <c r="O78" s="25"/>
    </row>
    <row r="79" spans="2:15" ht="15.75" thickBot="1" x14ac:dyDescent="0.3">
      <c r="B79" s="117" t="s">
        <v>69</v>
      </c>
      <c r="C79" s="117"/>
      <c r="D79" s="117"/>
      <c r="E79" s="117"/>
      <c r="F79" s="54"/>
      <c r="G79" s="117" t="s">
        <v>70</v>
      </c>
      <c r="H79" s="117"/>
      <c r="I79" s="117"/>
      <c r="J79" s="117"/>
      <c r="K79" s="54"/>
      <c r="L79" s="117" t="s">
        <v>71</v>
      </c>
      <c r="M79" s="117"/>
      <c r="N79" s="117"/>
      <c r="O79" s="117"/>
    </row>
    <row r="80" spans="2:15" x14ac:dyDescent="0.25">
      <c r="B80" s="74" t="s">
        <v>54</v>
      </c>
      <c r="C80" s="74"/>
      <c r="D80" s="74"/>
      <c r="E80" s="13">
        <f>$AJ$35-$AG$35</f>
        <v>-95.15979999999999</v>
      </c>
      <c r="F80" s="54"/>
      <c r="G80" s="74" t="s">
        <v>54</v>
      </c>
      <c r="H80" s="74"/>
      <c r="I80" s="74"/>
      <c r="J80" s="13">
        <f>$AJ$35-$AM$35</f>
        <v>97.878799999999998</v>
      </c>
      <c r="K80" s="54"/>
      <c r="L80" s="74" t="s">
        <v>54</v>
      </c>
      <c r="M80" s="74"/>
      <c r="N80" s="74"/>
      <c r="O80" s="13">
        <f>$AJ$35-$AP$35</f>
        <v>11.297399999999953</v>
      </c>
    </row>
    <row r="81" spans="2:15" x14ac:dyDescent="0.25">
      <c r="B81" s="71" t="s">
        <v>56</v>
      </c>
      <c r="C81" s="71"/>
      <c r="D81" s="71"/>
      <c r="E81" s="54">
        <f>SQRT($AJ$40+$AG$40)</f>
        <v>2.1232602316396125</v>
      </c>
      <c r="F81" s="54"/>
      <c r="G81" s="71" t="s">
        <v>56</v>
      </c>
      <c r="H81" s="71"/>
      <c r="I81" s="71"/>
      <c r="J81" s="54">
        <f>SQRT($AJ$40+$AM$40)</f>
        <v>1.5044534681147725</v>
      </c>
      <c r="K81" s="54"/>
      <c r="L81" s="71" t="s">
        <v>56</v>
      </c>
      <c r="M81" s="71"/>
      <c r="N81" s="71"/>
      <c r="O81" s="54">
        <f>SQRT($AJ$40+$AP$40)</f>
        <v>1.5855600354627859</v>
      </c>
    </row>
    <row r="82" spans="2:15" x14ac:dyDescent="0.25">
      <c r="B82" s="70" t="s">
        <v>57</v>
      </c>
      <c r="C82" s="70"/>
      <c r="D82" s="70"/>
      <c r="E82" s="50">
        <f>$AJ$30-1</f>
        <v>4</v>
      </c>
      <c r="F82" s="54"/>
      <c r="G82" s="70" t="s">
        <v>57</v>
      </c>
      <c r="H82" s="70"/>
      <c r="I82" s="70"/>
      <c r="J82" s="50">
        <f>$AJ$30-1</f>
        <v>4</v>
      </c>
      <c r="K82" s="54"/>
      <c r="L82" s="70" t="s">
        <v>57</v>
      </c>
      <c r="M82" s="70"/>
      <c r="N82" s="70"/>
      <c r="O82" s="50">
        <f>$AJ$30-1</f>
        <v>4</v>
      </c>
    </row>
    <row r="83" spans="2:15" ht="18" x14ac:dyDescent="0.25">
      <c r="B83" s="70" t="s">
        <v>74</v>
      </c>
      <c r="C83" s="70"/>
      <c r="D83" s="70"/>
      <c r="E83" s="54">
        <v>2.1320000000000001</v>
      </c>
      <c r="F83" s="54"/>
      <c r="G83" s="70" t="s">
        <v>74</v>
      </c>
      <c r="H83" s="70"/>
      <c r="I83" s="70"/>
      <c r="J83" s="54">
        <v>2.1320000000000001</v>
      </c>
      <c r="K83" s="54"/>
      <c r="L83" s="70" t="s">
        <v>74</v>
      </c>
      <c r="M83" s="70"/>
      <c r="N83" s="70"/>
      <c r="O83" s="54">
        <v>2.1320000000000001</v>
      </c>
    </row>
    <row r="84" spans="2:15" x14ac:dyDescent="0.25">
      <c r="B84" s="70" t="s">
        <v>59</v>
      </c>
      <c r="C84" s="70"/>
      <c r="D84" s="70"/>
      <c r="E84" s="54">
        <f>E80-E83*E81</f>
        <v>-99.686590813855645</v>
      </c>
      <c r="F84" s="54"/>
      <c r="G84" s="70" t="s">
        <v>59</v>
      </c>
      <c r="H84" s="70"/>
      <c r="I84" s="70"/>
      <c r="J84" s="54">
        <f>J80-J83*J81</f>
        <v>94.671305205979309</v>
      </c>
      <c r="K84" s="54"/>
      <c r="L84" s="70" t="s">
        <v>59</v>
      </c>
      <c r="M84" s="70"/>
      <c r="N84" s="70"/>
      <c r="O84" s="54">
        <f>O80-O83*O81</f>
        <v>7.9169860043932943</v>
      </c>
    </row>
    <row r="85" spans="2:15" x14ac:dyDescent="0.25">
      <c r="B85" s="70" t="s">
        <v>60</v>
      </c>
      <c r="C85" s="70"/>
      <c r="D85" s="70"/>
      <c r="E85" s="54">
        <f>E80+E83*E81</f>
        <v>-90.633009186144335</v>
      </c>
      <c r="F85" s="54"/>
      <c r="G85" s="70" t="s">
        <v>60</v>
      </c>
      <c r="H85" s="70"/>
      <c r="I85" s="70"/>
      <c r="J85" s="54">
        <f>J80+J83*J81</f>
        <v>101.08629479402069</v>
      </c>
      <c r="K85" s="54"/>
      <c r="L85" s="70" t="s">
        <v>60</v>
      </c>
      <c r="M85" s="70"/>
      <c r="N85" s="70"/>
      <c r="O85" s="54">
        <f>O80+O83*O81</f>
        <v>14.677813995606613</v>
      </c>
    </row>
    <row r="86" spans="2:15" ht="15.75" thickBot="1" x14ac:dyDescent="0.3">
      <c r="B86" s="25"/>
      <c r="C86" s="25"/>
      <c r="D86" s="25"/>
      <c r="E86" s="25"/>
      <c r="F86" s="54"/>
      <c r="G86" s="25"/>
      <c r="H86" s="25"/>
      <c r="I86" s="25"/>
      <c r="J86" s="25"/>
      <c r="K86" s="54"/>
      <c r="L86" s="25"/>
      <c r="M86" s="25"/>
      <c r="N86" s="25"/>
      <c r="O86" s="25"/>
    </row>
    <row r="87" spans="2:15" ht="15.75" thickBot="1" x14ac:dyDescent="0.3">
      <c r="B87" s="117" t="s">
        <v>72</v>
      </c>
      <c r="C87" s="117"/>
      <c r="D87" s="117"/>
      <c r="E87" s="117"/>
      <c r="F87" s="54"/>
      <c r="G87" s="117" t="s">
        <v>73</v>
      </c>
      <c r="H87" s="117"/>
      <c r="I87" s="117"/>
      <c r="J87" s="117"/>
      <c r="K87" s="54"/>
      <c r="L87" s="117" t="s">
        <v>75</v>
      </c>
      <c r="M87" s="117"/>
      <c r="N87" s="117"/>
      <c r="O87" s="117"/>
    </row>
    <row r="88" spans="2:15" x14ac:dyDescent="0.25">
      <c r="B88" s="74" t="s">
        <v>54</v>
      </c>
      <c r="C88" s="74"/>
      <c r="D88" s="74"/>
      <c r="E88" s="13">
        <f>$AM$35-$AG$35</f>
        <v>-193.03859999999997</v>
      </c>
      <c r="F88" s="54"/>
      <c r="G88" s="74" t="s">
        <v>54</v>
      </c>
      <c r="H88" s="74"/>
      <c r="I88" s="74"/>
      <c r="J88" s="13">
        <f>$AM$35-$AJ$35</f>
        <v>-97.878799999999998</v>
      </c>
      <c r="K88" s="54"/>
      <c r="L88" s="74" t="s">
        <v>54</v>
      </c>
      <c r="M88" s="74"/>
      <c r="N88" s="74"/>
      <c r="O88" s="13">
        <f>$AM$35-$AP$35</f>
        <v>-86.581400000000045</v>
      </c>
    </row>
    <row r="89" spans="2:15" x14ac:dyDescent="0.25">
      <c r="B89" s="71" t="s">
        <v>56</v>
      </c>
      <c r="C89" s="71"/>
      <c r="D89" s="71"/>
      <c r="E89" s="54">
        <f>SQRT($AM$40+$AG$40)</f>
        <v>1.8636852401210346</v>
      </c>
      <c r="F89" s="54"/>
      <c r="G89" s="71" t="s">
        <v>56</v>
      </c>
      <c r="H89" s="71"/>
      <c r="I89" s="71"/>
      <c r="J89" s="54">
        <f>SQRT($AM$40+$AJ$40)</f>
        <v>1.5044534681147725</v>
      </c>
      <c r="K89" s="54"/>
      <c r="L89" s="71" t="s">
        <v>56</v>
      </c>
      <c r="M89" s="71"/>
      <c r="N89" s="71"/>
      <c r="O89" s="54">
        <f>SQRT($AM$40+$AP$40)</f>
        <v>1.2161781485618994</v>
      </c>
    </row>
    <row r="90" spans="2:15" x14ac:dyDescent="0.25">
      <c r="B90" s="70" t="s">
        <v>57</v>
      </c>
      <c r="C90" s="70"/>
      <c r="D90" s="70"/>
      <c r="E90" s="50">
        <f>$AM$30-1</f>
        <v>4</v>
      </c>
      <c r="F90" s="54"/>
      <c r="G90" s="70" t="s">
        <v>57</v>
      </c>
      <c r="H90" s="70"/>
      <c r="I90" s="70"/>
      <c r="J90" s="50">
        <f>$AM$30-1</f>
        <v>4</v>
      </c>
      <c r="K90" s="54"/>
      <c r="L90" s="70" t="s">
        <v>57</v>
      </c>
      <c r="M90" s="70"/>
      <c r="N90" s="70"/>
      <c r="O90" s="50">
        <f>$AM$30-1</f>
        <v>4</v>
      </c>
    </row>
    <row r="91" spans="2:15" ht="18" x14ac:dyDescent="0.25">
      <c r="B91" s="70" t="s">
        <v>74</v>
      </c>
      <c r="C91" s="70"/>
      <c r="D91" s="70"/>
      <c r="E91" s="54">
        <v>2.1320000000000001</v>
      </c>
      <c r="F91" s="54"/>
      <c r="G91" s="70" t="s">
        <v>74</v>
      </c>
      <c r="H91" s="70"/>
      <c r="I91" s="70"/>
      <c r="J91" s="54">
        <v>2.1320000000000001</v>
      </c>
      <c r="K91" s="54"/>
      <c r="L91" s="70" t="s">
        <v>74</v>
      </c>
      <c r="M91" s="70"/>
      <c r="N91" s="70"/>
      <c r="O91" s="54">
        <v>2.1320000000000001</v>
      </c>
    </row>
    <row r="92" spans="2:15" x14ac:dyDescent="0.25">
      <c r="B92" s="70" t="s">
        <v>59</v>
      </c>
      <c r="C92" s="70"/>
      <c r="D92" s="70"/>
      <c r="E92" s="54">
        <f>E88-E91*E89</f>
        <v>-197.01197693193802</v>
      </c>
      <c r="F92" s="54"/>
      <c r="G92" s="70" t="s">
        <v>59</v>
      </c>
      <c r="H92" s="70"/>
      <c r="I92" s="70"/>
      <c r="J92" s="54">
        <f>J88-J91*J89</f>
        <v>-101.08629479402069</v>
      </c>
      <c r="K92" s="54"/>
      <c r="L92" s="70" t="s">
        <v>59</v>
      </c>
      <c r="M92" s="70"/>
      <c r="N92" s="70"/>
      <c r="O92" s="54">
        <f>O88-O91*O89</f>
        <v>-89.174291812734012</v>
      </c>
    </row>
    <row r="93" spans="2:15" x14ac:dyDescent="0.25">
      <c r="B93" s="70" t="s">
        <v>60</v>
      </c>
      <c r="C93" s="70"/>
      <c r="D93" s="70"/>
      <c r="E93" s="54">
        <f>E88+E91*E89</f>
        <v>-189.06522306806193</v>
      </c>
      <c r="F93" s="54"/>
      <c r="G93" s="70" t="s">
        <v>60</v>
      </c>
      <c r="H93" s="70"/>
      <c r="I93" s="70"/>
      <c r="J93" s="54">
        <f>J88+J91*J89</f>
        <v>-94.671305205979309</v>
      </c>
      <c r="K93" s="54"/>
      <c r="L93" s="70" t="s">
        <v>60</v>
      </c>
      <c r="M93" s="70"/>
      <c r="N93" s="70"/>
      <c r="O93" s="54">
        <f>O88+O91*O89</f>
        <v>-83.988508187266078</v>
      </c>
    </row>
    <row r="96" spans="2:15" x14ac:dyDescent="0.25">
      <c r="E96" s="54"/>
    </row>
  </sheetData>
  <mergeCells count="230">
    <mergeCell ref="B92:D92"/>
    <mergeCell ref="G92:I92"/>
    <mergeCell ref="L92:N92"/>
    <mergeCell ref="B93:D93"/>
    <mergeCell ref="G93:I93"/>
    <mergeCell ref="L93:N93"/>
    <mergeCell ref="B90:D90"/>
    <mergeCell ref="G90:I90"/>
    <mergeCell ref="L90:N90"/>
    <mergeCell ref="B91:D91"/>
    <mergeCell ref="G91:I91"/>
    <mergeCell ref="L91:N91"/>
    <mergeCell ref="B88:D88"/>
    <mergeCell ref="G88:I88"/>
    <mergeCell ref="L88:N88"/>
    <mergeCell ref="B89:D89"/>
    <mergeCell ref="G89:I89"/>
    <mergeCell ref="L89:N89"/>
    <mergeCell ref="B85:D85"/>
    <mergeCell ref="G85:I85"/>
    <mergeCell ref="L85:N85"/>
    <mergeCell ref="B87:E87"/>
    <mergeCell ref="G87:J87"/>
    <mergeCell ref="L87:O87"/>
    <mergeCell ref="B83:D83"/>
    <mergeCell ref="G83:I83"/>
    <mergeCell ref="L83:N83"/>
    <mergeCell ref="B84:D84"/>
    <mergeCell ref="G84:I84"/>
    <mergeCell ref="L84:N84"/>
    <mergeCell ref="B81:D81"/>
    <mergeCell ref="G81:I81"/>
    <mergeCell ref="L81:N81"/>
    <mergeCell ref="B82:D82"/>
    <mergeCell ref="G82:I82"/>
    <mergeCell ref="L82:N82"/>
    <mergeCell ref="B79:E79"/>
    <mergeCell ref="G79:J79"/>
    <mergeCell ref="L79:O79"/>
    <mergeCell ref="B80:D80"/>
    <mergeCell ref="G80:I80"/>
    <mergeCell ref="L80:N80"/>
    <mergeCell ref="B76:D76"/>
    <mergeCell ref="G76:I76"/>
    <mergeCell ref="L76:N76"/>
    <mergeCell ref="B77:D77"/>
    <mergeCell ref="G77:I77"/>
    <mergeCell ref="L77:N77"/>
    <mergeCell ref="B74:D74"/>
    <mergeCell ref="G74:I74"/>
    <mergeCell ref="L74:N74"/>
    <mergeCell ref="B75:D75"/>
    <mergeCell ref="G75:I75"/>
    <mergeCell ref="L75:N75"/>
    <mergeCell ref="B72:D72"/>
    <mergeCell ref="G72:I72"/>
    <mergeCell ref="L72:N72"/>
    <mergeCell ref="B73:D73"/>
    <mergeCell ref="G73:I73"/>
    <mergeCell ref="L73:N73"/>
    <mergeCell ref="B68:D68"/>
    <mergeCell ref="G68:I68"/>
    <mergeCell ref="L68:N68"/>
    <mergeCell ref="B70:O70"/>
    <mergeCell ref="B71:E71"/>
    <mergeCell ref="G71:J71"/>
    <mergeCell ref="L71:O71"/>
    <mergeCell ref="B66:D66"/>
    <mergeCell ref="G66:I66"/>
    <mergeCell ref="L66:N66"/>
    <mergeCell ref="B67:D67"/>
    <mergeCell ref="G67:I67"/>
    <mergeCell ref="L67:N67"/>
    <mergeCell ref="B64:D64"/>
    <mergeCell ref="G64:I64"/>
    <mergeCell ref="L64:N64"/>
    <mergeCell ref="B65:D65"/>
    <mergeCell ref="G65:I65"/>
    <mergeCell ref="L65:N65"/>
    <mergeCell ref="B62:E62"/>
    <mergeCell ref="G62:J62"/>
    <mergeCell ref="L62:O62"/>
    <mergeCell ref="B63:D63"/>
    <mergeCell ref="G63:I63"/>
    <mergeCell ref="L63:N63"/>
    <mergeCell ref="B59:D59"/>
    <mergeCell ref="G59:I59"/>
    <mergeCell ref="L59:N59"/>
    <mergeCell ref="B60:D60"/>
    <mergeCell ref="G60:I60"/>
    <mergeCell ref="L60:N60"/>
    <mergeCell ref="B57:D57"/>
    <mergeCell ref="G57:I57"/>
    <mergeCell ref="L57:N57"/>
    <mergeCell ref="B58:D58"/>
    <mergeCell ref="G58:I58"/>
    <mergeCell ref="L58:N58"/>
    <mergeCell ref="B55:D55"/>
    <mergeCell ref="G55:I55"/>
    <mergeCell ref="L55:N55"/>
    <mergeCell ref="B56:D56"/>
    <mergeCell ref="G56:I56"/>
    <mergeCell ref="L56:N56"/>
    <mergeCell ref="B52:D52"/>
    <mergeCell ref="G52:I52"/>
    <mergeCell ref="L52:N52"/>
    <mergeCell ref="B54:E54"/>
    <mergeCell ref="G54:J54"/>
    <mergeCell ref="L54:O54"/>
    <mergeCell ref="B50:D50"/>
    <mergeCell ref="G50:I50"/>
    <mergeCell ref="L50:N50"/>
    <mergeCell ref="B51:D51"/>
    <mergeCell ref="G51:I51"/>
    <mergeCell ref="L51:N51"/>
    <mergeCell ref="B48:D48"/>
    <mergeCell ref="G48:I48"/>
    <mergeCell ref="L48:N48"/>
    <mergeCell ref="B49:D49"/>
    <mergeCell ref="G49:I49"/>
    <mergeCell ref="L49:N49"/>
    <mergeCell ref="B47:D47"/>
    <mergeCell ref="G47:I47"/>
    <mergeCell ref="L47:N47"/>
    <mergeCell ref="L40:N40"/>
    <mergeCell ref="L41:N41"/>
    <mergeCell ref="L42:N42"/>
    <mergeCell ref="L43:N43"/>
    <mergeCell ref="B45:O45"/>
    <mergeCell ref="B40:D40"/>
    <mergeCell ref="B41:D41"/>
    <mergeCell ref="B42:D42"/>
    <mergeCell ref="B43:D43"/>
    <mergeCell ref="G38:I38"/>
    <mergeCell ref="G39:I39"/>
    <mergeCell ref="G40:I40"/>
    <mergeCell ref="G41:I41"/>
    <mergeCell ref="G42:I42"/>
    <mergeCell ref="G43:I43"/>
    <mergeCell ref="L34:N34"/>
    <mergeCell ref="L35:N35"/>
    <mergeCell ref="B46:E46"/>
    <mergeCell ref="G46:J46"/>
    <mergeCell ref="L46:O46"/>
    <mergeCell ref="B38:D38"/>
    <mergeCell ref="B39:D39"/>
    <mergeCell ref="L37:O37"/>
    <mergeCell ref="L38:N38"/>
    <mergeCell ref="L39:N39"/>
    <mergeCell ref="G37:J37"/>
    <mergeCell ref="L30:N30"/>
    <mergeCell ref="L31:N31"/>
    <mergeCell ref="L32:N32"/>
    <mergeCell ref="L33:N33"/>
    <mergeCell ref="B32:D32"/>
    <mergeCell ref="B33:D33"/>
    <mergeCell ref="B34:D34"/>
    <mergeCell ref="B35:D35"/>
    <mergeCell ref="G29:J29"/>
    <mergeCell ref="G30:I30"/>
    <mergeCell ref="G31:I31"/>
    <mergeCell ref="G32:I32"/>
    <mergeCell ref="G33:I33"/>
    <mergeCell ref="G34:I34"/>
    <mergeCell ref="G35:I35"/>
    <mergeCell ref="B29:E29"/>
    <mergeCell ref="B30:D30"/>
    <mergeCell ref="L25:N25"/>
    <mergeCell ref="L26:N26"/>
    <mergeCell ref="L27:N27"/>
    <mergeCell ref="G21:J21"/>
    <mergeCell ref="G22:I22"/>
    <mergeCell ref="G23:I23"/>
    <mergeCell ref="G24:I24"/>
    <mergeCell ref="G25:I25"/>
    <mergeCell ref="B37:E37"/>
    <mergeCell ref="B31:D31"/>
    <mergeCell ref="B26:D26"/>
    <mergeCell ref="B27:D27"/>
    <mergeCell ref="B21:E21"/>
    <mergeCell ref="B22:D22"/>
    <mergeCell ref="B23:D23"/>
    <mergeCell ref="B24:D24"/>
    <mergeCell ref="B25:D25"/>
    <mergeCell ref="G26:I26"/>
    <mergeCell ref="G27:I27"/>
    <mergeCell ref="L21:O21"/>
    <mergeCell ref="L22:N22"/>
    <mergeCell ref="L23:N23"/>
    <mergeCell ref="L24:N24"/>
    <mergeCell ref="L29:O29"/>
    <mergeCell ref="AF33:AP33"/>
    <mergeCell ref="AF34:AG34"/>
    <mergeCell ref="AI34:AJ34"/>
    <mergeCell ref="AL34:AM34"/>
    <mergeCell ref="AO34:AP34"/>
    <mergeCell ref="AF17:AP17"/>
    <mergeCell ref="AF18:AG18"/>
    <mergeCell ref="AI18:AJ18"/>
    <mergeCell ref="AL18:AM18"/>
    <mergeCell ref="AO18:AP18"/>
    <mergeCell ref="AF2:AG2"/>
    <mergeCell ref="AI2:AJ2"/>
    <mergeCell ref="AL2:AM2"/>
    <mergeCell ref="AO2:AP2"/>
    <mergeCell ref="AF1:AP1"/>
    <mergeCell ref="Z1:AA1"/>
    <mergeCell ref="AC1:AD1"/>
    <mergeCell ref="B9:E9"/>
    <mergeCell ref="B11:D11"/>
    <mergeCell ref="B10:D10"/>
    <mergeCell ref="B1:F1"/>
    <mergeCell ref="G1:K1"/>
    <mergeCell ref="L1:P1"/>
    <mergeCell ref="Q1:U1"/>
    <mergeCell ref="W1:X1"/>
    <mergeCell ref="B8:J8"/>
    <mergeCell ref="G9:J9"/>
    <mergeCell ref="G10:I10"/>
    <mergeCell ref="G11:I11"/>
    <mergeCell ref="G12:I12"/>
    <mergeCell ref="G13:I13"/>
    <mergeCell ref="G15:I15"/>
    <mergeCell ref="B12:D12"/>
    <mergeCell ref="B13:D13"/>
    <mergeCell ref="B14:D14"/>
    <mergeCell ref="B15:D15"/>
    <mergeCell ref="G14:I14"/>
    <mergeCell ref="B20:O20"/>
    <mergeCell ref="B18:O19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X5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Heap Sort</vt:lpstr>
      <vt:lpstr>Merge Sort</vt:lpstr>
      <vt:lpstr>Quick Sort</vt:lpstr>
      <vt:lpstr>Radix Sort</vt:lpstr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Leomar Camargo de Souza</dc:creator>
  <cp:lastModifiedBy>Leomar Camargo de Souza</cp:lastModifiedBy>
  <cp:lastPrinted>2017-07-04T19:44:49Z</cp:lastPrinted>
  <dcterms:created xsi:type="dcterms:W3CDTF">2017-06-30T16:13:45Z</dcterms:created>
  <dcterms:modified xsi:type="dcterms:W3CDTF">2017-07-08T22:28:16Z</dcterms:modified>
</cp:coreProperties>
</file>