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 ><Relationship Id="rId1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3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8960" windowHeight="11580"/>
  </bookViews>
  <sheets>
    <sheet name="Set Trough" sheetId="1" r:id="rId4"/>
    <sheet name="Adjust trough" sheetId="2" r:id="rId5"/>
  </sheets>
</workbook>
</file>

<file path=xl/sharedStrings.xml><?xml version="1.0" encoding="utf-8"?>
<sst xmlns="http://schemas.openxmlformats.org/spreadsheetml/2006/main" count="73" uniqueCount="54">
  <si>
    <t>Age</t>
  </si>
  <si>
    <t>Hours</t>
  </si>
  <si>
    <t>Vanco Concentration</t>
  </si>
  <si>
    <t>MIC &gt; 10</t>
  </si>
  <si>
    <t>Male = 1   Female = 2</t>
  </si>
  <si>
    <t>Height (in)</t>
  </si>
  <si>
    <t>Weight (kg)</t>
  </si>
  <si>
    <t>SCr</t>
  </si>
  <si>
    <t>BMI</t>
  </si>
  <si>
    <t>kg/m^2</t>
  </si>
  <si>
    <t>TBW</t>
  </si>
  <si>
    <t>Weight</t>
  </si>
  <si>
    <t>IBW</t>
  </si>
  <si>
    <t>Males: IBW = 50 kg + 2.3 kg for each inch over 5 feet
Females: IBW = 45.5 kg + 2.3 kg for each inch over 5 feet</t>
  </si>
  <si>
    <t>ABW</t>
  </si>
  <si>
    <t>ABW = IBW + 0.4(TBW - IBW)</t>
  </si>
  <si>
    <t>CrCl using TBW (ml/min)</t>
  </si>
  <si>
    <t>CrCl using IBW (ml/min)</t>
  </si>
  <si>
    <t>CrCl using ABW (ml/min)</t>
  </si>
  <si>
    <t>Vanco CrCl (TBW or ABW)</t>
  </si>
  <si>
    <t>if obese, use ABW CrCl else use TBW CrCl</t>
  </si>
  <si>
    <t>ke</t>
  </si>
  <si>
    <t>ke = 0.00083*CrCl+0.0044</t>
  </si>
  <si>
    <t>Vd</t>
  </si>
  <si>
    <t>Vd = 0.7*TBW</t>
  </si>
  <si>
    <t>Set Peak</t>
  </si>
  <si>
    <t>2 hour after admin   20-40 mg/L based on severity of infection</t>
  </si>
  <si>
    <t>Set Trough</t>
  </si>
  <si>
    <t>30 min before next dose  10-20 mg/L based on severity of infection</t>
  </si>
  <si>
    <t>Exact Dosing Interval</t>
  </si>
  <si>
    <t>interval = ln(Peak/Trough)/ke + 1</t>
  </si>
  <si>
    <t>Rounded Interval</t>
  </si>
  <si>
    <t>using this exact dosing interval is impractical. Adjust the above interval</t>
  </si>
  <si>
    <t>Exact Dose, R</t>
  </si>
  <si>
    <t>Round Dose</t>
  </si>
  <si>
    <t>using this exact dose is impractical. Adjust the above dose to 250 mg</t>
  </si>
  <si>
    <t>Final Dosing Regimen</t>
  </si>
  <si>
    <t>Final Peak</t>
  </si>
  <si>
    <t>Double check Cpeak = Ro / ke / Vd * [1-e^(-ke*1)] / [1-e^(-ke*t)</t>
  </si>
  <si>
    <t>Final Trough</t>
  </si>
  <si>
    <t>Double check Ctrough = Cpeak * e^(-k*(T-t))</t>
  </si>
  <si>
    <t>Military Time (hour)</t>
  </si>
  <si>
    <t>Military Time (min)</t>
  </si>
  <si>
    <t>Administration 1</t>
  </si>
  <si>
    <t>Administration 2</t>
  </si>
  <si>
    <t>Trough time</t>
  </si>
  <si>
    <t>Trough Level (C1)</t>
  </si>
  <si>
    <t>Dosing Interval (hrs)</t>
  </si>
  <si>
    <t>Dosing frequency = Adminstration 1 - Administration 2</t>
  </si>
  <si>
    <t>time from blood drawn to trough</t>
  </si>
  <si>
    <t xml:space="preserve"> (τ- t’)</t>
  </si>
  <si>
    <t>ke = 0.00083*CrCl + 0.0044</t>
  </si>
  <si>
    <t>C2</t>
  </si>
  <si>
    <t>C2 = C1 * e^[-ke * (τ- t’)]</t>
  </si>
</sst>
</file>

<file path=xl/styles.xml><?xml version="1.0" encoding="utf-8"?>
<styleSheet xmlns="http://schemas.openxmlformats.org/spreadsheetml/2006/main">
  <numFmts count="8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</numFmts>
  <fonts count="5">
    <font>
      <sz val="12.0"/>
      <color rgb="ff000000"/>
      <name val="Calibri"/>
      <charset val="1"/>
    </font>
    <font>
      <sz val="11.0"/>
      <color rgb="ff000000"/>
      <name val="Arial"/>
      <charset val="1"/>
    </font>
    <font>
      <sz val="11.0"/>
      <color rgb="ff000000"/>
      <name val="Arial"/>
      <charset val="1"/>
    </font>
    <font>
      <sz val="11.0"/>
      <color rgb="ff000000"/>
      <name val="Arial"/>
      <charset val="1"/>
    </font>
    <font>
      <sz val="12.0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99cc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NumberFormat="1" applyFill="1" applyBorder="1" applyAlignment="1">
      <alignment horizontal="general" vertical="bottom"/>
    </xf>
    <xf numFmtId="0" fontId="0" fillId="0" borderId="0" xfId="0" applyNumberFormat="1" applyFill="1" applyBorder="1" applyAlignment="1">
      <alignment horizontal="general" vertical="bottom"/>
    </xf>
    <xf numFmtId="0" fontId="0" fillId="0" borderId="0" xfId="0" applyNumberFormat="1" applyFill="1" applyBorder="1" applyAlignment="1">
      <alignment horizontal="general" vertical="bottom"/>
    </xf>
    <xf numFmtId="0" fontId="0" fillId="0" borderId="0" xfId="0" applyNumberFormat="1" applyFill="1" applyBorder="1" applyAlignment="1">
      <alignment horizontal="general" vertical="bottom"/>
    </xf>
    <xf numFmtId="0" fontId="0" fillId="0" borderId="0" xfId="0" applyNumberFormat="1" applyFill="1" applyBorder="1" applyAlignment="1">
      <alignment horizontal="general" vertical="bottom"/>
    </xf>
    <xf numFmtId="0" fontId="0" fillId="0" borderId="0" xfId="0" applyNumberFormat="1" applyFill="1" applyBorder="1" applyAlignment="1">
      <alignment horizontal="general" vertical="bottom"/>
    </xf>
    <xf numFmtId="0" fontId="0" fillId="0" borderId="0" xfId="0" applyNumberFormat="1" applyFill="1" applyBorder="1" applyAlignment="1">
      <alignment horizontal="general" vertical="bottom"/>
    </xf>
    <xf numFmtId="0" fontId="0" fillId="0" borderId="0" xfId="0" applyNumberFormat="1" applyFill="1" applyBorder="1" applyAlignment="1">
      <alignment horizontal="general" vertical="bottom"/>
    </xf>
    <xf numFmtId="0" fontId="0" fillId="0" borderId="0" xfId="0" applyNumberFormat="1" applyFill="1" applyBorder="1" applyAlignment="1">
      <alignment horizontal="general" vertical="bottom"/>
    </xf>
    <xf numFmtId="0" fontId="0" fillId="0" borderId="0" xfId="0" applyNumberFormat="1" applyFill="1" applyBorder="1" applyAlignment="1">
      <alignment horizontal="general" vertical="bottom"/>
    </xf>
    <xf numFmtId="0" fontId="0" fillId="0" borderId="0" xfId="0" applyNumberFormat="1" applyFill="1" applyBorder="1" applyAlignment="1">
      <alignment horizontal="general" vertical="bottom"/>
    </xf>
    <xf numFmtId="0" fontId="0" fillId="0" borderId="0" xfId="0" applyNumberFormat="1" applyFill="1" applyBorder="1" applyAlignment="1">
      <alignment horizontal="general" vertical="bottom"/>
    </xf>
    <xf numFmtId="0" fontId="0" fillId="0" borderId="0" xfId="0" applyNumberFormat="1" applyFill="1" applyBorder="1" applyAlignment="1">
      <alignment horizontal="general" vertical="bottom"/>
    </xf>
    <xf numFmtId="0" fontId="0" fillId="0" borderId="0" xfId="0" applyNumberFormat="1" applyFill="1" applyBorder="1" applyAlignment="1">
      <alignment horizontal="general" vertical="bottom"/>
    </xf>
    <xf numFmtId="0" fontId="0" fillId="0" borderId="0" xfId="0"/>
    <xf numFmtId="0" fontId="1" fillId="0" borderId="0" xfId="0" applyFont="1" applyFill="1" applyBorder="1" applyAlignment="1">
      <alignment horizontal="general" vertical="bottom"/>
    </xf>
    <xf numFmtId="0" fontId="1" fillId="0" borderId="0" xfId="0" applyFont="1" applyFill="1" applyBorder="1" applyAlignment="1">
      <alignment horizontal="general" vertical="bottom"/>
    </xf>
    <xf numFmtId="0" fontId="1" fillId="0" borderId="0" xfId="0" applyFont="1" applyFill="1" applyBorder="1" applyAlignment="1">
      <alignment horizontal="general" vertical="bottom"/>
    </xf>
    <xf numFmtId="0" fontId="1" fillId="0" borderId="0" xfId="0" applyFont="1" applyFill="1" applyBorder="1" applyAlignment="1">
      <alignment horizontal="general" vertical="bottom"/>
    </xf>
    <xf numFmtId="0" fontId="1" fillId="0" borderId="0" xfId="0" applyFont="1" applyFill="1" applyBorder="1" applyAlignment="1">
      <alignment horizontal="general" vertical="bottom"/>
    </xf>
    <xf numFmtId="0" fontId="0" fillId="0" borderId="0" xfId="0" applyNumberFormat="1" applyFont="1" applyFill="1" applyBorder="1" applyAlignment="1">
      <alignment horizontal="general" vertical="bottom"/>
    </xf>
    <xf numFmtId="0" fontId="0" fillId="2" borderId="0" xfId="0" applyNumberFormat="1" applyFont="1" applyFill="1" applyBorder="1" applyAlignment="1">
      <alignment horizontal="left" vertical="bottom"/>
    </xf>
    <xf numFmtId="0" fontId="0" fillId="2" borderId="0" xfId="0" applyNumberFormat="1" applyFont="1" applyFill="1" applyBorder="1" applyAlignment="1">
      <alignment horizontal="general" vertical="bottom"/>
    </xf>
    <xf numFmtId="0" fontId="0" fillId="3" borderId="0" xfId="0" applyNumberFormat="1" applyFont="1" applyFill="1" applyBorder="1" applyAlignment="1">
      <alignment horizontal="general" vertical="bottom"/>
    </xf>
    <xf numFmtId="0" fontId="0" fillId="0" borderId="0" xfId="0" applyNumberFormat="1" applyFont="1" applyFill="1" applyBorder="1" applyAlignment="1">
      <alignment horizontal="general" vertical="top"/>
    </xf>
    <xf numFmtId="0" fontId="0" fillId="2" borderId="0" xfId="0" applyNumberFormat="1" applyFont="1" applyFill="1" applyBorder="1" applyAlignment="1">
      <alignment horizontal="left" vertical="top"/>
    </xf>
    <xf numFmtId="0" fontId="0" fillId="0" borderId="0" xfId="0" applyNumberFormat="1" applyFont="1" applyFill="1" applyBorder="1" applyAlignment="1">
      <alignment horizontal="left" vertical="top"/>
    </xf>
    <xf numFmtId="0" fontId="0" fillId="0" borderId="0" xfId="0" applyNumberFormat="1" applyFont="1" applyFill="1" applyBorder="1" applyAlignment="1">
      <alignment horizontal="general" vertical="top" wrapText="1"/>
    </xf>
    <xf numFmtId="0" fontId="0" fillId="3" borderId="0" xfId="0" applyNumberFormat="1" applyFont="1" applyFill="1" applyBorder="1" applyAlignment="1">
      <alignment horizontal="left" vertical="top"/>
    </xf>
  </cellXfs>
  <cellStyles count="1">
    <cellStyle name="Normal" xfId="0" builtinId="0"/>
  </cellStyles>
  <tableStyles defaultTableStyle="TableStyleMedium9" defaultPivotStyle="PivotStyleLight16"/>
</styleSheet>
</file>

<file path=xl/_rels/workbook.xml.rels><?xml version="1.0" encoding="UTF-8" standalone="yes"?><Relationships xmlns="http://schemas.openxmlformats.org/package/2006/relationships" ><Relationship Id="rId1" Type="http://schemas.openxmlformats.org/officeDocument/2006/relationships/styles" Target="styles.xml" /><Relationship Id="rId2" Type="http://schemas.openxmlformats.org/officeDocument/2006/relationships/sharedStrings" Target="sharedStrings.xml" /><Relationship Id="rId3" Type="http://schemas.openxmlformats.org/officeDocument/2006/relationships/theme" Target="theme/theme1.xml" /><Relationship Id="rId4" Type="http://schemas.openxmlformats.org/officeDocument/2006/relationships/worksheet" Target="worksheets/sheet1.xml" /><Relationship Id="rId5" Type="http://schemas.openxmlformats.org/officeDocument/2006/relationships/worksheet" Target="worksheets/sheet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'Set Trough'!$K$1</c:f>
              <c:strCache>
                <c:ptCount val="1"/>
                <c:pt idx="0">
                  <c:v>Vanco Concentration</c:v>
                </c:pt>
              </c:strCache>
            </c:strRef>
          </c:tx>
          <c:marker>
            <c:symbol val="none"/>
          </c:marker>
          <c:val>
            <c:numRef>
              <c:f>'Set Trough'!$K$2:$K$26</c:f>
              <c:numCache>
                <c:formatCode>General</c:formatCode>
                <c:ptCount val="25"/>
                <c:pt idx="0">
                  <c:v>30.0</c:v>
                </c:pt>
                <c:pt idx="1">
                  <c:v>27.48931494357869</c:v>
                </c:pt>
                <c:pt idx="2">
                  <c:v>25.18874786890863</c:v>
                </c:pt>
                <c:pt idx="3">
                  <c:v>23.08071410676086</c:v>
                </c:pt>
                <c:pt idx="4">
                  <c:v>21.14910064011496</c:v>
                </c:pt>
                <c:pt idx="5">
                  <c:v>19.37914294231873</c:v>
                </c:pt>
                <c:pt idx="6">
                  <c:v>17.757312122601</c:v>
                </c:pt>
                <c:pt idx="7">
                  <c:v>16.27121151632022</c:v>
                </c:pt>
                <c:pt idx="8">
                  <c:v>14.90948192952371</c:v>
                </c:pt>
                <c:pt idx="9">
                  <c:v>13.66171481354242</c:v>
                </c:pt>
                <c:pt idx="10">
                  <c:v>12.51837270596073</c:v>
                </c:pt>
                <c:pt idx="11">
                  <c:v>11.4707163298418</c:v>
                </c:pt>
                <c:pt idx="12">
                  <c:v>10.51073779398241</c:v>
                </c:pt>
                <c:pt idx="13">
                  <c:v>9.63109938360527</c:v>
                </c:pt>
                <c:pt idx="14">
                  <c:v>8.82507747362773</c:v>
                </c:pt>
                <c:pt idx="15">
                  <c:v>8.086511135801146</c:v>
                </c:pt>
                <c:pt idx="16">
                  <c:v>7.409755046893132</c:v>
                </c:pt>
                <c:pt idx="17">
                  <c:v>6.789636337960568</c:v>
                </c:pt>
                <c:pt idx="18">
                  <c:v>6.221415054885478</c:v>
                </c:pt>
                <c:pt idx="19">
                  <c:v>5.700747927948961</c:v>
                </c:pt>
                <c:pt idx="20">
                  <c:v>5.223655173511421</c:v>
                </c:pt>
                <c:pt idx="21">
                  <c:v>4.786490074043655</c:v>
                </c:pt>
                <c:pt idx="22">
                  <c:v>4.385911103989978</c:v>
                </c:pt>
                <c:pt idx="23">
                  <c:v>4.018856388403981</c:v>
                </c:pt>
                <c:pt idx="24">
                  <c:v>3.682520299128343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'Set Trough'!$L$1</c:f>
              <c:strCache>
                <c:ptCount val="1"/>
                <c:pt idx="0">
                  <c:v>MIC &gt; 10</c:v>
                </c:pt>
              </c:strCache>
            </c:strRef>
          </c:tx>
          <c:marker>
            <c:symbol val="none"/>
          </c:marker>
          <c:val>
            <c:numRef>
              <c:f>'Set Trough'!$L$2:$L$26</c:f>
              <c:numCache>
                <c:formatCode>General</c:formatCode>
                <c:ptCount val="25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  <c:pt idx="6">
                  <c:v>10.0</c:v>
                </c:pt>
                <c:pt idx="7">
                  <c:v>10.0</c:v>
                </c:pt>
                <c:pt idx="8">
                  <c:v>10.0</c:v>
                </c:pt>
                <c:pt idx="9">
                  <c:v>10.0</c:v>
                </c:pt>
                <c:pt idx="10">
                  <c:v>10.0</c:v>
                </c:pt>
                <c:pt idx="11">
                  <c:v>10.0</c:v>
                </c:pt>
                <c:pt idx="12">
                  <c:v>10.0</c:v>
                </c:pt>
                <c:pt idx="13">
                  <c:v>10.0</c:v>
                </c:pt>
                <c:pt idx="14">
                  <c:v>10.0</c:v>
                </c:pt>
                <c:pt idx="15">
                  <c:v>10.0</c:v>
                </c:pt>
                <c:pt idx="16">
                  <c:v>10.0</c:v>
                </c:pt>
                <c:pt idx="17">
                  <c:v>10.0</c:v>
                </c:pt>
                <c:pt idx="18">
                  <c:v>10.0</c:v>
                </c:pt>
                <c:pt idx="19">
                  <c:v>10.0</c:v>
                </c:pt>
                <c:pt idx="20">
                  <c:v>10.0</c:v>
                </c:pt>
                <c:pt idx="21">
                  <c:v>10.0</c:v>
                </c:pt>
                <c:pt idx="22">
                  <c:v>10.0</c:v>
                </c:pt>
                <c:pt idx="23">
                  <c:v>10.0</c:v>
                </c:pt>
                <c:pt idx="24">
                  <c:v>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578584"/>
        <c:axId val="2099581560"/>
      </c:lineChart>
      <c:catAx>
        <c:axId val="2099578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581560"/>
        <c:crosses val="autoZero"/>
        <c:auto val="1"/>
        <c:lblAlgn val="ctr"/>
        <c:lblOffset val="100"/>
        <c:noMultiLvlLbl val="0"/>
      </c:catAx>
      <c:valAx>
        <c:axId val="2099581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9578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<Relationships xmlns="http://schemas.openxmlformats.org/package/2006/relationships" 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127000</xdr:colOff>
      <xdr:row>1</xdr:row>
      <xdr:rowOff>165100</xdr:rowOff>
    </xdr:from>
    <xdr:to>
      <xdr:col>8</xdr:col>
      <xdr:colOff>787400</xdr:colOff>
      <xdr:row>17</xdr:row>
      <xdr:rowOff>12700</xdr:rowOff>
    </xdr:to>
    <xdr:graphicFrame macro="">
      <xdr:nvGraphicFramePr>
        <xdr:cNvPr id="1" name="Chart 1"/>
        <xdr:cNvGraphicFramePr/>
      </xdr:nvGraphicFramePr>
      <xdr:xfrm>
        <a:off x="0" y="0"/>
        <a:ext cx="1905000" cy="190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MS P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MS P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 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5"/>
  <sheetViews>
    <sheetView showGridLines="1" tabSelected="1" workbookViewId="0" topLeftCell="A3">
      <selection activeCell="A1" sqref="A1"/>
    </sheetView>
  </sheetViews>
  <sheetFormatPr defaultRowHeight="15"/>
  <cols>
    <col min="1" max="1" width="30.33203125" style="25" customWidth="1"/>
    <col min="2" max="2" width="30.5" style="25" customWidth="1"/>
    <col min="3" max="3" width="60.1640625" style="25" customWidth="1"/>
    <col min="4" max="4" width="11.0" style="25" customWidth="1"/>
    <col min="5" max="5" width="12.83203125" style="25" customWidth="1"/>
    <col min="6" max="8" width="11.0" style="25" customWidth="1"/>
    <col min="9" max="9" width="12.1640625" style="25" customWidth="1"/>
    <col min="10" max="10" width="11.0" style="25" customWidth="1"/>
    <col min="11" max="11" width="18.33203125" style="25" customWidth="1"/>
    <col min="12" max="256" width="11.0" style="25" customWidth="1"/>
  </cols>
  <sheetData>
    <row r="1" spans="1:12">
      <c r="A1" s="25" t="s">
        <v>0</v>
      </c>
      <c r="B1" s="26">
        <v>43.0</v>
      </c>
      <c r="J1" s="25" t="s">
        <v>1</v>
      </c>
      <c r="K1" s="25" t="s">
        <v>2</v>
      </c>
      <c r="L1" s="25" t="s">
        <v>3</v>
      </c>
    </row>
    <row r="2" spans="1:12">
      <c r="A2" s="25" t="s">
        <v>4</v>
      </c>
      <c r="B2" s="26">
        <v>1.0</v>
      </c>
      <c r="J2" s="25">
        <v>0.0</v>
      </c>
      <c r="K2" s="25">
        <f>B23*EXP(-B20*J2)</f>
        <v>30.0</v>
      </c>
      <c r="L2" s="25">
        <v>10.0</v>
      </c>
    </row>
    <row r="3" spans="1:12">
      <c r="A3" s="25" t="s">
        <v>5</v>
      </c>
      <c r="B3" s="26">
        <v>78.7</v>
      </c>
      <c r="J3" s="25">
        <v>1.0</v>
      </c>
      <c r="K3" s="25">
        <f>B23*EXP(-B20*J3)</f>
        <v>26.525522472370525</v>
      </c>
      <c r="L3" s="25">
        <v>10.0</v>
      </c>
    </row>
    <row r="4" spans="1:12">
      <c r="A4" s="25" t="s">
        <v>6</v>
      </c>
      <c r="B4" s="26">
        <v>70.4</v>
      </c>
      <c r="J4" s="25">
        <v>2.0</v>
      </c>
      <c r="K4" s="25">
        <f>B23*EXP(-B20*J4)</f>
        <v>23.453444747741123</v>
      </c>
      <c r="L4" s="25">
        <v>10.0</v>
      </c>
    </row>
    <row r="5" spans="1:12">
      <c r="A5" s="25" t="s">
        <v>7</v>
      </c>
      <c r="B5" s="26">
        <v>0.66</v>
      </c>
      <c r="J5" s="25">
        <v>3.0</v>
      </c>
      <c r="K5" s="25">
        <f>B23*EXP(-B20*J5)</f>
        <v>20.73716252369025</v>
      </c>
      <c r="L5" s="25">
        <v>10.0</v>
      </c>
    </row>
    <row r="6" spans="1:12">
      <c r="B6" s="27"/>
      <c r="J6" s="25">
        <v>4.0</v>
      </c>
      <c r="K6" s="25">
        <f>B23*EXP(-B20*J6)</f>
        <v>18.335469017844854</v>
      </c>
      <c r="L6" s="25">
        <v>10.0</v>
      </c>
    </row>
    <row r="7" spans="1:12">
      <c r="B7" s="27"/>
      <c r="J7" s="25">
        <v>5.0</v>
      </c>
      <c r="K7" s="25">
        <f>B23*EXP(-B20*J7)</f>
        <v>16.21192984914324</v>
      </c>
      <c r="L7" s="25">
        <v>10.0</v>
      </c>
    </row>
    <row r="8" spans="1:12">
      <c r="B8" s="27"/>
      <c r="J8" s="25">
        <v>6.0</v>
      </c>
      <c r="K8" s="25">
        <f>B23*EXP(-B20*J8)</f>
        <v>14.334330317798116</v>
      </c>
      <c r="L8" s="25">
        <v>10.0</v>
      </c>
    </row>
    <row r="9" spans="1:12">
      <c r="A9" s="25" t="s">
        <v>8</v>
      </c>
      <c r="B9" s="27">
        <f>B4/(B3/100*2.54)^2</f>
        <v>17.617965742624584</v>
      </c>
      <c r="C9" s="25" t="s">
        <v>9</v>
      </c>
      <c r="J9" s="25">
        <v>7.0</v>
      </c>
      <c r="K9" s="25">
        <f>B23*EXP(-B20*J9)</f>
        <v>12.674186699037868</v>
      </c>
      <c r="L9" s="25">
        <v>10.0</v>
      </c>
    </row>
    <row r="10" spans="1:12">
      <c r="A10" s="25" t="s">
        <v>10</v>
      </c>
      <c r="B10" s="27">
        <f>B4</f>
        <v>70.4</v>
      </c>
      <c r="C10" s="25" t="s">
        <v>11</v>
      </c>
      <c r="J10" s="25">
        <v>8.0</v>
      </c>
      <c r="K10" s="25">
        <f>B23*EXP(-B20*J10)</f>
        <v>11.206314136811619</v>
      </c>
      <c r="L10" s="25">
        <v>10.0</v>
      </c>
    </row>
    <row r="11" spans="1:12" ht="30.0" customHeight="1">
      <c r="A11" s="25" t="s">
        <v>12</v>
      </c>
      <c r="B11" s="27">
        <f>IF(B2=1,50+(2.3*(B3-60)),IF(B2=2,45.5+(2.3*(B3-60)),"Enter Gener"))</f>
        <v>93.01</v>
      </c>
      <c r="C11" s="28" t="s">
        <v>13</v>
      </c>
      <c r="J11" s="25">
        <v>9.0</v>
      </c>
      <c r="K11" s="25">
        <f>B23*EXP(-B20*J11)</f>
        <v>9.908444582281337</v>
      </c>
      <c r="L11" s="25">
        <v>10.0</v>
      </c>
    </row>
    <row r="12" spans="1:12">
      <c r="A12" s="25" t="s">
        <v>14</v>
      </c>
      <c r="B12" s="27">
        <f>B11+(0.4*(B4-B11))</f>
        <v>83.96600000000001</v>
      </c>
      <c r="C12" s="25" t="s">
        <v>15</v>
      </c>
      <c r="J12" s="25">
        <v>10.0</v>
      </c>
      <c r="K12" s="25">
        <f>B23*EXP(-B20*J12)</f>
        <v>8.76088898111805</v>
      </c>
      <c r="L12" s="25">
        <v>10.0</v>
      </c>
    </row>
    <row r="13" spans="1:12">
      <c r="B13" s="27"/>
      <c r="J13" s="25">
        <v>11.0</v>
      </c>
      <c r="K13" s="25">
        <f>B23*EXP(-B20*J13)</f>
        <v>7.746238584886338</v>
      </c>
      <c r="L13" s="25">
        <v>10.0</v>
      </c>
    </row>
    <row r="14" spans="1:12">
      <c r="A14" s="25" t="s">
        <v>16</v>
      </c>
      <c r="B14" s="27">
        <f>IF(B2=1,((140-B1)*B10/72/B5),IF(B2=2,(140-B1)*B10/72/B5*0.85))</f>
        <v>143.7037037037037</v>
      </c>
      <c r="J14" s="25">
        <v>12.0</v>
      </c>
      <c r="K14" s="25">
        <f>B23*EXP(-B20*J14)</f>
        <v>6.849100855324875</v>
      </c>
      <c r="L14" s="25">
        <v>10.0</v>
      </c>
    </row>
    <row r="15" spans="1:12">
      <c r="A15" s="25" t="s">
        <v>17</v>
      </c>
      <c r="B15" s="27">
        <f>IF(B2=1,((140-B1)*B11/72/B5),IF(B2=2,(140-B1)*B11/72/B5*0.85))</f>
        <v>189.85627104377107</v>
      </c>
      <c r="J15" s="25">
        <v>13.0</v>
      </c>
      <c r="K15" s="25">
        <f>B23*EXP(-B20*J15)</f>
        <v>6.05586595511507</v>
      </c>
      <c r="L15" s="25">
        <v>10.0</v>
      </c>
    </row>
    <row r="16" spans="1:12">
      <c r="A16" s="25" t="s">
        <v>18</v>
      </c>
      <c r="B16" s="27">
        <f>IF(B2=1,((140-B1)*B12/72/B5),IF(B2=2,(140-B1)*B12/72/B5*0.85))</f>
        <v>171.39524410774413</v>
      </c>
      <c r="J16" s="25">
        <v>14.0</v>
      </c>
      <c r="K16" s="25">
        <f>B23*EXP(-B20*J16)</f>
        <v>5.354500282735613</v>
      </c>
      <c r="L16" s="25">
        <v>10.0</v>
      </c>
    </row>
    <row r="17" spans="1:12">
      <c r="J17" s="25">
        <v>15.0</v>
      </c>
      <c r="K17" s="25">
        <f>B23*EXP(-B20*J17)</f>
        <v>4.734363919267261</v>
      </c>
      <c r="L17" s="25">
        <v>10.0</v>
      </c>
    </row>
    <row r="18" spans="1:12">
      <c r="B18" s="27"/>
      <c r="J18" s="25">
        <v>16.0</v>
      </c>
      <c r="K18" s="25">
        <f>B23*EXP(-B20*J18)</f>
        <v>4.186049217763464</v>
      </c>
      <c r="L18" s="25">
        <v>10.0</v>
      </c>
    </row>
    <row r="19" spans="1:12">
      <c r="A19" s="25" t="s">
        <v>19</v>
      </c>
      <c r="B19" s="26">
        <v>143.0</v>
      </c>
      <c r="C19" s="25" t="s">
        <v>20</v>
      </c>
      <c r="J19" s="25">
        <v>17.0</v>
      </c>
      <c r="K19" s="25">
        <f>B23*EXP(-B20*J19)</f>
        <v>3.7012380865411276</v>
      </c>
      <c r="L19" s="25">
        <v>10.0</v>
      </c>
    </row>
    <row r="20" spans="1:12">
      <c r="A20" s="25" t="s">
        <v>21</v>
      </c>
      <c r="B20" s="27">
        <f>(8.3E-4*B19)+0.0044</f>
        <v>0.12309</v>
      </c>
      <c r="C20" s="25" t="s">
        <v>22</v>
      </c>
      <c r="J20" s="25">
        <v>18.0</v>
      </c>
      <c r="K20" s="25">
        <f>B23*EXP(-B20*J20)</f>
        <v>3.2725758013380126</v>
      </c>
      <c r="L20" s="25">
        <v>10.0</v>
      </c>
    </row>
    <row r="21" spans="1:12">
      <c r="A21" s="25" t="s">
        <v>23</v>
      </c>
      <c r="B21" s="27">
        <f>0.7*B4</f>
        <v>49.28</v>
      </c>
      <c r="C21" s="25" t="s">
        <v>24</v>
      </c>
      <c r="J21" s="25">
        <v>19.0</v>
      </c>
      <c r="K21" s="25">
        <f>B23*EXP(-B20*J21)</f>
        <v>2.8935594320309126</v>
      </c>
      <c r="L21" s="25">
        <v>10.0</v>
      </c>
    </row>
    <row r="22" spans="1:12">
      <c r="B22" s="27"/>
      <c r="J22" s="25">
        <v>20.0</v>
      </c>
      <c r="K22" s="25">
        <f>B23*EXP(-B20*J22)</f>
        <v>2.558439191315856</v>
      </c>
      <c r="L22" s="25">
        <v>10.0</v>
      </c>
    </row>
    <row r="23" spans="1:12">
      <c r="A23" s="25" t="s">
        <v>25</v>
      </c>
      <c r="B23" s="26">
        <v>30.0</v>
      </c>
      <c r="C23" s="25" t="s">
        <v>26</v>
      </c>
      <c r="J23" s="25">
        <v>21.0</v>
      </c>
      <c r="K23" s="25">
        <f>B23*EXP(-B20*J23)</f>
        <v>2.2621312087814074</v>
      </c>
      <c r="L23" s="25">
        <v>10.0</v>
      </c>
    </row>
    <row r="24" spans="1:12">
      <c r="A24" s="25" t="s">
        <v>27</v>
      </c>
      <c r="B24" s="26">
        <v>15.0</v>
      </c>
      <c r="C24" s="25" t="s">
        <v>28</v>
      </c>
      <c r="J24" s="25">
        <v>22.0</v>
      </c>
      <c r="K24" s="25">
        <f>B23*EXP(-B20*J24)</f>
        <v>2.0001404071327302</v>
      </c>
      <c r="L24" s="25">
        <v>10.0</v>
      </c>
    </row>
    <row r="25" spans="1:12">
      <c r="J25" s="25">
        <v>23.0</v>
      </c>
      <c r="K25" s="25">
        <f>B23*EXP(-B20*J25)</f>
        <v>1.7684923105765191</v>
      </c>
      <c r="L25" s="25">
        <v>10.0</v>
      </c>
    </row>
    <row r="26" spans="1:12">
      <c r="A26" s="25" t="s">
        <v>29</v>
      </c>
      <c r="B26" s="27">
        <f>1+LN(B23/B24)/B20</f>
        <v>6.631222524656311</v>
      </c>
      <c r="C26" s="25" t="s">
        <v>30</v>
      </c>
      <c r="J26" s="25">
        <v>24.0</v>
      </c>
      <c r="K26" s="25">
        <f>B23*EXP(-B20*J26)</f>
        <v>1.5636727508803978</v>
      </c>
      <c r="L26" s="25">
        <v>10.0</v>
      </c>
    </row>
    <row r="27" spans="1:12">
      <c r="A27" s="25" t="s">
        <v>31</v>
      </c>
      <c r="B27" s="26">
        <v>8.0</v>
      </c>
      <c r="C27" s="25" t="s">
        <v>32</v>
      </c>
    </row>
    <row r="29" spans="1:12">
      <c r="A29" s="25" t="s">
        <v>33</v>
      </c>
      <c r="B29" s="27">
        <f>B20*B21*B23*(1-EXP(-B20*B27))/(1-EXP(-B20))</f>
        <v>984.3219772258851</v>
      </c>
    </row>
    <row r="30" spans="1:12">
      <c r="A30" s="25" t="s">
        <v>34</v>
      </c>
      <c r="B30" s="26">
        <v>1250.0</v>
      </c>
      <c r="C30" s="25" t="s">
        <v>35</v>
      </c>
    </row>
    <row r="32" spans="1:12">
      <c r="A32" s="25" t="s">
        <v>36</v>
      </c>
      <c r="B32" s="29" t="str">
        <f>B30&amp;"mg IV over 1 hour, repeat q"&amp;B27&amp;"h"</f>
        <v>1250mg IV over 1 hour, repeat q8h</v>
      </c>
    </row>
    <row r="34" spans="1:12">
      <c r="A34" s="25" t="s">
        <v>37</v>
      </c>
      <c r="B34" s="25">
        <f>B30/B20/B21*(1-EXP(-B20))/(1-EXP(-B20*B27))</f>
        <v>38.09729018312307</v>
      </c>
      <c r="C34" s="25" t="s">
        <v>38</v>
      </c>
    </row>
    <row r="35" spans="1:12">
      <c r="A35" s="25" t="s">
        <v>39</v>
      </c>
      <c r="B35" s="25">
        <f>B34*EXP(-B20*(B27-1))</f>
        <v>16.09507228361081</v>
      </c>
      <c r="C35" s="25" t="s">
        <v>40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3"/>
  <sheetViews>
    <sheetView showGridLines="1" workbookViewId="0" topLeftCell="A10">
      <selection activeCell="A1" sqref="A1"/>
    </sheetView>
  </sheetViews>
  <sheetFormatPr defaultRowHeight="15"/>
  <cols>
    <col min="1" max="1" width="32.1640625" customWidth="1"/>
    <col min="2" max="2" width="18.0" customWidth="1"/>
    <col min="3" max="3" width="51.1640625" customWidth="1"/>
    <col min="5" max="5" width="14.33203125" customWidth="1"/>
    <col min="6" max="6" width="17.1640625" customWidth="1"/>
    <col min="7" max="7" width="16.5" customWidth="1"/>
  </cols>
  <sheetData>
    <row r="1" spans="1:11">
      <c r="B1" s="21" t="s">
        <v>41</v>
      </c>
      <c r="C1" s="21" t="s">
        <v>42</v>
      </c>
    </row>
    <row r="2" spans="1:11">
      <c r="A2" s="21" t="s">
        <v>43</v>
      </c>
      <c r="B2" s="23">
        <v>7.0</v>
      </c>
      <c r="C2" s="22">
        <v>0.0</v>
      </c>
      <c r="H2" s="21"/>
      <c r="I2" s="21"/>
    </row>
    <row r="3" spans="1:11">
      <c r="A3" s="21" t="s">
        <v>44</v>
      </c>
      <c r="B3" s="23">
        <v>15.0</v>
      </c>
      <c r="C3" s="22">
        <v>0.0</v>
      </c>
      <c r="H3" s="21"/>
      <c r="I3" s="21"/>
    </row>
    <row r="4" spans="1:11">
      <c r="A4" s="21" t="s">
        <v>45</v>
      </c>
      <c r="B4" s="23">
        <v>9.0</v>
      </c>
      <c r="C4" s="22">
        <v>0.0</v>
      </c>
      <c r="H4" s="21"/>
      <c r="I4" s="21"/>
    </row>
    <row r="5" spans="1:11">
      <c r="H5" s="21"/>
      <c r="I5" s="21"/>
    </row>
    <row r="6" spans="1:11">
      <c r="A6" s="21" t="s">
        <v>46</v>
      </c>
      <c r="B6" s="23">
        <v>16.5</v>
      </c>
      <c r="H6" s="21"/>
      <c r="I6" s="21"/>
      <c r="K6" s="21">
        <f>B3-B2</f>
        <v>8.0</v>
      </c>
    </row>
    <row r="7" spans="1:11">
      <c r="H7" s="21"/>
      <c r="I7" s="21"/>
    </row>
    <row r="8" spans="1:11">
      <c r="H8" s="21"/>
      <c r="I8" s="21"/>
    </row>
    <row r="9" spans="1:11">
      <c r="A9" s="25" t="s">
        <v>0</v>
      </c>
      <c r="B9" s="26">
        <v>45.0</v>
      </c>
      <c r="C9" s="25"/>
      <c r="H9" s="21"/>
      <c r="I9" s="21"/>
    </row>
    <row r="10" spans="1:11">
      <c r="A10" s="25" t="s">
        <v>4</v>
      </c>
      <c r="B10" s="26">
        <v>1.0</v>
      </c>
      <c r="C10" s="25"/>
      <c r="H10" s="21"/>
      <c r="I10" s="21"/>
    </row>
    <row r="11" spans="1:11">
      <c r="A11" s="25" t="s">
        <v>5</v>
      </c>
      <c r="B11" s="26">
        <v>72.0</v>
      </c>
      <c r="C11" s="25"/>
      <c r="H11" s="21"/>
      <c r="I11" s="21"/>
    </row>
    <row r="12" spans="1:11">
      <c r="A12" s="25" t="s">
        <v>6</v>
      </c>
      <c r="B12" s="26">
        <v>104.5</v>
      </c>
      <c r="C12" s="25"/>
      <c r="H12" s="21"/>
      <c r="I12" s="21"/>
    </row>
    <row r="13" spans="1:11">
      <c r="A13" s="25" t="s">
        <v>7</v>
      </c>
      <c r="B13" s="26">
        <v>3.0</v>
      </c>
      <c r="C13" s="25"/>
      <c r="H13" s="21"/>
      <c r="I13" s="21"/>
    </row>
    <row r="14" spans="1:11">
      <c r="A14" s="25"/>
      <c r="B14" s="27"/>
      <c r="C14" s="25"/>
      <c r="H14" s="21"/>
      <c r="I14" s="21"/>
    </row>
    <row r="15" spans="1:11">
      <c r="A15" s="25" t="s">
        <v>8</v>
      </c>
      <c r="B15" s="27">
        <f>B12/(B11/100*2.54)^2</f>
        <v>31.245239959615724</v>
      </c>
      <c r="C15" s="25" t="s">
        <v>9</v>
      </c>
      <c r="H15" s="21"/>
      <c r="I15" s="21"/>
    </row>
    <row r="16" spans="1:11">
      <c r="A16" s="25" t="s">
        <v>10</v>
      </c>
      <c r="B16" s="27">
        <f>B12</f>
        <v>104.5</v>
      </c>
      <c r="C16" s="25" t="s">
        <v>11</v>
      </c>
      <c r="H16" s="21"/>
      <c r="I16" s="21"/>
    </row>
    <row r="17" spans="1:11" ht="30.0" customHeight="1">
      <c r="A17" s="25" t="s">
        <v>12</v>
      </c>
      <c r="B17" s="27">
        <f>IF(B10=1,50+(2.3*(B11-60)),IF(B10=2,45.5+(2.3*(B11-60)),"Enter Gener"))</f>
        <v>77.6</v>
      </c>
      <c r="C17" s="28" t="s">
        <v>13</v>
      </c>
      <c r="H17" s="21"/>
      <c r="I17" s="21"/>
    </row>
    <row r="18" spans="1:11">
      <c r="A18" s="25" t="s">
        <v>14</v>
      </c>
      <c r="B18" s="27">
        <f>B17+(0.4*(B12-B17))</f>
        <v>88.36</v>
      </c>
      <c r="C18" s="25" t="s">
        <v>15</v>
      </c>
      <c r="H18" s="21"/>
      <c r="I18" s="21"/>
    </row>
    <row r="19" spans="1:11">
      <c r="A19" s="25"/>
      <c r="B19" s="27"/>
      <c r="C19" s="25"/>
      <c r="H19" s="21"/>
      <c r="I19" s="21"/>
    </row>
    <row r="20" spans="1:11">
      <c r="A20" s="25" t="s">
        <v>16</v>
      </c>
      <c r="B20" s="27">
        <f>IF(B10=1,((140-B9)*B16/72/B13),IF(B10=2,(140-B9)*B16/72/B13*0.85))</f>
        <v>45.96064814814815</v>
      </c>
      <c r="C20" s="25"/>
      <c r="H20" s="21"/>
      <c r="I20" s="21"/>
    </row>
    <row r="21" spans="1:11">
      <c r="A21" s="25" t="s">
        <v>17</v>
      </c>
      <c r="B21" s="27">
        <f>IF(B10=1,((140-B9)*B17/72/B13),IF(B10=2,(140-B9)*B17/72/B13*0.85))</f>
        <v>34.129629629629626</v>
      </c>
      <c r="C21" s="25"/>
      <c r="H21" s="21"/>
      <c r="I21" s="21"/>
    </row>
    <row r="22" spans="1:11">
      <c r="A22" s="25" t="s">
        <v>18</v>
      </c>
      <c r="B22" s="27">
        <f>IF(B10=1,((140-B9)*B18/72/B13),IF(B10=2,(140-B9)*B18/72/B13*0.85))</f>
        <v>38.86203703703704</v>
      </c>
      <c r="C22" s="25"/>
      <c r="H22" s="21"/>
      <c r="I22" s="21"/>
    </row>
    <row r="23" spans="1:11">
      <c r="A23" s="25"/>
      <c r="B23" s="25"/>
      <c r="C23" s="25"/>
      <c r="H23" s="21"/>
      <c r="I23" s="21"/>
    </row>
    <row r="24" spans="1:11">
      <c r="A24" s="25"/>
      <c r="B24" s="27"/>
      <c r="C24" s="25"/>
      <c r="H24" s="21"/>
      <c r="I24" s="21"/>
    </row>
    <row r="25" spans="1:11">
      <c r="A25" s="25" t="s">
        <v>19</v>
      </c>
      <c r="B25" s="26">
        <v>39.0</v>
      </c>
      <c r="C25" s="25" t="s">
        <v>20</v>
      </c>
      <c r="H25" s="21"/>
      <c r="I25" s="21"/>
    </row>
    <row r="26" spans="1:11">
      <c r="H26" s="21"/>
      <c r="I26" s="21"/>
    </row>
    <row r="28" spans="1:11">
      <c r="A28" s="21" t="s">
        <v>47</v>
      </c>
      <c r="B28" s="21">
        <f>ABS(B3+(C3/60))-(B2+(C2/60))</f>
        <v>8.0</v>
      </c>
      <c r="C28" s="21" t="s">
        <v>48</v>
      </c>
    </row>
    <row r="29" spans="1:11">
      <c r="A29" s="21" t="s">
        <v>49</v>
      </c>
      <c r="B29" s="21">
        <f>IF(K6&lt;0,(B3+(C3/60))-(B4+(C4/60)),((B3+(C3/60))-(B4+(C4/60))))</f>
        <v>6.0</v>
      </c>
      <c r="C29" s="21" t="s">
        <v>50</v>
      </c>
    </row>
    <row r="31" spans="1:11">
      <c r="A31" s="21" t="s">
        <v>21</v>
      </c>
      <c r="B31" s="21">
        <f>(8.3E-4*B25)+0.0044</f>
        <v>0.036770000000000004</v>
      </c>
      <c r="C31" s="21" t="s">
        <v>51</v>
      </c>
    </row>
    <row r="32" spans="1:11">
      <c r="A32" s="21" t="s">
        <v>52</v>
      </c>
      <c r="B32" s="24">
        <f>B6*EXP(-B31*B29)</f>
        <v>13.23335294357971</v>
      </c>
      <c r="C32" s="21" t="s">
        <v>53</v>
      </c>
    </row>
    <row r="33" spans="1:11">
      <c r="B33" s="24" t="str">
        <f>IF(B32&lt;10,"Trough is too low","Trough is acceptable")</f>
        <v>Trough is acceptable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Set Trough</vt:lpstr>
      <vt:lpstr>Adjust trough</vt:lpstr>
    </vt:vector>
  </TitlesOfParts>
  <Company>MS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xsi="http://www.w3.org/2001/XMLSchema-instance">
  <dc:creator>Android phone</dc:creator>
  <cp:lastModifiedBy>Android phone</cp:lastModifiedBy>
</cp:coreProperties>
</file>