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D4" i="1"/>
  <c r="D5" i="1"/>
  <c r="D2" i="1"/>
  <c r="B29" i="1"/>
  <c r="D3" i="1"/>
  <c r="K30" i="1"/>
  <c r="B28" i="1"/>
  <c r="B31" i="1"/>
  <c r="B32" i="1"/>
  <c r="B33" i="1"/>
  <c r="B17" i="1"/>
  <c r="B18" i="1"/>
  <c r="B22" i="1"/>
  <c r="B21" i="1"/>
  <c r="B16" i="1"/>
  <c r="B20" i="1"/>
  <c r="B15" i="1"/>
</calcChain>
</file>

<file path=xl/sharedStrings.xml><?xml version="1.0" encoding="utf-8"?>
<sst xmlns="http://schemas.openxmlformats.org/spreadsheetml/2006/main" count="37" uniqueCount="36">
  <si>
    <t>Military Time (hour)</t>
  </si>
  <si>
    <t>Military Time (min)</t>
  </si>
  <si>
    <t>Administration 1</t>
  </si>
  <si>
    <t>Administration 2</t>
  </si>
  <si>
    <t>Trough time</t>
  </si>
  <si>
    <t>Age</t>
  </si>
  <si>
    <t>Male = 1   Female = 2</t>
  </si>
  <si>
    <t>Height (in)</t>
  </si>
  <si>
    <t>Weight (kg)</t>
  </si>
  <si>
    <t>SCr</t>
  </si>
  <si>
    <t>BMI</t>
  </si>
  <si>
    <t>kg/m^2</t>
  </si>
  <si>
    <t>TBW</t>
  </si>
  <si>
    <t>Weight</t>
  </si>
  <si>
    <t>IBW</t>
  </si>
  <si>
    <t>Males: IBW = 50 kg + 2.3 kg for each inch over 5 feet
Females: IBW = 45.5 kg + 2.3 kg for each inch over 5 feet</t>
  </si>
  <si>
    <t>ABW</t>
  </si>
  <si>
    <t>ABW = IBW + 0.4(TBW - IBW)</t>
  </si>
  <si>
    <t>CrCl using TBW (ml/min)</t>
  </si>
  <si>
    <t>CrCl using IBW (ml/min)</t>
  </si>
  <si>
    <t>CrCl using ABW (ml/min)</t>
  </si>
  <si>
    <t>Vanco CrCl (TBW or ABW)</t>
  </si>
  <si>
    <t>if obese, use ABW CrCl else use TBW CrCl</t>
  </si>
  <si>
    <t>Dosing Interval (hrs)</t>
  </si>
  <si>
    <t>time from blood drawn to trough</t>
  </si>
  <si>
    <t>ke</t>
  </si>
  <si>
    <t>ke = 0.00083*CrCl + 0.0044</t>
  </si>
  <si>
    <t>C2 = C1 * e^[-ke * (τ- t’)]</t>
  </si>
  <si>
    <t>Goal 10 - 20</t>
  </si>
  <si>
    <t>extrapolated trough (C2)</t>
  </si>
  <si>
    <t>"Trough" Level (C1)</t>
  </si>
  <si>
    <t>Concentration</t>
  </si>
  <si>
    <t>Dosing frequency = Adminstration 2 - Administration 1</t>
  </si>
  <si>
    <t xml:space="preserve"> (τ- t’) if number is negative, switch adminsitration times</t>
  </si>
  <si>
    <t>hours</t>
  </si>
  <si>
    <t>MIC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</si>
</sst>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Concentration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15.32302472077667</c:v>
                </c:pt>
                <c:pt idx="1">
                  <c:v>14.2300052480929</c:v>
                </c:pt>
                <c:pt idx="2">
                  <c:v>13.21495286020056</c:v>
                </c:pt>
                <c:pt idx="3">
                  <c:v>12.27230602186373</c:v>
                </c:pt>
                <c:pt idx="4">
                  <c:v>11.39689991236086</c:v>
                </c:pt>
                <c:pt idx="5">
                  <c:v>10.58393812711048</c:v>
                </c:pt>
                <c:pt idx="6">
                  <c:v>9.828966397871795</c:v>
                </c:pt>
                <c:pt idx="7">
                  <c:v>9.127848187531677</c:v>
                </c:pt>
                <c:pt idx="8">
                  <c:v>8.476742025760268</c:v>
                </c:pt>
                <c:pt idx="9">
                  <c:v>7.872080461355822</c:v>
                </c:pt>
                <c:pt idx="10">
                  <c:v>7.310550515957471</c:v>
                </c:pt>
                <c:pt idx="11">
                  <c:v>6.789075532030481</c:v>
                </c:pt>
                <c:pt idx="12">
                  <c:v>6.304798315668064</c:v>
                </c:pt>
                <c:pt idx="13">
                  <c:v>5.85506548184805</c:v>
                </c:pt>
                <c:pt idx="14">
                  <c:v>5.437412916371143</c:v>
                </c:pt>
                <c:pt idx="15">
                  <c:v>5.049552274825779</c:v>
                </c:pt>
                <c:pt idx="16">
                  <c:v>4.689358444606634</c:v>
                </c:pt>
                <c:pt idx="17">
                  <c:v>4.354857901290321</c:v>
                </c:pt>
                <c:pt idx="18">
                  <c:v>4.044217895572193</c:v>
                </c:pt>
                <c:pt idx="19">
                  <c:v>3.755736411518793</c:v>
                </c:pt>
                <c:pt idx="20">
                  <c:v>3.487832841116577</c:v>
                </c:pt>
                <c:pt idx="21">
                  <c:v>3.239039324022184</c:v>
                </c:pt>
                <c:pt idx="22">
                  <c:v>3.007992705064222</c:v>
                </c:pt>
                <c:pt idx="23">
                  <c:v>2.79342706543121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MIC = 10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26168"/>
        <c:axId val="2056821576"/>
      </c:lineChart>
      <c:catAx>
        <c:axId val="209342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21576"/>
        <c:crosses val="autoZero"/>
        <c:auto val="1"/>
        <c:lblAlgn val="ctr"/>
        <c:lblOffset val="100"/>
        <c:noMultiLvlLbl val="0"/>
      </c:catAx>
      <c:valAx>
        <c:axId val="205682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2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5</xdr:row>
      <xdr:rowOff>184150</xdr:rowOff>
    </xdr:from>
    <xdr:to>
      <xdr:col>7</xdr:col>
      <xdr:colOff>495300</xdr:colOff>
      <xdr:row>19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25" sqref="G25"/>
    </sheetView>
  </sheetViews>
  <sheetFormatPr baseColWidth="10" defaultColWidth="8.83203125" defaultRowHeight="15" x14ac:dyDescent="0"/>
  <cols>
    <col min="1" max="1" width="32.1640625" bestFit="1" customWidth="1"/>
    <col min="2" max="2" width="18" bestFit="1" customWidth="1"/>
    <col min="3" max="3" width="51.1640625" customWidth="1"/>
    <col min="5" max="5" width="14.33203125" bestFit="1" customWidth="1"/>
    <col min="6" max="6" width="17.1640625" bestFit="1" customWidth="1"/>
    <col min="7" max="7" width="16.5" bestFit="1" customWidth="1"/>
    <col min="9" max="9" width="5.83203125" bestFit="1" customWidth="1"/>
    <col min="10" max="10" width="14.33203125" customWidth="1"/>
  </cols>
  <sheetData>
    <row r="1" spans="1:11">
      <c r="B1" t="s">
        <v>0</v>
      </c>
      <c r="C1" t="s">
        <v>1</v>
      </c>
      <c r="D1" t="s">
        <v>34</v>
      </c>
      <c r="I1" s="3" t="s">
        <v>34</v>
      </c>
      <c r="J1" s="3" t="s">
        <v>31</v>
      </c>
      <c r="K1" t="s">
        <v>35</v>
      </c>
    </row>
    <row r="2" spans="1:11">
      <c r="A2" t="s">
        <v>2</v>
      </c>
      <c r="B2" s="1">
        <v>8</v>
      </c>
      <c r="C2" s="2">
        <v>0</v>
      </c>
      <c r="D2">
        <f>C2/60+B2</f>
        <v>8</v>
      </c>
      <c r="I2" s="3">
        <v>1</v>
      </c>
      <c r="J2" s="3">
        <f>$B$6*EXP(-$B$31*I2)</f>
        <v>15.323024720776667</v>
      </c>
      <c r="K2">
        <v>10</v>
      </c>
    </row>
    <row r="3" spans="1:11">
      <c r="A3" t="s">
        <v>4</v>
      </c>
      <c r="B3" s="1">
        <v>9</v>
      </c>
      <c r="C3" s="2">
        <v>30</v>
      </c>
      <c r="D3">
        <f>C3/60+B3</f>
        <v>9.5</v>
      </c>
      <c r="I3" s="3">
        <v>2</v>
      </c>
      <c r="J3" s="3">
        <f t="shared" ref="J3:J25" si="0">$B$6*EXP(-$B$31*I3)</f>
        <v>14.230005248092901</v>
      </c>
      <c r="K3">
        <v>10</v>
      </c>
    </row>
    <row r="4" spans="1:11">
      <c r="A4" t="s">
        <v>3</v>
      </c>
      <c r="B4" s="1">
        <v>16</v>
      </c>
      <c r="C4" s="2">
        <v>0</v>
      </c>
      <c r="D4">
        <f>(C4/60)+B4</f>
        <v>16</v>
      </c>
      <c r="I4" s="3">
        <v>3</v>
      </c>
      <c r="J4" s="3">
        <f t="shared" si="0"/>
        <v>13.214952860200558</v>
      </c>
      <c r="K4">
        <v>10</v>
      </c>
    </row>
    <row r="5" spans="1:11">
      <c r="D5">
        <f>D4-D3</f>
        <v>6.5</v>
      </c>
      <c r="I5" s="3">
        <v>4</v>
      </c>
      <c r="J5" s="3">
        <f t="shared" si="0"/>
        <v>12.272306021863727</v>
      </c>
      <c r="K5">
        <v>10</v>
      </c>
    </row>
    <row r="6" spans="1:11">
      <c r="A6" t="s">
        <v>30</v>
      </c>
      <c r="B6" s="1">
        <v>16.5</v>
      </c>
      <c r="I6" s="3">
        <v>5</v>
      </c>
      <c r="J6" s="3">
        <f t="shared" si="0"/>
        <v>11.396899912360864</v>
      </c>
      <c r="K6">
        <v>10</v>
      </c>
    </row>
    <row r="7" spans="1:11">
      <c r="I7" s="3">
        <v>6</v>
      </c>
      <c r="J7" s="3">
        <f t="shared" si="0"/>
        <v>10.583938127110482</v>
      </c>
      <c r="K7">
        <v>10</v>
      </c>
    </row>
    <row r="8" spans="1:11">
      <c r="I8" s="3">
        <v>7</v>
      </c>
      <c r="J8" s="3">
        <f t="shared" si="0"/>
        <v>9.8289663978717954</v>
      </c>
      <c r="K8">
        <v>10</v>
      </c>
    </row>
    <row r="9" spans="1:11">
      <c r="A9" s="4" t="s">
        <v>5</v>
      </c>
      <c r="B9" s="5">
        <v>58</v>
      </c>
      <c r="C9" s="4"/>
      <c r="I9" s="3">
        <v>8</v>
      </c>
      <c r="J9" s="3">
        <f t="shared" si="0"/>
        <v>9.1278481875316775</v>
      </c>
      <c r="K9">
        <v>10</v>
      </c>
    </row>
    <row r="10" spans="1:11">
      <c r="A10" s="4" t="s">
        <v>6</v>
      </c>
      <c r="B10" s="5">
        <v>1</v>
      </c>
      <c r="C10" s="4"/>
      <c r="I10" s="3">
        <v>9</v>
      </c>
      <c r="J10" s="3">
        <f t="shared" si="0"/>
        <v>8.4767420257602684</v>
      </c>
      <c r="K10">
        <v>10</v>
      </c>
    </row>
    <row r="11" spans="1:11">
      <c r="A11" s="4" t="s">
        <v>7</v>
      </c>
      <c r="B11" s="5">
        <v>72</v>
      </c>
      <c r="C11" s="4"/>
      <c r="I11" s="3">
        <v>10</v>
      </c>
      <c r="J11" s="3">
        <f t="shared" si="0"/>
        <v>7.8720804613558224</v>
      </c>
      <c r="K11">
        <v>10</v>
      </c>
    </row>
    <row r="12" spans="1:11">
      <c r="A12" s="4" t="s">
        <v>8</v>
      </c>
      <c r="B12" s="5">
        <v>104.5</v>
      </c>
      <c r="C12" s="4"/>
      <c r="I12" s="3">
        <v>11</v>
      </c>
      <c r="J12" s="3">
        <f t="shared" si="0"/>
        <v>7.3105505159574706</v>
      </c>
      <c r="K12">
        <v>10</v>
      </c>
    </row>
    <row r="13" spans="1:11">
      <c r="A13" s="4" t="s">
        <v>9</v>
      </c>
      <c r="B13" s="5">
        <v>1.2</v>
      </c>
      <c r="C13" s="4"/>
      <c r="I13" s="3">
        <v>12</v>
      </c>
      <c r="J13" s="3">
        <f t="shared" si="0"/>
        <v>6.7890755320304814</v>
      </c>
      <c r="K13">
        <v>10</v>
      </c>
    </row>
    <row r="14" spans="1:11">
      <c r="A14" s="4"/>
      <c r="B14" s="6"/>
      <c r="C14" s="4"/>
      <c r="I14" s="3">
        <v>13</v>
      </c>
      <c r="J14" s="3">
        <f t="shared" si="0"/>
        <v>6.304798315668064</v>
      </c>
      <c r="K14">
        <v>10</v>
      </c>
    </row>
    <row r="15" spans="1:11">
      <c r="A15" s="4" t="s">
        <v>10</v>
      </c>
      <c r="B15" s="6">
        <f>B12/(B11/100*2.54)^2</f>
        <v>31.245239959615724</v>
      </c>
      <c r="C15" s="4" t="s">
        <v>11</v>
      </c>
      <c r="I15" s="3">
        <v>14</v>
      </c>
      <c r="J15" s="3">
        <f t="shared" si="0"/>
        <v>5.8550654818480501</v>
      </c>
      <c r="K15">
        <v>10</v>
      </c>
    </row>
    <row r="16" spans="1:11">
      <c r="A16" s="4" t="s">
        <v>12</v>
      </c>
      <c r="B16" s="6">
        <f>B12</f>
        <v>104.5</v>
      </c>
      <c r="C16" s="4" t="s">
        <v>13</v>
      </c>
      <c r="I16" s="3">
        <v>15</v>
      </c>
      <c r="J16" s="3">
        <f t="shared" si="0"/>
        <v>5.4374129163711427</v>
      </c>
      <c r="K16">
        <v>10</v>
      </c>
    </row>
    <row r="17" spans="1:11" ht="30">
      <c r="A17" s="4" t="s">
        <v>14</v>
      </c>
      <c r="B17" s="6">
        <f>IF(B10=1,50+(2.3*(B11-60)),IF(B10=2,45.5+(2.3*(B11-60)),"Enter Gener"))</f>
        <v>77.599999999999994</v>
      </c>
      <c r="C17" s="7" t="s">
        <v>15</v>
      </c>
      <c r="I17" s="3">
        <v>16</v>
      </c>
      <c r="J17" s="3">
        <f t="shared" si="0"/>
        <v>5.0495522748257793</v>
      </c>
      <c r="K17">
        <v>10</v>
      </c>
    </row>
    <row r="18" spans="1:11">
      <c r="A18" s="4" t="s">
        <v>16</v>
      </c>
      <c r="B18" s="6">
        <f>B17+(0.4*(B12-B17))</f>
        <v>88.36</v>
      </c>
      <c r="C18" s="4" t="s">
        <v>17</v>
      </c>
      <c r="I18" s="3">
        <v>17</v>
      </c>
      <c r="J18" s="3">
        <f t="shared" si="0"/>
        <v>4.6893584446066345</v>
      </c>
      <c r="K18">
        <v>10</v>
      </c>
    </row>
    <row r="19" spans="1:11">
      <c r="A19" s="4"/>
      <c r="B19" s="6"/>
      <c r="C19" s="4"/>
      <c r="I19" s="3">
        <v>18</v>
      </c>
      <c r="J19" s="3">
        <f t="shared" si="0"/>
        <v>4.3548579012903206</v>
      </c>
      <c r="K19">
        <v>10</v>
      </c>
    </row>
    <row r="20" spans="1:11">
      <c r="A20" s="4" t="s">
        <v>18</v>
      </c>
      <c r="B20" s="6">
        <f>IF(B10=1,((140-B9)*B16/72/B13),IF(B10=2,(140-B9)*B16/72/B13*0.85))</f>
        <v>99.178240740740748</v>
      </c>
      <c r="C20" s="4"/>
      <c r="I20" s="3">
        <v>19</v>
      </c>
      <c r="J20" s="3">
        <f t="shared" si="0"/>
        <v>4.044217895572193</v>
      </c>
      <c r="K20">
        <v>10</v>
      </c>
    </row>
    <row r="21" spans="1:11">
      <c r="A21" s="4" t="s">
        <v>19</v>
      </c>
      <c r="B21" s="6">
        <f>IF(B10=1,((140-B9)*B17/72/B13),IF(B10=2,(140-B9)*B17/72/B13*0.85))</f>
        <v>73.648148148148152</v>
      </c>
      <c r="C21" s="4"/>
      <c r="I21" s="3">
        <v>20</v>
      </c>
      <c r="J21" s="3">
        <f t="shared" si="0"/>
        <v>3.7557364115187934</v>
      </c>
      <c r="K21">
        <v>10</v>
      </c>
    </row>
    <row r="22" spans="1:11">
      <c r="A22" s="4" t="s">
        <v>20</v>
      </c>
      <c r="B22" s="6">
        <f>IF(B10=1,((140-B9)*B18/72/B13),IF(B10=2,(140-B9)*B18/72/B13*0.85))</f>
        <v>83.860185185185173</v>
      </c>
      <c r="C22" s="4"/>
      <c r="I22" s="3">
        <v>21</v>
      </c>
      <c r="J22" s="3">
        <f t="shared" si="0"/>
        <v>3.4878328411165778</v>
      </c>
      <c r="K22">
        <v>10</v>
      </c>
    </row>
    <row r="23" spans="1:11">
      <c r="A23" s="4"/>
      <c r="B23" s="4"/>
      <c r="C23" s="4"/>
      <c r="I23" s="3">
        <v>22</v>
      </c>
      <c r="J23" s="3">
        <f t="shared" si="0"/>
        <v>3.2390393240221838</v>
      </c>
      <c r="K23">
        <v>10</v>
      </c>
    </row>
    <row r="24" spans="1:11">
      <c r="A24" s="4"/>
      <c r="B24" s="6"/>
      <c r="C24" s="4"/>
      <c r="I24" s="3">
        <v>23</v>
      </c>
      <c r="J24" s="3">
        <f t="shared" si="0"/>
        <v>3.0079927050642223</v>
      </c>
      <c r="K24">
        <v>10</v>
      </c>
    </row>
    <row r="25" spans="1:11">
      <c r="A25" s="4" t="s">
        <v>21</v>
      </c>
      <c r="B25" s="5">
        <v>83.86</v>
      </c>
      <c r="C25" s="4" t="s">
        <v>22</v>
      </c>
      <c r="I25" s="3">
        <v>24</v>
      </c>
      <c r="J25" s="3">
        <f t="shared" si="0"/>
        <v>2.7934270654312097</v>
      </c>
      <c r="K25">
        <v>10</v>
      </c>
    </row>
    <row r="28" spans="1:11">
      <c r="A28" t="s">
        <v>23</v>
      </c>
      <c r="B28">
        <f>ABS((B4+(C4/60))-(B2+(C2/60)))</f>
        <v>8</v>
      </c>
      <c r="C28" t="s">
        <v>32</v>
      </c>
    </row>
    <row r="29" spans="1:11">
      <c r="A29" t="s">
        <v>24</v>
      </c>
      <c r="B29">
        <f>IF(D5&gt;12,D2-D3,D4-D3)</f>
        <v>6.5</v>
      </c>
      <c r="C29" s="8" t="s">
        <v>33</v>
      </c>
    </row>
    <row r="30" spans="1:11">
      <c r="K30">
        <f>B4-B2</f>
        <v>8</v>
      </c>
    </row>
    <row r="31" spans="1:11">
      <c r="A31" t="s">
        <v>25</v>
      </c>
      <c r="B31">
        <f>(0.00083*B25)+0.0044</f>
        <v>7.4003799999999995E-2</v>
      </c>
      <c r="C31" t="s">
        <v>26</v>
      </c>
    </row>
    <row r="32" spans="1:11">
      <c r="A32" t="s">
        <v>29</v>
      </c>
      <c r="B32" s="9">
        <f>B6*EXP(-B31*B29)</f>
        <v>10.199469212097416</v>
      </c>
      <c r="C32" t="s">
        <v>27</v>
      </c>
    </row>
    <row r="33" spans="2:3">
      <c r="B33" s="9" t="str">
        <f>IF(B32&lt;10,"Trough is too low","Trough is acceptable")</f>
        <v>Trough is acceptable</v>
      </c>
      <c r="C33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Do</dc:creator>
  <cp:lastModifiedBy>Leon Do</cp:lastModifiedBy>
  <dcterms:created xsi:type="dcterms:W3CDTF">2014-04-18T01:53:38Z</dcterms:created>
  <dcterms:modified xsi:type="dcterms:W3CDTF">2014-04-18T13:59:53Z</dcterms:modified>
</cp:coreProperties>
</file>