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-training\4_Data\"/>
    </mc:Choice>
  </mc:AlternateContent>
  <xr:revisionPtr revIDLastSave="0" documentId="8_{F3A54FA7-2886-4841-A813-40EB816FA05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全公司細目" sheetId="1" r:id="rId1"/>
    <sheet name="M1細目" sheetId="10" r:id="rId2"/>
    <sheet name="月報" sheetId="4" r:id="rId3"/>
    <sheet name="標準管控值" sheetId="8" r:id="rId4"/>
  </sheets>
  <definedNames>
    <definedName name="_xlnm.Print_Area" localSheetId="2">月報!$A:$U</definedName>
    <definedName name="_xlnm.Print_Area" localSheetId="0">全公司細目!$B:$P</definedName>
    <definedName name="_xlnm.Print_Area" localSheetId="3">標準管控值!$A$1:$Q$31</definedName>
    <definedName name="_xlnm.Print_Titles" localSheetId="3">標準管控值!$1:$2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7" i="4" l="1"/>
  <c r="O26" i="4"/>
  <c r="O25" i="4"/>
  <c r="O24" i="4"/>
  <c r="N27" i="4" l="1"/>
  <c r="N25" i="4"/>
  <c r="N24" i="4"/>
  <c r="M27" i="4" l="1"/>
  <c r="M25" i="4"/>
  <c r="M24" i="4"/>
  <c r="V20" i="8" l="1"/>
  <c r="J27" i="4" l="1"/>
  <c r="K27" i="4"/>
  <c r="L27" i="4"/>
  <c r="L26" i="4"/>
  <c r="L25" i="4"/>
  <c r="L24" i="4"/>
  <c r="K24" i="4" l="1"/>
  <c r="K25" i="4"/>
  <c r="J26" i="4" l="1"/>
  <c r="J25" i="4"/>
  <c r="J24" i="4"/>
  <c r="T11" i="8" l="1"/>
  <c r="I27" i="4" l="1"/>
  <c r="I25" i="4"/>
  <c r="I24" i="4"/>
  <c r="H27" i="4" l="1"/>
  <c r="H25" i="4"/>
  <c r="H24" i="4"/>
  <c r="G27" i="4" l="1"/>
  <c r="G25" i="4"/>
  <c r="G24" i="4"/>
  <c r="B23" i="8" l="1"/>
  <c r="B27" i="4"/>
  <c r="B27" i="8" s="1"/>
  <c r="B26" i="4"/>
  <c r="B26" i="8" s="1"/>
  <c r="B25" i="4"/>
  <c r="B25" i="8" s="1"/>
  <c r="B24" i="4"/>
  <c r="B24" i="8" s="1"/>
  <c r="B22" i="4"/>
  <c r="B22" i="8" s="1"/>
  <c r="B21" i="4"/>
  <c r="B21" i="8" s="1"/>
  <c r="B19" i="4"/>
  <c r="B19" i="8" s="1"/>
  <c r="B20" i="4"/>
  <c r="B20" i="8" s="1"/>
  <c r="B18" i="4"/>
  <c r="B18" i="8" s="1"/>
  <c r="B17" i="4"/>
  <c r="B17" i="8" s="1"/>
  <c r="B16" i="4"/>
  <c r="B16" i="8" s="1"/>
  <c r="B15" i="4"/>
  <c r="B15" i="8" s="1"/>
  <c r="B14" i="4"/>
  <c r="B14" i="8" s="1"/>
  <c r="B13" i="4"/>
  <c r="B13" i="8" s="1"/>
  <c r="B12" i="4"/>
  <c r="B12" i="8" s="1"/>
  <c r="B11" i="4"/>
  <c r="B11" i="8" s="1"/>
  <c r="B10" i="4"/>
  <c r="B10" i="8" s="1"/>
  <c r="B9" i="4"/>
  <c r="B9" i="8" s="1"/>
  <c r="B7" i="4"/>
  <c r="B7" i="8" s="1"/>
  <c r="B8" i="4"/>
  <c r="B8" i="8" s="1"/>
  <c r="B6" i="4"/>
  <c r="B6" i="8" s="1"/>
  <c r="B5" i="4"/>
  <c r="B5" i="8" s="1"/>
  <c r="B4" i="4"/>
  <c r="B4" i="8" s="1"/>
  <c r="B3" i="4"/>
  <c r="B3" i="8" s="1"/>
  <c r="F27" i="4"/>
  <c r="F25" i="4"/>
  <c r="F24" i="4"/>
  <c r="P20" i="8" l="1"/>
  <c r="Q20" i="4" s="1"/>
  <c r="J20" i="8"/>
  <c r="O20" i="8"/>
  <c r="I20" i="8"/>
  <c r="N20" i="8"/>
  <c r="H20" i="8"/>
  <c r="M20" i="8"/>
  <c r="G20" i="8"/>
  <c r="L20" i="8"/>
  <c r="F20" i="8"/>
  <c r="K20" i="8"/>
  <c r="E20" i="8"/>
  <c r="F21" i="8"/>
  <c r="N21" i="8"/>
  <c r="M21" i="8"/>
  <c r="L7" i="8"/>
  <c r="F7" i="8"/>
  <c r="M7" i="8"/>
  <c r="G7" i="8"/>
  <c r="N7" i="8"/>
  <c r="H7" i="8"/>
  <c r="O7" i="8"/>
  <c r="E7" i="8"/>
  <c r="K7" i="8"/>
  <c r="P7" i="8"/>
  <c r="I7" i="8"/>
  <c r="J7" i="8"/>
  <c r="F26" i="4"/>
  <c r="F25" i="8"/>
  <c r="G25" i="8"/>
  <c r="H25" i="8"/>
  <c r="I25" i="8"/>
  <c r="J25" i="8"/>
  <c r="K25" i="8"/>
  <c r="R25" i="4"/>
  <c r="S25" i="4" s="1"/>
  <c r="P25" i="4"/>
  <c r="Q25" i="4"/>
  <c r="E25" i="8"/>
  <c r="F24" i="8"/>
  <c r="G24" i="8"/>
  <c r="H24" i="8"/>
  <c r="I24" i="8"/>
  <c r="J24" i="8"/>
  <c r="K24" i="8"/>
  <c r="L24" i="8"/>
  <c r="M24" i="8"/>
  <c r="N24" i="8"/>
  <c r="O24" i="8"/>
  <c r="P24" i="4" s="1"/>
  <c r="P24" i="8"/>
  <c r="Q24" i="4" s="1"/>
  <c r="E24" i="8"/>
  <c r="C24" i="8"/>
  <c r="T25" i="4" l="1"/>
  <c r="X25" i="4" s="1"/>
  <c r="Q24" i="8"/>
  <c r="D24" i="4"/>
  <c r="V24" i="4" s="1"/>
  <c r="T24" i="4"/>
  <c r="U24" i="4" s="1"/>
  <c r="U25" i="4" l="1"/>
  <c r="R24" i="4"/>
  <c r="S24" i="4" s="1"/>
  <c r="E21" i="8"/>
  <c r="F8" i="8" l="1"/>
  <c r="G8" i="8"/>
  <c r="P11" i="8"/>
  <c r="O11" i="8"/>
  <c r="K11" i="8"/>
  <c r="L11" i="8"/>
  <c r="M11" i="8"/>
  <c r="J11" i="8"/>
  <c r="I11" i="8"/>
  <c r="H11" i="8"/>
  <c r="F11" i="8"/>
  <c r="G11" i="8"/>
  <c r="E11" i="8"/>
  <c r="P27" i="4" l="1"/>
  <c r="Q27" i="4"/>
  <c r="F15" i="8" l="1"/>
  <c r="G15" i="8"/>
  <c r="H15" i="8"/>
  <c r="I15" i="8"/>
  <c r="J15" i="8"/>
  <c r="K15" i="8"/>
  <c r="L15" i="8"/>
  <c r="M15" i="8"/>
  <c r="N15" i="4" s="1"/>
  <c r="N15" i="8"/>
  <c r="O15" i="8"/>
  <c r="P15" i="8"/>
  <c r="E15" i="8"/>
  <c r="K21" i="8" l="1"/>
  <c r="J21" i="8"/>
  <c r="I3" i="8" l="1"/>
  <c r="H3" i="8"/>
  <c r="G3" i="8"/>
  <c r="F3" i="8"/>
  <c r="E3" i="8"/>
  <c r="P3" i="8"/>
  <c r="O3" i="8"/>
  <c r="N3" i="8"/>
  <c r="M3" i="8"/>
  <c r="N3" i="4" s="1"/>
  <c r="L3" i="8"/>
  <c r="K3" i="8"/>
  <c r="J3" i="8"/>
  <c r="C25" i="8" l="1"/>
  <c r="C20" i="8"/>
  <c r="C19" i="8"/>
  <c r="C15" i="8"/>
  <c r="C14" i="8"/>
  <c r="C13" i="8"/>
  <c r="C12" i="8"/>
  <c r="C9" i="8"/>
  <c r="C7" i="8"/>
  <c r="D27" i="4" l="1"/>
  <c r="C8" i="8"/>
  <c r="C21" i="8"/>
  <c r="C6" i="8"/>
  <c r="C5" i="8"/>
  <c r="C4" i="8"/>
  <c r="C27" i="8"/>
  <c r="C26" i="8"/>
  <c r="C23" i="8"/>
  <c r="C22" i="8"/>
  <c r="C16" i="8"/>
  <c r="C18" i="8"/>
  <c r="C17" i="8"/>
  <c r="C11" i="8"/>
  <c r="B28" i="4"/>
  <c r="C10" i="8"/>
  <c r="C3" i="8"/>
  <c r="P21" i="8" l="1"/>
  <c r="O21" i="8" l="1"/>
  <c r="G21" i="8"/>
  <c r="N21" i="4"/>
  <c r="H21" i="8"/>
  <c r="L21" i="8"/>
  <c r="I21" i="8"/>
  <c r="P12" i="8"/>
  <c r="I12" i="8"/>
  <c r="O12" i="8"/>
  <c r="H12" i="8"/>
  <c r="F12" i="8"/>
  <c r="K12" i="8"/>
  <c r="N12" i="8"/>
  <c r="G12" i="8"/>
  <c r="M12" i="8"/>
  <c r="N12" i="4" s="1"/>
  <c r="L12" i="8"/>
  <c r="E12" i="8"/>
  <c r="J12" i="8"/>
  <c r="N11" i="8"/>
  <c r="K31" i="4" s="1"/>
  <c r="D20" i="4" l="1"/>
  <c r="D12" i="4"/>
  <c r="D21" i="4"/>
  <c r="Q20" i="8"/>
  <c r="F23" i="4" l="1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J20" i="4" l="1"/>
  <c r="L20" i="4"/>
  <c r="H20" i="4"/>
  <c r="M20" i="4"/>
  <c r="K20" i="4"/>
  <c r="I20" i="4"/>
  <c r="G20" i="4"/>
  <c r="N20" i="4"/>
  <c r="A29" i="8" l="1"/>
  <c r="E27" i="4" l="1"/>
  <c r="O26" i="8" l="1"/>
  <c r="P26" i="4" s="1"/>
  <c r="K26" i="8"/>
  <c r="G26" i="8"/>
  <c r="H26" i="4" s="1"/>
  <c r="P26" i="8"/>
  <c r="Q26" i="4" s="1"/>
  <c r="J26" i="8"/>
  <c r="K26" i="4" s="1"/>
  <c r="F26" i="8"/>
  <c r="G26" i="4" s="1"/>
  <c r="M26" i="8"/>
  <c r="N26" i="4" s="1"/>
  <c r="I26" i="8"/>
  <c r="E26" i="8"/>
  <c r="N26" i="8"/>
  <c r="L26" i="8"/>
  <c r="M26" i="4" s="1"/>
  <c r="H26" i="8"/>
  <c r="I26" i="4" s="1"/>
  <c r="P20" i="4"/>
  <c r="O20" i="4"/>
  <c r="I23" i="8"/>
  <c r="M23" i="8"/>
  <c r="N23" i="4" s="1"/>
  <c r="E23" i="8"/>
  <c r="F23" i="8"/>
  <c r="G23" i="4" s="1"/>
  <c r="J23" i="8"/>
  <c r="K23" i="4" s="1"/>
  <c r="N23" i="8"/>
  <c r="O23" i="4" s="1"/>
  <c r="G23" i="8"/>
  <c r="H23" i="4" s="1"/>
  <c r="K23" i="8"/>
  <c r="L23" i="4" s="1"/>
  <c r="O23" i="8"/>
  <c r="H23" i="8"/>
  <c r="I23" i="4" s="1"/>
  <c r="L23" i="8"/>
  <c r="M23" i="4" s="1"/>
  <c r="P23" i="8"/>
  <c r="Q23" i="4" s="1"/>
  <c r="F22" i="8"/>
  <c r="G22" i="4" s="1"/>
  <c r="J22" i="8"/>
  <c r="K22" i="4" s="1"/>
  <c r="N22" i="8"/>
  <c r="O22" i="4" s="1"/>
  <c r="G22" i="8"/>
  <c r="H22" i="4" s="1"/>
  <c r="K22" i="8"/>
  <c r="L22" i="4" s="1"/>
  <c r="O22" i="8"/>
  <c r="I22" i="8"/>
  <c r="M22" i="8"/>
  <c r="N22" i="4" s="1"/>
  <c r="H22" i="8"/>
  <c r="I22" i="4" s="1"/>
  <c r="L22" i="8"/>
  <c r="M22" i="4" s="1"/>
  <c r="P22" i="8"/>
  <c r="Q22" i="4" s="1"/>
  <c r="E22" i="8"/>
  <c r="J22" i="4" l="1"/>
  <c r="D22" i="4"/>
  <c r="J23" i="4"/>
  <c r="D23" i="4"/>
  <c r="V23" i="4" s="1"/>
  <c r="D26" i="4"/>
  <c r="D25" i="4"/>
  <c r="V25" i="4" s="1"/>
  <c r="P23" i="4"/>
  <c r="P22" i="4"/>
  <c r="Q22" i="8"/>
  <c r="Q23" i="8"/>
  <c r="Q25" i="8"/>
  <c r="Q26" i="8"/>
  <c r="Q27" i="8"/>
  <c r="E25" i="4" l="1"/>
  <c r="Q30" i="8"/>
  <c r="F4" i="8" l="1"/>
  <c r="G4" i="4" s="1"/>
  <c r="N4" i="8"/>
  <c r="M4" i="8"/>
  <c r="N4" i="4" s="1"/>
  <c r="H4" i="8"/>
  <c r="P4" i="8"/>
  <c r="J4" i="8"/>
  <c r="O4" i="8"/>
  <c r="L4" i="8"/>
  <c r="E4" i="8"/>
  <c r="K4" i="8"/>
  <c r="G4" i="8"/>
  <c r="H4" i="4" s="1"/>
  <c r="I4" i="8"/>
  <c r="E20" i="4"/>
  <c r="D4" i="4" l="1"/>
  <c r="Q4" i="8"/>
  <c r="H15" i="4" l="1"/>
  <c r="G16" i="8"/>
  <c r="H16" i="4" s="1"/>
  <c r="L16" i="8"/>
  <c r="E16" i="8"/>
  <c r="K16" i="8"/>
  <c r="P16" i="8"/>
  <c r="F16" i="8"/>
  <c r="O16" i="8"/>
  <c r="J16" i="8"/>
  <c r="H16" i="8"/>
  <c r="M16" i="8"/>
  <c r="N16" i="4" s="1"/>
  <c r="N16" i="8"/>
  <c r="I16" i="8"/>
  <c r="H21" i="4"/>
  <c r="L18" i="8"/>
  <c r="M18" i="8"/>
  <c r="N18" i="4" s="1"/>
  <c r="K18" i="8"/>
  <c r="P18" i="8"/>
  <c r="E18" i="8"/>
  <c r="O18" i="8"/>
  <c r="I18" i="8"/>
  <c r="F18" i="8"/>
  <c r="J18" i="8"/>
  <c r="N18" i="8"/>
  <c r="H18" i="8"/>
  <c r="G18" i="8"/>
  <c r="H18" i="4" s="1"/>
  <c r="L19" i="8"/>
  <c r="M19" i="8"/>
  <c r="N19" i="4" s="1"/>
  <c r="K19" i="8"/>
  <c r="P19" i="8"/>
  <c r="E19" i="8"/>
  <c r="O19" i="8"/>
  <c r="H19" i="8"/>
  <c r="G19" i="8"/>
  <c r="H19" i="4" s="1"/>
  <c r="F19" i="8"/>
  <c r="J19" i="8"/>
  <c r="N19" i="8"/>
  <c r="I19" i="8"/>
  <c r="G17" i="8"/>
  <c r="H17" i="4" s="1"/>
  <c r="L17" i="8"/>
  <c r="M17" i="4" s="1"/>
  <c r="E17" i="8"/>
  <c r="F17" i="8"/>
  <c r="G17" i="4" s="1"/>
  <c r="K17" i="8"/>
  <c r="L17" i="4" s="1"/>
  <c r="P17" i="8"/>
  <c r="Q17" i="4" s="1"/>
  <c r="J17" i="8"/>
  <c r="K17" i="4" s="1"/>
  <c r="O17" i="8"/>
  <c r="P17" i="4" s="1"/>
  <c r="I17" i="8"/>
  <c r="N17" i="8"/>
  <c r="O17" i="4" s="1"/>
  <c r="H17" i="8"/>
  <c r="I17" i="4" s="1"/>
  <c r="M17" i="8"/>
  <c r="N17" i="4" s="1"/>
  <c r="H13" i="8"/>
  <c r="P13" i="8"/>
  <c r="K13" i="8"/>
  <c r="J13" i="8"/>
  <c r="E13" i="8"/>
  <c r="M13" i="8"/>
  <c r="N13" i="4" s="1"/>
  <c r="L13" i="8"/>
  <c r="G13" i="8"/>
  <c r="H13" i="4" s="1"/>
  <c r="O13" i="8"/>
  <c r="F13" i="8"/>
  <c r="N13" i="8"/>
  <c r="I13" i="8"/>
  <c r="I14" i="8"/>
  <c r="E14" i="8"/>
  <c r="L14" i="8"/>
  <c r="K14" i="8"/>
  <c r="F14" i="8"/>
  <c r="N14" i="8"/>
  <c r="J14" i="8"/>
  <c r="M14" i="8"/>
  <c r="N14" i="4" s="1"/>
  <c r="H14" i="8"/>
  <c r="P14" i="8"/>
  <c r="G14" i="8"/>
  <c r="H14" i="4" s="1"/>
  <c r="O14" i="8"/>
  <c r="H12" i="4"/>
  <c r="H11" i="4"/>
  <c r="N11" i="4"/>
  <c r="M11" i="4"/>
  <c r="J11" i="4"/>
  <c r="I11" i="4"/>
  <c r="Q11" i="4"/>
  <c r="K11" i="4"/>
  <c r="G10" i="8"/>
  <c r="H10" i="4" s="1"/>
  <c r="O10" i="8"/>
  <c r="P10" i="4" s="1"/>
  <c r="J10" i="8"/>
  <c r="I10" i="8"/>
  <c r="E10" i="8"/>
  <c r="L10" i="8"/>
  <c r="H10" i="8"/>
  <c r="K10" i="8"/>
  <c r="F10" i="8"/>
  <c r="N10" i="8"/>
  <c r="M10" i="8"/>
  <c r="N10" i="4" s="1"/>
  <c r="P10" i="8"/>
  <c r="G9" i="8"/>
  <c r="H9" i="4" s="1"/>
  <c r="O9" i="8"/>
  <c r="J9" i="8"/>
  <c r="I9" i="8"/>
  <c r="E9" i="8"/>
  <c r="L9" i="8"/>
  <c r="N9" i="8"/>
  <c r="M9" i="8"/>
  <c r="N9" i="4" s="1"/>
  <c r="P9" i="8"/>
  <c r="K9" i="8"/>
  <c r="F9" i="8"/>
  <c r="H9" i="8"/>
  <c r="I8" i="8"/>
  <c r="N8" i="8"/>
  <c r="E8" i="8"/>
  <c r="H8" i="4"/>
  <c r="O8" i="8"/>
  <c r="L8" i="8"/>
  <c r="M8" i="8"/>
  <c r="N8" i="4" s="1"/>
  <c r="J8" i="8"/>
  <c r="K8" i="8"/>
  <c r="P8" i="8"/>
  <c r="H8" i="8"/>
  <c r="M6" i="8"/>
  <c r="N6" i="4" s="1"/>
  <c r="H6" i="8"/>
  <c r="P6" i="8"/>
  <c r="I6" i="8"/>
  <c r="L6" i="8"/>
  <c r="G6" i="8"/>
  <c r="H6" i="4" s="1"/>
  <c r="O6" i="8"/>
  <c r="J6" i="8"/>
  <c r="E6" i="8"/>
  <c r="K6" i="8"/>
  <c r="F6" i="8"/>
  <c r="N6" i="8"/>
  <c r="N7" i="4"/>
  <c r="Q7" i="4"/>
  <c r="H7" i="4"/>
  <c r="D3" i="4"/>
  <c r="B28" i="8"/>
  <c r="L3" i="4"/>
  <c r="M5" i="8"/>
  <c r="N5" i="4" s="1"/>
  <c r="J5" i="8"/>
  <c r="O5" i="8"/>
  <c r="I5" i="8"/>
  <c r="N5" i="8"/>
  <c r="K5" i="8"/>
  <c r="H5" i="8"/>
  <c r="P5" i="8"/>
  <c r="G5" i="8"/>
  <c r="H5" i="4" s="1"/>
  <c r="E5" i="8"/>
  <c r="L5" i="8"/>
  <c r="F5" i="8"/>
  <c r="D8" i="4" l="1"/>
  <c r="D16" i="4"/>
  <c r="D5" i="4"/>
  <c r="D14" i="4"/>
  <c r="L11" i="4"/>
  <c r="D11" i="4"/>
  <c r="D18" i="4"/>
  <c r="D13" i="4"/>
  <c r="D19" i="4"/>
  <c r="D7" i="4"/>
  <c r="D9" i="4"/>
  <c r="D10" i="4"/>
  <c r="D15" i="4"/>
  <c r="J17" i="4"/>
  <c r="D17" i="4"/>
  <c r="J6" i="4"/>
  <c r="D6" i="4"/>
  <c r="H3" i="4"/>
  <c r="P11" i="4"/>
  <c r="Q5" i="8"/>
  <c r="Q16" i="8"/>
  <c r="Q15" i="8"/>
  <c r="Q21" i="8"/>
  <c r="Q19" i="8"/>
  <c r="Q18" i="8"/>
  <c r="Q17" i="8"/>
  <c r="Q13" i="8"/>
  <c r="Q14" i="8"/>
  <c r="O11" i="4"/>
  <c r="Q11" i="8"/>
  <c r="Q12" i="8"/>
  <c r="Q10" i="8"/>
  <c r="Q9" i="8"/>
  <c r="M28" i="8"/>
  <c r="Q7" i="8"/>
  <c r="Q8" i="8"/>
  <c r="H28" i="8"/>
  <c r="O28" i="8"/>
  <c r="Q6" i="8"/>
  <c r="I28" i="8"/>
  <c r="F28" i="8"/>
  <c r="K28" i="8"/>
  <c r="G28" i="8"/>
  <c r="J28" i="8"/>
  <c r="E28" i="8"/>
  <c r="Q3" i="8"/>
  <c r="P28" i="8"/>
  <c r="L28" i="8"/>
  <c r="N28" i="8"/>
  <c r="P9" i="4"/>
  <c r="P7" i="4"/>
  <c r="P8" i="4"/>
  <c r="V11" i="4" l="1"/>
  <c r="E17" i="4"/>
  <c r="D28" i="4"/>
  <c r="B29" i="8"/>
  <c r="P33" i="8"/>
  <c r="M16" i="4"/>
  <c r="Q16" i="4" l="1"/>
  <c r="E26" i="4"/>
  <c r="R26" i="4" l="1"/>
  <c r="M3" i="4" l="1"/>
  <c r="K3" i="4"/>
  <c r="J3" i="4"/>
  <c r="I3" i="4"/>
  <c r="G3" i="4"/>
  <c r="P3" i="4" l="1"/>
  <c r="Q3" i="4"/>
  <c r="O3" i="4"/>
  <c r="V3" i="4" s="1"/>
  <c r="E3" i="4" l="1"/>
  <c r="N28" i="4" l="1"/>
  <c r="N29" i="4" s="1"/>
  <c r="M15" i="4" l="1"/>
  <c r="M5" i="4"/>
  <c r="M4" i="4"/>
  <c r="L16" i="4" l="1"/>
  <c r="L15" i="4"/>
  <c r="L5" i="4"/>
  <c r="L4" i="4"/>
  <c r="K16" i="4" l="1"/>
  <c r="K15" i="4"/>
  <c r="K5" i="4"/>
  <c r="K4" i="4"/>
  <c r="J16" i="4" l="1"/>
  <c r="J15" i="4"/>
  <c r="J5" i="4"/>
  <c r="J4" i="4"/>
  <c r="I16" i="4" l="1"/>
  <c r="I15" i="4"/>
  <c r="I5" i="4"/>
  <c r="I4" i="4"/>
  <c r="G16" i="4" l="1"/>
  <c r="G15" i="4"/>
  <c r="G5" i="4"/>
  <c r="Q28" i="8" l="1"/>
  <c r="O16" i="4"/>
  <c r="P16" i="4"/>
  <c r="E16" i="4" l="1"/>
  <c r="O15" i="4"/>
  <c r="P15" i="4"/>
  <c r="Q15" i="4"/>
  <c r="O5" i="4"/>
  <c r="P5" i="4"/>
  <c r="Q5" i="4"/>
  <c r="O4" i="4"/>
  <c r="P4" i="4"/>
  <c r="Q4" i="4"/>
  <c r="V15" i="4" l="1"/>
  <c r="V5" i="4"/>
  <c r="E5" i="4"/>
  <c r="E4" i="4"/>
  <c r="V4" i="4"/>
  <c r="E15" i="4"/>
  <c r="R15" i="4"/>
  <c r="T4" i="4"/>
  <c r="X4" i="4" s="1"/>
  <c r="C23" i="4" l="1"/>
  <c r="C27" i="4"/>
  <c r="C3" i="4"/>
  <c r="Q19" i="4" l="1"/>
  <c r="Q18" i="4"/>
  <c r="Q13" i="4"/>
  <c r="M13" i="4"/>
  <c r="Q12" i="4"/>
  <c r="P12" i="4"/>
  <c r="O12" i="4"/>
  <c r="M12" i="4"/>
  <c r="L12" i="4"/>
  <c r="I12" i="4"/>
  <c r="G11" i="4"/>
  <c r="E11" i="4" s="1"/>
  <c r="F28" i="4" l="1"/>
  <c r="F29" i="4" s="1"/>
  <c r="P19" i="4" l="1"/>
  <c r="O18" i="4"/>
  <c r="Q14" i="4"/>
  <c r="P13" i="4"/>
  <c r="K12" i="4"/>
  <c r="Q10" i="4"/>
  <c r="Q8" i="4"/>
  <c r="O8" i="4"/>
  <c r="M8" i="4"/>
  <c r="V8" i="4" s="1"/>
  <c r="L8" i="4"/>
  <c r="K8" i="4"/>
  <c r="J8" i="4"/>
  <c r="I8" i="4"/>
  <c r="G8" i="4"/>
  <c r="E8" i="4" l="1"/>
  <c r="J10" i="4"/>
  <c r="G12" i="4"/>
  <c r="J14" i="4"/>
  <c r="G19" i="4"/>
  <c r="L10" i="4"/>
  <c r="J12" i="4"/>
  <c r="L14" i="4"/>
  <c r="P14" i="4"/>
  <c r="J7" i="4"/>
  <c r="L7" i="4"/>
  <c r="J9" i="4"/>
  <c r="L9" i="4"/>
  <c r="G10" i="4"/>
  <c r="I10" i="4"/>
  <c r="K10" i="4"/>
  <c r="M10" i="4"/>
  <c r="O10" i="4"/>
  <c r="J13" i="4"/>
  <c r="L13" i="4"/>
  <c r="O13" i="4"/>
  <c r="G14" i="4"/>
  <c r="I14" i="4"/>
  <c r="K14" i="4"/>
  <c r="M14" i="4"/>
  <c r="O14" i="4"/>
  <c r="J18" i="4"/>
  <c r="L18" i="4"/>
  <c r="P18" i="4"/>
  <c r="K19" i="4"/>
  <c r="M19" i="4"/>
  <c r="O19" i="4"/>
  <c r="Q21" i="4"/>
  <c r="O21" i="4"/>
  <c r="V21" i="4" s="1"/>
  <c r="L21" i="4"/>
  <c r="J21" i="4"/>
  <c r="P21" i="4"/>
  <c r="M21" i="4"/>
  <c r="K21" i="4"/>
  <c r="I21" i="4"/>
  <c r="G7" i="4"/>
  <c r="I7" i="4"/>
  <c r="K7" i="4"/>
  <c r="M7" i="4"/>
  <c r="O7" i="4"/>
  <c r="G9" i="4"/>
  <c r="I9" i="4"/>
  <c r="K9" i="4"/>
  <c r="M9" i="4"/>
  <c r="O9" i="4"/>
  <c r="G13" i="4"/>
  <c r="I13" i="4"/>
  <c r="K13" i="4"/>
  <c r="G18" i="4"/>
  <c r="I18" i="4"/>
  <c r="K18" i="4"/>
  <c r="M18" i="4"/>
  <c r="J19" i="4"/>
  <c r="L19" i="4"/>
  <c r="G21" i="4"/>
  <c r="E22" i="4"/>
  <c r="E23" i="4"/>
  <c r="V10" i="4" l="1"/>
  <c r="V9" i="4"/>
  <c r="V12" i="4"/>
  <c r="V7" i="4"/>
  <c r="E14" i="4"/>
  <c r="V18" i="4"/>
  <c r="E7" i="4"/>
  <c r="E13" i="4"/>
  <c r="V13" i="4"/>
  <c r="E12" i="4"/>
  <c r="E18" i="4"/>
  <c r="E10" i="4"/>
  <c r="E21" i="4"/>
  <c r="Q9" i="4"/>
  <c r="R9" i="4" s="1"/>
  <c r="E9" i="4" l="1"/>
  <c r="T9" i="4"/>
  <c r="U9" i="4" l="1"/>
  <c r="X9" i="4"/>
  <c r="T18" i="4"/>
  <c r="R11" i="4"/>
  <c r="L31" i="4" s="1"/>
  <c r="T15" i="4"/>
  <c r="T26" i="4"/>
  <c r="S9" i="4"/>
  <c r="T21" i="4"/>
  <c r="S26" i="4"/>
  <c r="T12" i="4"/>
  <c r="T27" i="4"/>
  <c r="S15" i="4"/>
  <c r="R3" i="4"/>
  <c r="R5" i="4"/>
  <c r="S5" i="4" s="1"/>
  <c r="R7" i="4"/>
  <c r="R13" i="4"/>
  <c r="S13" i="4" s="1"/>
  <c r="R21" i="4"/>
  <c r="S21" i="4" s="1"/>
  <c r="R8" i="4"/>
  <c r="R12" i="4"/>
  <c r="S12" i="4" s="1"/>
  <c r="R18" i="4"/>
  <c r="S18" i="4" s="1"/>
  <c r="R20" i="4"/>
  <c r="S20" i="4" s="1"/>
  <c r="R22" i="4"/>
  <c r="S22" i="4" s="1"/>
  <c r="T11" i="4"/>
  <c r="T22" i="4"/>
  <c r="T13" i="4"/>
  <c r="T8" i="4"/>
  <c r="T16" i="4"/>
  <c r="T20" i="4"/>
  <c r="T3" i="4"/>
  <c r="T5" i="4"/>
  <c r="S11" i="4" l="1"/>
  <c r="U3" i="4"/>
  <c r="X3" i="4"/>
  <c r="U15" i="4"/>
  <c r="X15" i="4"/>
  <c r="U16" i="4"/>
  <c r="V16" i="4" s="1"/>
  <c r="X16" i="4"/>
  <c r="U12" i="4"/>
  <c r="X12" i="4"/>
  <c r="U18" i="4"/>
  <c r="X18" i="4"/>
  <c r="U26" i="4"/>
  <c r="X26" i="4"/>
  <c r="U20" i="4"/>
  <c r="X20" i="4"/>
  <c r="U27" i="4"/>
  <c r="X27" i="4"/>
  <c r="U8" i="4"/>
  <c r="X8" i="4"/>
  <c r="U13" i="4"/>
  <c r="X13" i="4"/>
  <c r="U21" i="4"/>
  <c r="X21" i="4"/>
  <c r="U5" i="4"/>
  <c r="X5" i="4"/>
  <c r="U22" i="4"/>
  <c r="X22" i="4"/>
  <c r="U11" i="4"/>
  <c r="X11" i="4"/>
  <c r="S7" i="4"/>
  <c r="T7" i="4"/>
  <c r="S3" i="4"/>
  <c r="S8" i="4"/>
  <c r="R16" i="4"/>
  <c r="S16" i="4" s="1"/>
  <c r="R17" i="4"/>
  <c r="S17" i="4" s="1"/>
  <c r="R10" i="4"/>
  <c r="S10" i="4" s="1"/>
  <c r="R27" i="4"/>
  <c r="S27" i="4" s="1"/>
  <c r="R4" i="4"/>
  <c r="S4" i="4" s="1"/>
  <c r="R23" i="4"/>
  <c r="S23" i="4" s="1"/>
  <c r="T17" i="4"/>
  <c r="T23" i="4"/>
  <c r="U4" i="4"/>
  <c r="U23" i="4" l="1"/>
  <c r="X23" i="4"/>
  <c r="U17" i="4"/>
  <c r="V17" i="4" s="1"/>
  <c r="X17" i="4"/>
  <c r="U7" i="4"/>
  <c r="X7" i="4"/>
  <c r="R14" i="4"/>
  <c r="T10" i="4"/>
  <c r="U10" i="4" l="1"/>
  <c r="X10" i="4"/>
  <c r="T14" i="4"/>
  <c r="S14" i="4"/>
  <c r="P6" i="4"/>
  <c r="M6" i="4"/>
  <c r="I6" i="4"/>
  <c r="K6" i="4"/>
  <c r="L6" i="4"/>
  <c r="G6" i="4"/>
  <c r="Q6" i="4"/>
  <c r="O6" i="4"/>
  <c r="U14" i="4" l="1"/>
  <c r="X14" i="4"/>
  <c r="V6" i="4"/>
  <c r="E6" i="4"/>
  <c r="Q28" i="4"/>
  <c r="Q29" i="4" s="1"/>
  <c r="P28" i="4"/>
  <c r="P29" i="4" s="1"/>
  <c r="O28" i="4"/>
  <c r="O29" i="4" s="1"/>
  <c r="M28" i="4"/>
  <c r="M29" i="4" s="1"/>
  <c r="L28" i="4"/>
  <c r="L29" i="4" s="1"/>
  <c r="K28" i="4"/>
  <c r="K29" i="4" s="1"/>
  <c r="J28" i="4"/>
  <c r="J29" i="4" s="1"/>
  <c r="G28" i="4"/>
  <c r="G29" i="4" s="1"/>
  <c r="R6" i="4"/>
  <c r="T6" i="4"/>
  <c r="I19" i="4"/>
  <c r="E19" i="4" l="1"/>
  <c r="V19" i="4"/>
  <c r="U6" i="4"/>
  <c r="X6" i="4"/>
  <c r="I28" i="4"/>
  <c r="H28" i="4"/>
  <c r="H29" i="4" s="1"/>
  <c r="T19" i="4"/>
  <c r="R19" i="4"/>
  <c r="S6" i="4"/>
  <c r="U19" i="4" l="1"/>
  <c r="X19" i="4"/>
  <c r="I29" i="4"/>
  <c r="E28" i="4"/>
  <c r="R28" i="4"/>
  <c r="Q31" i="4" s="1"/>
  <c r="S19" i="4"/>
  <c r="S28" i="4" l="1"/>
  <c r="T28" i="4"/>
  <c r="X28" i="4" s="1"/>
  <c r="U28" i="4" l="1"/>
</calcChain>
</file>

<file path=xl/sharedStrings.xml><?xml version="1.0" encoding="utf-8"?>
<sst xmlns="http://schemas.openxmlformats.org/spreadsheetml/2006/main" count="690" uniqueCount="379">
  <si>
    <t>頁數：1</t>
  </si>
  <si>
    <t>全公司</t>
  </si>
  <si>
    <t>年度預算</t>
  </si>
  <si>
    <t>合計</t>
  </si>
  <si>
    <t>人事費用</t>
  </si>
  <si>
    <t>　員工薪資</t>
  </si>
  <si>
    <t>　伙食津貼</t>
  </si>
  <si>
    <t>　聘用人員薪資</t>
  </si>
  <si>
    <t>　勞務外包薪資</t>
  </si>
  <si>
    <t>　員工加班費</t>
  </si>
  <si>
    <t>　夜班津貼</t>
  </si>
  <si>
    <t>　夜點費</t>
  </si>
  <si>
    <t>　職務加給</t>
  </si>
  <si>
    <t>　其他津貼</t>
  </si>
  <si>
    <t>　各項獎金</t>
  </si>
  <si>
    <t>　其他獎金</t>
  </si>
  <si>
    <t>　員工退休及恤償金</t>
  </si>
  <si>
    <t>　員工資遣費</t>
  </si>
  <si>
    <t>　工資墊償費用</t>
  </si>
  <si>
    <t>　員工勞工保險費</t>
  </si>
  <si>
    <t>　員工健康保險費</t>
  </si>
  <si>
    <t>　員工團體保險費</t>
  </si>
  <si>
    <t>　殘障補助費</t>
  </si>
  <si>
    <t>　醫療及健檢費</t>
  </si>
  <si>
    <t>　訓練費用</t>
  </si>
  <si>
    <t>　稿費及翻譯費</t>
  </si>
  <si>
    <t>　福利金及福利費</t>
  </si>
  <si>
    <t>　小計</t>
  </si>
  <si>
    <t>頁數：2</t>
  </si>
  <si>
    <t>服務費用</t>
  </si>
  <si>
    <t>　會計師公費</t>
  </si>
  <si>
    <t>　律師公費</t>
  </si>
  <si>
    <t>　企業顧問服務</t>
  </si>
  <si>
    <t>　軟體服務費</t>
  </si>
  <si>
    <t>　其他專業服務</t>
  </si>
  <si>
    <t>　檢驗校驗費用</t>
  </si>
  <si>
    <t>　保全費用</t>
  </si>
  <si>
    <t>　清潔服務費</t>
  </si>
  <si>
    <t>　綠化服務費</t>
  </si>
  <si>
    <t>　環境消毒服務費</t>
  </si>
  <si>
    <t>　志工費用</t>
  </si>
  <si>
    <t>　結算手續費</t>
  </si>
  <si>
    <t>　員工國內旅費</t>
  </si>
  <si>
    <t>　員工國外旅費</t>
  </si>
  <si>
    <t>　員工大陸旅費</t>
  </si>
  <si>
    <t>　外界人士旅費</t>
  </si>
  <si>
    <t>　交通費</t>
  </si>
  <si>
    <t>水電及用品</t>
  </si>
  <si>
    <t>　辦公文具</t>
  </si>
  <si>
    <t>　辦公傢俱</t>
  </si>
  <si>
    <t>　書報雜誌</t>
  </si>
  <si>
    <t>　電腦用品</t>
  </si>
  <si>
    <t>　通訊用品</t>
  </si>
  <si>
    <t>　園藝用品</t>
  </si>
  <si>
    <t>　安全防護用具</t>
  </si>
  <si>
    <t>　員工制服</t>
  </si>
  <si>
    <t>　食品</t>
  </si>
  <si>
    <t>　醫療用品</t>
  </si>
  <si>
    <t>　雜項用品</t>
  </si>
  <si>
    <t>　雜項購置</t>
  </si>
  <si>
    <t>　通用物料</t>
  </si>
  <si>
    <t>　郵費</t>
  </si>
  <si>
    <t>　電話費</t>
  </si>
  <si>
    <t>　水費</t>
  </si>
  <si>
    <t>　電費</t>
  </si>
  <si>
    <t>　車輛燃料油</t>
  </si>
  <si>
    <t>　設備燃料油</t>
  </si>
  <si>
    <t>　印刷費</t>
  </si>
  <si>
    <t>　複製費</t>
  </si>
  <si>
    <t>　總務什項費用</t>
  </si>
  <si>
    <t>業宣及會費</t>
  </si>
  <si>
    <t>　廣告費</t>
  </si>
  <si>
    <t>　招標登報費</t>
  </si>
  <si>
    <t>　業務宣導費</t>
  </si>
  <si>
    <t>　餐飲招待費</t>
  </si>
  <si>
    <t>　其他公關費</t>
  </si>
  <si>
    <t>　總務公關費</t>
  </si>
  <si>
    <t>　捐贈及公益</t>
  </si>
  <si>
    <t>　組織團體會費</t>
  </si>
  <si>
    <t>維修及工程</t>
  </si>
  <si>
    <t>　土地改良修護費</t>
  </si>
  <si>
    <t>　土地改良修護材料</t>
  </si>
  <si>
    <t>　房屋建築修護費</t>
  </si>
  <si>
    <t>　房屋建築修護材料</t>
  </si>
  <si>
    <t>　電聯車設備修護</t>
  </si>
  <si>
    <t>　電聯車修護材料</t>
  </si>
  <si>
    <t>　機廠設備修護保養</t>
  </si>
  <si>
    <t>　機廠設備修護材料</t>
  </si>
  <si>
    <t>　監控系統修護</t>
  </si>
  <si>
    <t>　監控系統修護材料</t>
  </si>
  <si>
    <t>　電力設備修護</t>
  </si>
  <si>
    <t>　電力設備修護材料</t>
  </si>
  <si>
    <t>　號誌設備修護</t>
  </si>
  <si>
    <t>　號誌設備修護材料</t>
  </si>
  <si>
    <t>　通訊設備修護</t>
  </si>
  <si>
    <t>　通訊設備修護材料</t>
  </si>
  <si>
    <t>　自動收費設備修護</t>
  </si>
  <si>
    <t>　自動收費修護材料</t>
  </si>
  <si>
    <t>　電子維修材料</t>
  </si>
  <si>
    <t>　總務修繕費</t>
  </si>
  <si>
    <t>　交通設備修護</t>
  </si>
  <si>
    <t>　電腦設備維修</t>
  </si>
  <si>
    <t>　雜項設備修護</t>
  </si>
  <si>
    <t>　軌道設備修護</t>
  </si>
  <si>
    <t>　軌道設備修護材料</t>
  </si>
  <si>
    <t>　土木設備修護</t>
  </si>
  <si>
    <t>　土木設備修護材料</t>
  </si>
  <si>
    <t>　零星工程修繕</t>
  </si>
  <si>
    <t>　管線遷移及美麗島</t>
  </si>
  <si>
    <t>　車站設備改善</t>
  </si>
  <si>
    <t>　機廠設備改善</t>
  </si>
  <si>
    <t>租金及利息</t>
  </si>
  <si>
    <t>　土地租金</t>
  </si>
  <si>
    <t>　房屋及建築租金</t>
  </si>
  <si>
    <t>　車租</t>
  </si>
  <si>
    <t>　網際網路租金</t>
  </si>
  <si>
    <t>　短貸及票券利息</t>
  </si>
  <si>
    <t>　長貸利息</t>
  </si>
  <si>
    <t>　授信及財務費用</t>
  </si>
  <si>
    <t>　匯費手續費</t>
  </si>
  <si>
    <t>稅捐及保險</t>
  </si>
  <si>
    <t>　財產綜合保險費</t>
  </si>
  <si>
    <t>　責任保險費</t>
  </si>
  <si>
    <t>　設備保險費</t>
  </si>
  <si>
    <t>　其他保險費</t>
  </si>
  <si>
    <t>　土地地價稅</t>
  </si>
  <si>
    <t>　房屋稅</t>
  </si>
  <si>
    <t>　車輛燃料及牌照稅</t>
  </si>
  <si>
    <t>　印花稅</t>
  </si>
  <si>
    <t>　進口稅費</t>
  </si>
  <si>
    <t>　規費及稅費</t>
  </si>
  <si>
    <t>折舊及攤銷</t>
  </si>
  <si>
    <t>　土地改良物折舊</t>
  </si>
  <si>
    <t>　房屋建築折舊</t>
  </si>
  <si>
    <t>　機器設備折舊</t>
  </si>
  <si>
    <t>　運輸設備折舊</t>
  </si>
  <si>
    <t>　什項設備折舊</t>
  </si>
  <si>
    <t>　租賃改良物折舊</t>
  </si>
  <si>
    <t>　商標權攤銷</t>
  </si>
  <si>
    <t>　專利權攤銷</t>
  </si>
  <si>
    <t>　權利金攤銷</t>
  </si>
  <si>
    <t>　電腦軟體成本攤銷</t>
  </si>
  <si>
    <t>　其他遞延費用攤銷</t>
  </si>
  <si>
    <t>損失及其他</t>
  </si>
  <si>
    <t>　呆帳損失</t>
  </si>
  <si>
    <t>　外幣兌換損失</t>
  </si>
  <si>
    <t>　財產損失</t>
  </si>
  <si>
    <t>頁數：7</t>
  </si>
  <si>
    <t>　其他損失及賠償</t>
  </si>
  <si>
    <t>　罰金支出</t>
  </si>
  <si>
    <t>　什項支出</t>
  </si>
  <si>
    <t>本業成本</t>
  </si>
  <si>
    <t>　勞務成本</t>
  </si>
  <si>
    <t>　其他成本</t>
  </si>
  <si>
    <t>附屬事業成本</t>
  </si>
  <si>
    <t>　附屬事業票卡成本</t>
  </si>
  <si>
    <t>　附屬商品成本</t>
  </si>
  <si>
    <t>　附屬販賣店成本</t>
  </si>
  <si>
    <t>　附屬行動通訊成本</t>
  </si>
  <si>
    <t>開發事業成本</t>
  </si>
  <si>
    <t>成本及費用總計</t>
  </si>
  <si>
    <t>　成本及費用總計</t>
  </si>
  <si>
    <t>本業收入</t>
  </si>
  <si>
    <t>　票卡銷貨收入</t>
  </si>
  <si>
    <t>　捷運票款收入</t>
  </si>
  <si>
    <t>　勞務收入</t>
  </si>
  <si>
    <t>　其他營業收入</t>
  </si>
  <si>
    <t>頁數：8</t>
  </si>
  <si>
    <t>　利息收入</t>
  </si>
  <si>
    <t>　什項收入</t>
  </si>
  <si>
    <t>附屬事業收入</t>
  </si>
  <si>
    <t>　附屬行動通訊</t>
  </si>
  <si>
    <t>　附屬廣告收入</t>
  </si>
  <si>
    <t>　附屬商品收入</t>
  </si>
  <si>
    <t>　附屬販賣店</t>
  </si>
  <si>
    <t>　附屬權利金</t>
  </si>
  <si>
    <t>　附屬租賃收入</t>
  </si>
  <si>
    <t>　附屬客製票卡</t>
  </si>
  <si>
    <t>　附屬佣金收入</t>
  </si>
  <si>
    <t>　附屬其他收入</t>
  </si>
  <si>
    <t>開發事業收入</t>
  </si>
  <si>
    <t>　開發租金收入</t>
  </si>
  <si>
    <t>收入總計</t>
  </si>
  <si>
    <t>　收入總計</t>
  </si>
  <si>
    <t>單位</t>
  </si>
  <si>
    <t>科目名稱</t>
    <phoneticPr fontId="3" type="noConversion"/>
  </si>
  <si>
    <t>　各項運什費</t>
  </si>
  <si>
    <t>　附屬其他成本</t>
  </si>
  <si>
    <t>　土地開發租金及權利金</t>
  </si>
  <si>
    <t>月份</t>
    <phoneticPr fontId="3" type="noConversion"/>
  </si>
  <si>
    <t>下格為貼上位置</t>
    <phoneticPr fontId="3" type="noConversion"/>
  </si>
  <si>
    <t>預估年度
費用</t>
    <phoneticPr fontId="3" type="noConversion"/>
  </si>
  <si>
    <t>目前累計
執行費用</t>
    <phoneticPr fontId="3" type="noConversion"/>
  </si>
  <si>
    <t>預估年度
執行率</t>
    <phoneticPr fontId="3" type="noConversion"/>
  </si>
  <si>
    <t>科目名稱</t>
    <phoneticPr fontId="3" type="noConversion"/>
  </si>
  <si>
    <t>M1</t>
  </si>
  <si>
    <t>小計</t>
    <phoneticPr fontId="3" type="noConversion"/>
  </si>
  <si>
    <t>　輕軌電聯車設備修護</t>
  </si>
  <si>
    <t>　輕軌電聯車修護材料</t>
  </si>
  <si>
    <t>　輕軌設施修護</t>
  </si>
  <si>
    <t>　輕軌設施修護材料</t>
  </si>
  <si>
    <t>　票卡成本</t>
  </si>
  <si>
    <t>撙節%</t>
    <phoneticPr fontId="3" type="noConversion"/>
  </si>
  <si>
    <t>01.保全服務費_M1(不含T13/T2/L1)</t>
    <phoneticPr fontId="3" type="noConversion"/>
  </si>
  <si>
    <t>03.綠化服務費_M1南機廠</t>
    <phoneticPr fontId="3" type="noConversion"/>
  </si>
  <si>
    <t>04.辦公文具(英斌)</t>
    <phoneticPr fontId="3" type="noConversion"/>
  </si>
  <si>
    <t>06.書報雜誌(鴻茂)</t>
    <phoneticPr fontId="3" type="noConversion"/>
  </si>
  <si>
    <t>08.園藝用品(英斌)</t>
    <phoneticPr fontId="3" type="noConversion"/>
  </si>
  <si>
    <t>10.食品(英斌)</t>
    <phoneticPr fontId="3" type="noConversion"/>
  </si>
  <si>
    <t>11.郵費(鴻茂)</t>
    <phoneticPr fontId="3" type="noConversion"/>
  </si>
  <si>
    <t>13.水費_M1南機廠</t>
    <phoneticPr fontId="3" type="noConversion"/>
  </si>
  <si>
    <t>14.電費_M1行政大樓</t>
    <phoneticPr fontId="3" type="noConversion"/>
  </si>
  <si>
    <t>17.複製費(鴻茂)_上月費用</t>
    <phoneticPr fontId="3" type="noConversion"/>
  </si>
  <si>
    <t>18.總務什項費(瓅文)</t>
    <phoneticPr fontId="3" type="noConversion"/>
  </si>
  <si>
    <t>19.總務公關費(瓅文)</t>
    <phoneticPr fontId="3" type="noConversion"/>
  </si>
  <si>
    <t>20.總務修繕費(瑞陽)</t>
    <phoneticPr fontId="3" type="noConversion"/>
  </si>
  <si>
    <r>
      <t xml:space="preserve">24.什項設備租金_M1_第四台
</t>
    </r>
    <r>
      <rPr>
        <b/>
        <sz val="12"/>
        <color rgb="FFFF0000"/>
        <rFont val="新細明體"/>
        <family val="1"/>
        <charset val="136"/>
      </rPr>
      <t>(不含T1)</t>
    </r>
    <phoneticPr fontId="3" type="noConversion"/>
  </si>
  <si>
    <t>25.車輛燃料及牌照稅(俊慶)</t>
    <phoneticPr fontId="3" type="noConversion"/>
  </si>
  <si>
    <r>
      <rPr>
        <b/>
        <sz val="12"/>
        <rFont val="新細明體"/>
        <family val="1"/>
        <charset val="136"/>
      </rPr>
      <t>目前</t>
    </r>
    <r>
      <rPr>
        <sz val="12"/>
        <rFont val="新細明體"/>
        <family val="1"/>
        <charset val="136"/>
      </rPr>
      <t>累計
執行率</t>
    </r>
    <phoneticPr fontId="3" type="noConversion"/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</si>
  <si>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</si>
  <si>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</si>
  <si>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</si>
  <si>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</si>
  <si>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</si>
  <si>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</si>
  <si>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</si>
  <si>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</si>
  <si>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</si>
  <si>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</si>
  <si>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</si>
  <si>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　研發及電子維修</t>
  </si>
  <si>
    <t>　附屬電信業務成本</t>
  </si>
  <si>
    <t>　附屬電信業務收入</t>
  </si>
  <si>
    <t>頁數：9</t>
  </si>
  <si>
    <t>21.交通設備修理保養</t>
    <phoneticPr fontId="3" type="noConversion"/>
  </si>
  <si>
    <t>15.車輛燃料油</t>
    <phoneticPr fontId="3" type="noConversion"/>
  </si>
  <si>
    <t>01</t>
    <phoneticPr fontId="3" type="noConversion"/>
  </si>
  <si>
    <t>16.印刷費</t>
    <phoneticPr fontId="3" type="noConversion"/>
  </si>
  <si>
    <t>05.辦公傢俱</t>
    <phoneticPr fontId="3" type="noConversion"/>
  </si>
  <si>
    <t>05.辦公傢俱</t>
    <phoneticPr fontId="3" type="noConversion"/>
  </si>
  <si>
    <r>
      <t>06.書報雜誌</t>
    </r>
    <r>
      <rPr>
        <b/>
        <sz val="13"/>
        <color rgb="FFFF0000"/>
        <rFont val="新細明體"/>
        <family val="1"/>
        <charset val="136"/>
      </rPr>
      <t/>
    </r>
    <phoneticPr fontId="3" type="noConversion"/>
  </si>
  <si>
    <t>07.通訊用品</t>
    <phoneticPr fontId="3" type="noConversion"/>
  </si>
  <si>
    <t>08.園藝用品</t>
    <phoneticPr fontId="3" type="noConversion"/>
  </si>
  <si>
    <t>09.員工制服</t>
    <phoneticPr fontId="3" type="noConversion"/>
  </si>
  <si>
    <t>10.食品費用</t>
    <phoneticPr fontId="3" type="noConversion"/>
  </si>
  <si>
    <t>18.總務什項</t>
    <phoneticPr fontId="3" type="noConversion"/>
  </si>
  <si>
    <t>19.總務公關</t>
    <phoneticPr fontId="3" type="noConversion"/>
  </si>
  <si>
    <t>20.總務修繕</t>
    <phoneticPr fontId="3" type="noConversion"/>
  </si>
  <si>
    <t>21.交通設備修護</t>
    <phoneticPr fontId="3" type="noConversion"/>
  </si>
  <si>
    <t xml:space="preserve"> </t>
    <phoneticPr fontId="3" type="noConversion"/>
  </si>
  <si>
    <t>年度
費用小計</t>
    <phoneticPr fontId="3" type="noConversion"/>
  </si>
  <si>
    <r>
      <rPr>
        <b/>
        <u/>
        <sz val="12"/>
        <color rgb="FF0000FF"/>
        <rFont val="新細明體"/>
        <family val="1"/>
        <charset val="136"/>
      </rPr>
      <t>當月配額</t>
    </r>
    <r>
      <rPr>
        <b/>
        <sz val="12"/>
        <color theme="1"/>
        <rFont val="新細明體"/>
        <family val="1"/>
        <charset val="136"/>
      </rPr>
      <t xml:space="preserve">
未扣撙節</t>
    </r>
    <phoneticPr fontId="3" type="noConversion"/>
  </si>
  <si>
    <t>當月預算配額</t>
    <phoneticPr fontId="3" type="noConversion"/>
  </si>
  <si>
    <t>02.清潔服務費_M1</t>
    <phoneticPr fontId="3" type="noConversion"/>
  </si>
  <si>
    <t>備註: 未發生月份費用暫以編配預算數估列(以綠自且加底線者列示)。</t>
    <phoneticPr fontId="3" type="noConversion"/>
  </si>
  <si>
    <r>
      <t>總務</t>
    </r>
    <r>
      <rPr>
        <b/>
        <u/>
        <sz val="20"/>
        <color rgb="FF0000FF"/>
        <rFont val="新細明體"/>
        <family val="1"/>
        <charset val="136"/>
      </rPr>
      <t>預算</t>
    </r>
    <r>
      <rPr>
        <sz val="20"/>
        <rFont val="新細明體"/>
        <family val="1"/>
        <charset val="136"/>
      </rPr>
      <t>執行月報表 (會計帳)</t>
    </r>
    <phoneticPr fontId="3" type="noConversion"/>
  </si>
  <si>
    <t>月撙節</t>
    <phoneticPr fontId="3" type="noConversion"/>
  </si>
  <si>
    <t>當月
變動1</t>
    <phoneticPr fontId="3" type="noConversion"/>
  </si>
  <si>
    <t>11.郵寄費用_估列</t>
    <phoneticPr fontId="3" type="noConversion"/>
  </si>
  <si>
    <t>12.電話費用(上月費用)</t>
    <phoneticPr fontId="3" type="noConversion"/>
  </si>
  <si>
    <t>15.車輛燃油(上月費用)</t>
    <phoneticPr fontId="3" type="noConversion"/>
  </si>
  <si>
    <t>16.印刷費用(上月費用)</t>
    <phoneticPr fontId="3" type="noConversion"/>
  </si>
  <si>
    <t>17.複製費用(上月費用)</t>
    <phoneticPr fontId="3" type="noConversion"/>
  </si>
  <si>
    <t>23.網際網路(上月費用)</t>
    <phoneticPr fontId="3" type="noConversion"/>
  </si>
  <si>
    <t>　權利金及使用權資產利息</t>
  </si>
  <si>
    <t>　董監酬勞及車馬費</t>
  </si>
  <si>
    <t>　水電設備修護</t>
  </si>
  <si>
    <t>　水電設備修護材料</t>
  </si>
  <si>
    <t>　環控設備修護</t>
  </si>
  <si>
    <t>　環控設備修護材料</t>
  </si>
  <si>
    <t>　使用權資產折舊</t>
  </si>
  <si>
    <t>　營運回饋金</t>
  </si>
  <si>
    <t>　投資收益</t>
  </si>
  <si>
    <t>R:報費年繳</t>
    <phoneticPr fontId="3" type="noConversion"/>
  </si>
  <si>
    <t>R/S/T 欄說明</t>
    <phoneticPr fontId="3" type="noConversion"/>
  </si>
  <si>
    <r>
      <t>04.辦公文具</t>
    </r>
    <r>
      <rPr>
        <b/>
        <sz val="13"/>
        <color rgb="FFFF0000"/>
        <rFont val="新細明體"/>
        <family val="1"/>
        <charset val="136"/>
      </rPr>
      <t/>
    </r>
    <phoneticPr fontId="3" type="noConversion"/>
  </si>
  <si>
    <t xml:space="preserve">       </t>
    <phoneticPr fontId="3" type="noConversion"/>
  </si>
  <si>
    <t>月預算
超支額</t>
    <phoneticPr fontId="3" type="noConversion"/>
  </si>
  <si>
    <t>R: 1月跨年餐飲10萬+Q1慶生會3萬
S: 6月防颱口糧 5萬</t>
    <phoneticPr fontId="3" type="noConversion"/>
  </si>
  <si>
    <t>當月
變動3</t>
    <phoneticPr fontId="3" type="noConversion"/>
  </si>
  <si>
    <t>當月
變動4</t>
    <phoneticPr fontId="3" type="noConversion"/>
  </si>
  <si>
    <t>當月
變動5</t>
    <phoneticPr fontId="3" type="noConversion"/>
  </si>
  <si>
    <t>D2最新
年度預算</t>
    <phoneticPr fontId="3" type="noConversion"/>
  </si>
  <si>
    <t>追加
累計</t>
    <phoneticPr fontId="3" type="noConversion"/>
  </si>
  <si>
    <t>追加
金額</t>
    <phoneticPr fontId="3" type="noConversion"/>
  </si>
  <si>
    <t>01.保全服務_估列
(M1不含T13/T2/L1)</t>
  </si>
  <si>
    <t>02.清潔服務_估列
(M1不含L1)</t>
  </si>
  <si>
    <t>03.綠化服務_估列
(M1南機廠)</t>
  </si>
  <si>
    <t>04.辦公文具</t>
  </si>
  <si>
    <t>05.辦公傢俱</t>
  </si>
  <si>
    <t>06.書報雜誌</t>
  </si>
  <si>
    <t>07.通訊用品</t>
  </si>
  <si>
    <t>08.園藝用品</t>
  </si>
  <si>
    <t>09.員工制服</t>
  </si>
  <si>
    <t>10.食品費用</t>
  </si>
  <si>
    <t>11.郵寄費用_估列</t>
  </si>
  <si>
    <t>12.電話費用(上月費用)</t>
  </si>
  <si>
    <t>13.用水費用
(M1南機廠)</t>
  </si>
  <si>
    <t>14.用電費用
(M1行政大樓)</t>
  </si>
  <si>
    <t>15.車輛燃油(上月費用)</t>
  </si>
  <si>
    <t>16.印刷費用(上月費用)</t>
  </si>
  <si>
    <t>17.複製費用(上月費用)</t>
  </si>
  <si>
    <t>18.總務什項</t>
  </si>
  <si>
    <t>19.總務公關</t>
  </si>
  <si>
    <t>20.總務修繕</t>
  </si>
  <si>
    <t>21.交通設備修護</t>
  </si>
  <si>
    <t>23.網際網路(上月費用)</t>
  </si>
  <si>
    <t>24.什項租金
(M1不含T1)</t>
  </si>
  <si>
    <t>25.車輛燃料及牌照稅</t>
  </si>
  <si>
    <t>R:5月支付一年度ADM系統保全費11萬。</t>
    <phoneticPr fontId="3" type="noConversion"/>
  </si>
  <si>
    <t>23.網際網路租金</t>
    <phoneticPr fontId="3" type="noConversion"/>
  </si>
  <si>
    <t>25.車輛燃料及牌照使用費</t>
    <phoneticPr fontId="3" type="noConversion"/>
  </si>
  <si>
    <t>13.水費_南機廠</t>
    <phoneticPr fontId="3" type="noConversion"/>
  </si>
  <si>
    <t>剩餘預算</t>
    <phoneticPr fontId="3" type="noConversion"/>
  </si>
  <si>
    <t xml:space="preserve">110年度 </t>
    <phoneticPr fontId="3" type="noConversion"/>
  </si>
  <si>
    <t>110年每月總務預算配當表</t>
    <phoneticPr fontId="3" type="noConversion"/>
  </si>
  <si>
    <r>
      <rPr>
        <b/>
        <sz val="12"/>
        <color rgb="FF0000FF"/>
        <rFont val="新細明體"/>
        <family val="1"/>
        <charset val="136"/>
      </rPr>
      <t>110年度</t>
    </r>
    <r>
      <rPr>
        <sz val="12"/>
        <color rgb="FF0000FF"/>
        <rFont val="新細明體"/>
        <family val="1"/>
        <charset val="136"/>
      </rPr>
      <t xml:space="preserve">
上月預算</t>
    </r>
    <phoneticPr fontId="3" type="noConversion"/>
  </si>
  <si>
    <t>09.員工制服(久慧)</t>
    <phoneticPr fontId="3" type="noConversion"/>
  </si>
  <si>
    <t>07.通訊用品(瓅文)</t>
    <phoneticPr fontId="3" type="noConversion"/>
  </si>
  <si>
    <t>12.電話費(瓅文)</t>
    <phoneticPr fontId="3" type="noConversion"/>
  </si>
  <si>
    <t>當月
變動2</t>
    <phoneticPr fontId="3" type="noConversion"/>
  </si>
  <si>
    <r>
      <t xml:space="preserve">03.綠化服務_估列
</t>
    </r>
    <r>
      <rPr>
        <b/>
        <sz val="10"/>
        <rFont val="新細明體"/>
        <family val="1"/>
        <charset val="136"/>
      </rPr>
      <t>(</t>
    </r>
    <r>
      <rPr>
        <sz val="10"/>
        <rFont val="新細明體"/>
        <family val="1"/>
        <charset val="136"/>
      </rPr>
      <t>M1南機廠)</t>
    </r>
    <phoneticPr fontId="3" type="noConversion"/>
  </si>
  <si>
    <t>Rev.110.02.02</t>
    <phoneticPr fontId="3" type="noConversion"/>
  </si>
  <si>
    <t>22.房屋及建築租金</t>
    <phoneticPr fontId="3" type="noConversion"/>
  </si>
  <si>
    <t>110年度營業預算執行表</t>
  </si>
  <si>
    <t>頁數：3</t>
  </si>
  <si>
    <t>頁數：4</t>
  </si>
  <si>
    <t>頁數：5</t>
  </si>
  <si>
    <t>　什項設備租金</t>
  </si>
  <si>
    <t>頁數：6</t>
  </si>
  <si>
    <t>年度預算</t>
    <phoneticPr fontId="3" type="noConversion"/>
  </si>
  <si>
    <t>1月</t>
    <phoneticPr fontId="3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</si>
  <si>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</si>
  <si>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</si>
  <si>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</si>
  <si>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</si>
  <si>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</si>
  <si>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</si>
  <si>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</si>
  <si>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</si>
  <si>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</si>
  <si>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</si>
  <si>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</si>
  <si>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年度合計</t>
    <phoneticPr fontId="3" type="noConversion"/>
  </si>
  <si>
    <r>
      <t xml:space="preserve">01.保全服務_估列
</t>
    </r>
    <r>
      <rPr>
        <sz val="10"/>
        <rFont val="新細明體"/>
        <family val="1"/>
        <charset val="136"/>
      </rPr>
      <t>(</t>
    </r>
    <r>
      <rPr>
        <b/>
        <sz val="10"/>
        <color rgb="FF0000FF"/>
        <rFont val="新細明體"/>
        <family val="1"/>
        <charset val="136"/>
      </rPr>
      <t>M1</t>
    </r>
    <r>
      <rPr>
        <sz val="10"/>
        <rFont val="新細明體"/>
        <family val="1"/>
        <charset val="136"/>
      </rPr>
      <t>不含T13/T2/L1)</t>
    </r>
    <phoneticPr fontId="3" type="noConversion"/>
  </si>
  <si>
    <r>
      <t xml:space="preserve">02.清潔服務_估列
</t>
    </r>
    <r>
      <rPr>
        <sz val="10"/>
        <rFont val="新細明體"/>
        <family val="1"/>
        <charset val="136"/>
      </rPr>
      <t>(</t>
    </r>
    <r>
      <rPr>
        <b/>
        <sz val="10"/>
        <color rgb="FF0000FF"/>
        <rFont val="新細明體"/>
        <family val="1"/>
        <charset val="136"/>
      </rPr>
      <t>M1</t>
    </r>
    <r>
      <rPr>
        <sz val="10"/>
        <rFont val="新細明體"/>
        <family val="1"/>
        <charset val="136"/>
      </rPr>
      <t>不含L1)</t>
    </r>
    <phoneticPr fontId="3" type="noConversion"/>
  </si>
  <si>
    <r>
      <rPr>
        <b/>
        <sz val="13"/>
        <rFont val="新細明體"/>
        <family val="1"/>
        <charset val="136"/>
      </rPr>
      <t>13.用水費用</t>
    </r>
    <r>
      <rPr>
        <sz val="13"/>
        <rFont val="新細明體"/>
        <family val="1"/>
        <charset val="136"/>
      </rPr>
      <t xml:space="preserve">
</t>
    </r>
    <r>
      <rPr>
        <sz val="10"/>
        <rFont val="新細明體"/>
        <family val="1"/>
        <charset val="136"/>
      </rPr>
      <t>(</t>
    </r>
    <r>
      <rPr>
        <b/>
        <sz val="10"/>
        <color rgb="FF0000FF"/>
        <rFont val="新細明體"/>
        <family val="1"/>
        <charset val="136"/>
      </rPr>
      <t>M1</t>
    </r>
    <r>
      <rPr>
        <sz val="10"/>
        <rFont val="新細明體"/>
        <family val="1"/>
        <charset val="136"/>
      </rPr>
      <t>南機廠)</t>
    </r>
    <phoneticPr fontId="3" type="noConversion"/>
  </si>
  <si>
    <r>
      <rPr>
        <b/>
        <sz val="13"/>
        <rFont val="新細明體"/>
        <family val="1"/>
        <charset val="136"/>
      </rPr>
      <t>14.用電費用</t>
    </r>
    <r>
      <rPr>
        <sz val="13"/>
        <rFont val="新細明體"/>
        <family val="1"/>
        <charset val="136"/>
      </rPr>
      <t xml:space="preserve">
</t>
    </r>
    <r>
      <rPr>
        <sz val="10"/>
        <rFont val="新細明體"/>
        <family val="1"/>
        <charset val="136"/>
      </rPr>
      <t>(</t>
    </r>
    <r>
      <rPr>
        <b/>
        <sz val="10"/>
        <color rgb="FF0000FF"/>
        <rFont val="新細明體"/>
        <family val="1"/>
        <charset val="136"/>
      </rPr>
      <t>M1</t>
    </r>
    <r>
      <rPr>
        <sz val="10"/>
        <rFont val="新細明體"/>
        <family val="1"/>
        <charset val="136"/>
      </rPr>
      <t>行政大樓)</t>
    </r>
    <phoneticPr fontId="3" type="noConversion"/>
  </si>
  <si>
    <r>
      <t xml:space="preserve">24.什項租金
</t>
    </r>
    <r>
      <rPr>
        <b/>
        <sz val="10"/>
        <rFont val="新細明體"/>
        <family val="1"/>
        <charset val="136"/>
      </rPr>
      <t>(</t>
    </r>
    <r>
      <rPr>
        <b/>
        <sz val="10"/>
        <color rgb="FF0000FF"/>
        <rFont val="新細明體"/>
        <family val="1"/>
        <charset val="136"/>
      </rPr>
      <t>M1</t>
    </r>
    <r>
      <rPr>
        <b/>
        <sz val="10"/>
        <rFont val="新細明體"/>
        <family val="1"/>
        <charset val="136"/>
      </rPr>
      <t>不含T1/L1)</t>
    </r>
    <phoneticPr fontId="3" type="noConversion"/>
  </si>
  <si>
    <t>保全費用</t>
  </si>
  <si>
    <t>辦公文具</t>
  </si>
  <si>
    <t>員工制服</t>
  </si>
  <si>
    <t>郵費</t>
  </si>
  <si>
    <t>車輛燃料油</t>
  </si>
  <si>
    <t>印刷費</t>
  </si>
  <si>
    <t>水費</t>
  </si>
  <si>
    <t>總務修繕費</t>
  </si>
  <si>
    <t>網際網路租金</t>
  </si>
  <si>
    <t>車輛燃料及牌照稅</t>
  </si>
  <si>
    <t>汽油2月均價26.8較預算單計價28.7低約7%</t>
    <phoneticPr fontId="3" type="noConversion"/>
  </si>
  <si>
    <t>R:4月夏服大單驗收(高捷)_
S:5月夏服大單驗收(淡輕)_
T：10月冬服高捷大單+淡輕大單驗收</t>
    <phoneticPr fontId="3" type="noConversion"/>
  </si>
  <si>
    <t>累計制服預算</t>
    <phoneticPr fontId="3" type="noConversion"/>
  </si>
  <si>
    <t>什項設備租金</t>
  </si>
  <si>
    <t>當月
變動6</t>
    <phoneticPr fontId="3" type="noConversion"/>
  </si>
  <si>
    <t>R: 5月高輕二階進家具</t>
    <phoneticPr fontId="3" type="noConversion"/>
  </si>
  <si>
    <t>R: 春節禮盒
S: 端節禮盒
T: 中秋月餅</t>
    <phoneticPr fontId="3" type="noConversion"/>
  </si>
  <si>
    <t>書報雜誌</t>
  </si>
  <si>
    <t>房屋及建築租金</t>
  </si>
  <si>
    <t>通訊用品</t>
  </si>
  <si>
    <t>**契約價差(175.3-163.89)*30.4天*60小時/天= 月少2.1萬
**8/1起減1人力21天*12時*164元= 月少4.2萬</t>
    <phoneticPr fontId="3" type="noConversion"/>
  </si>
  <si>
    <t>**8/1起減1人力= 月少3萬</t>
    <phoneticPr fontId="3" type="noConversion"/>
  </si>
  <si>
    <t>**7/1起減1人力= 月少3萬</t>
    <phoneticPr fontId="3" type="noConversion"/>
  </si>
  <si>
    <t>**7/1起少資策會分攤較多電費，致M1電費提升</t>
    <phoneticPr fontId="3" type="noConversion"/>
  </si>
  <si>
    <t>**屬專案性支出非例行性支出</t>
  </si>
  <si>
    <t>**屬專案性支出非例行性支出</t>
    <phoneticPr fontId="3" type="noConversion"/>
  </si>
  <si>
    <t>月預算
撙節額</t>
    <phoneticPr fontId="3" type="noConversion"/>
  </si>
  <si>
    <t>園藝用品</t>
  </si>
  <si>
    <t>交通設備修護</t>
  </si>
  <si>
    <t>R: 自辦餐費(110.01~110.06)+上半年生日禮券+久任紀念品
S：春節慰勞紅包+尾牙摸彩
T: 加發端午500元/中秋節禮券500元(預算1692000元)
U: 下半年生日禮券423000元
V:員工月餅+M11企業家庭日停辦補償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</si>
</sst>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76" formatCode="0.0%"/>
    <numFmt numFmtId="177" formatCode="_-* #,##0_-;\-* #,##0_-;_-* &quot;-&quot;??_-;_-@_-"/>
    <numFmt numFmtId="178" formatCode="#,##0_ ;[Red]\-#,##0\ "/>
    <numFmt numFmtId="179" formatCode="#,##0_ "/>
    <numFmt numFmtId="180" formatCode="#,##0;[Red]#,##0"/>
    <numFmt numFmtId="181" formatCode="General&quot; 個月累計預算金額&quot;"/>
    <numFmt numFmtId="182" formatCode="&quot;推估年撙節 &quot;0.0%"/>
    <numFmt numFmtId="183" formatCode="\ &quot;目前累撙率 &quot;0.0%"/>
    <numFmt numFmtId="184" formatCode="#,##0_);[Red]\(#,##0\)"/>
    <numFmt numFmtId="185" formatCode="\ &quot;制服累撙率 &quot;0.0%"/>
  </numFmts>
  <fonts count="54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6"/>
      <name val="新細明體"/>
      <family val="1"/>
      <charset val="136"/>
    </font>
    <font>
      <b/>
      <sz val="12"/>
      <color indexed="60"/>
      <name val="新細明體"/>
      <family val="1"/>
      <charset val="136"/>
    </font>
    <font>
      <sz val="12"/>
      <color indexed="8"/>
      <name val="新細明體"/>
      <family val="1"/>
      <charset val="136"/>
    </font>
    <font>
      <b/>
      <sz val="12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6"/>
      <name val="新細明體"/>
      <family val="1"/>
      <charset val="136"/>
    </font>
    <font>
      <b/>
      <sz val="20"/>
      <name val="新細明體"/>
      <family val="1"/>
      <charset val="136"/>
    </font>
    <font>
      <sz val="20"/>
      <name val="新細明體"/>
      <family val="1"/>
      <charset val="136"/>
    </font>
    <font>
      <sz val="12"/>
      <color theme="1"/>
      <name val="新細明體"/>
      <family val="1"/>
      <charset val="136"/>
    </font>
    <font>
      <b/>
      <sz val="12"/>
      <color theme="1"/>
      <name val="新細明體"/>
      <family val="1"/>
      <charset val="136"/>
    </font>
    <font>
      <b/>
      <sz val="12"/>
      <color rgb="FFFF0000"/>
      <name val="新細明體"/>
      <family val="1"/>
      <charset val="136"/>
    </font>
    <font>
      <b/>
      <sz val="24"/>
      <color rgb="FF0000FF"/>
      <name val="新細明體"/>
      <family val="1"/>
      <charset val="136"/>
    </font>
    <font>
      <sz val="12"/>
      <color indexed="60"/>
      <name val="新細明體"/>
      <family val="1"/>
      <charset val="136"/>
    </font>
    <font>
      <sz val="12"/>
      <color rgb="FFFF0000"/>
      <name val="新細明體"/>
      <family val="1"/>
      <charset val="136"/>
    </font>
    <font>
      <b/>
      <u/>
      <sz val="20"/>
      <color rgb="FF0000FF"/>
      <name val="新細明體"/>
      <family val="1"/>
      <charset val="136"/>
    </font>
    <font>
      <sz val="12"/>
      <color rgb="FF0000FF"/>
      <name val="新細明體"/>
      <family val="1"/>
      <charset val="136"/>
    </font>
    <font>
      <b/>
      <sz val="13"/>
      <color rgb="FFFF0000"/>
      <name val="新細明體"/>
      <family val="1"/>
      <charset val="136"/>
    </font>
    <font>
      <b/>
      <sz val="13"/>
      <color theme="1"/>
      <name val="新細明體"/>
      <family val="1"/>
      <charset val="136"/>
    </font>
    <font>
      <b/>
      <sz val="12"/>
      <color rgb="FF0000FF"/>
      <name val="新細明體"/>
      <family val="1"/>
      <charset val="136"/>
    </font>
    <font>
      <b/>
      <sz val="16"/>
      <color theme="1"/>
      <name val="新細明體"/>
      <family val="1"/>
      <charset val="136"/>
    </font>
    <font>
      <b/>
      <u/>
      <sz val="12"/>
      <color rgb="FF0000FF"/>
      <name val="新細明體"/>
      <family val="1"/>
      <charset val="136"/>
    </font>
    <font>
      <b/>
      <sz val="14"/>
      <color rgb="FFFF0000"/>
      <name val="新細明體"/>
      <family val="1"/>
      <charset val="136"/>
    </font>
    <font>
      <b/>
      <u/>
      <sz val="13"/>
      <color rgb="FF00CC00"/>
      <name val="新細明體"/>
      <family val="1"/>
      <charset val="136"/>
    </font>
    <font>
      <sz val="14"/>
      <name val="新細明體"/>
      <family val="1"/>
      <charset val="136"/>
    </font>
    <font>
      <sz val="14"/>
      <color theme="1"/>
      <name val="新細明體"/>
      <family val="1"/>
      <charset val="136"/>
    </font>
    <font>
      <b/>
      <sz val="16"/>
      <color rgb="FFFF0000"/>
      <name val="新細明體"/>
      <family val="1"/>
      <charset val="136"/>
    </font>
    <font>
      <b/>
      <sz val="14"/>
      <color theme="1"/>
      <name val="新細明體"/>
      <family val="1"/>
      <charset val="136"/>
    </font>
    <font>
      <b/>
      <sz val="16"/>
      <color rgb="FF7030A0"/>
      <name val="新細明體"/>
      <family val="1"/>
      <charset val="136"/>
    </font>
    <font>
      <b/>
      <sz val="12"/>
      <color theme="9" tint="-0.499984740745262"/>
      <name val="新細明體"/>
      <family val="1"/>
      <charset val="136"/>
    </font>
    <font>
      <b/>
      <sz val="14"/>
      <name val="新細明體"/>
      <family val="1"/>
      <charset val="136"/>
    </font>
    <font>
      <b/>
      <sz val="12"/>
      <color rgb="FFFF0000"/>
      <name val="新細明體"/>
      <family val="1"/>
      <charset val="136"/>
      <scheme val="major"/>
    </font>
    <font>
      <b/>
      <sz val="12"/>
      <color theme="1"/>
      <name val="新細明體"/>
      <family val="1"/>
      <charset val="136"/>
      <scheme val="major"/>
    </font>
    <font>
      <sz val="12"/>
      <name val="新細明體"/>
      <family val="1"/>
      <charset val="136"/>
      <scheme val="major"/>
    </font>
    <font>
      <b/>
      <sz val="12"/>
      <name val="新細明體"/>
      <family val="1"/>
      <charset val="136"/>
      <scheme val="major"/>
    </font>
    <font>
      <b/>
      <sz val="10"/>
      <color rgb="FFFF0000"/>
      <name val="新細明體"/>
      <family val="1"/>
      <charset val="136"/>
    </font>
    <font>
      <b/>
      <sz val="14"/>
      <color indexed="8"/>
      <name val="新細明體"/>
      <family val="1"/>
      <charset val="136"/>
    </font>
    <font>
      <sz val="14"/>
      <color indexed="8"/>
      <name val="新細明體"/>
      <family val="1"/>
      <charset val="136"/>
    </font>
    <font>
      <u/>
      <sz val="14"/>
      <color rgb="FF00CC00"/>
      <name val="新細明體"/>
      <family val="1"/>
      <charset val="136"/>
    </font>
    <font>
      <b/>
      <sz val="13"/>
      <name val="新細明體"/>
      <family val="1"/>
      <charset val="136"/>
    </font>
    <font>
      <sz val="10"/>
      <name val="新細明體"/>
      <family val="1"/>
      <charset val="136"/>
    </font>
    <font>
      <b/>
      <sz val="10"/>
      <name val="新細明體"/>
      <family val="1"/>
      <charset val="136"/>
    </font>
    <font>
      <sz val="13"/>
      <name val="新細明體"/>
      <family val="1"/>
      <charset val="136"/>
    </font>
    <font>
      <b/>
      <sz val="10"/>
      <color rgb="FF0000FF"/>
      <name val="新細明體"/>
      <family val="1"/>
      <charset val="136"/>
    </font>
    <font>
      <sz val="14"/>
      <color rgb="FFFF0000"/>
      <name val="新細明體"/>
      <family val="1"/>
      <charset val="136"/>
    </font>
    <font>
      <b/>
      <sz val="14"/>
      <color rgb="FF7030A0"/>
      <name val="新細明體"/>
      <family val="1"/>
      <charset val="136"/>
    </font>
    <font>
      <b/>
      <sz val="10"/>
      <color rgb="FFFF0000"/>
      <name val="新細明體"/>
      <family val="1"/>
      <charset val="136"/>
      <scheme val="major"/>
    </font>
    <font>
      <b/>
      <sz val="11"/>
      <color rgb="FFFF0000"/>
      <name val="新細明體"/>
      <family val="1"/>
      <charset val="136"/>
      <scheme val="major"/>
    </font>
    <font>
      <b/>
      <sz val="11"/>
      <color theme="1"/>
      <name val="新細明體"/>
      <family val="1"/>
      <charset val="136"/>
      <scheme val="major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98">
    <xf numFmtId="0" fontId="0" fillId="0" borderId="0" xfId="0">
      <alignment vertical="center"/>
    </xf>
    <xf numFmtId="0" fontId="0" fillId="0" borderId="0" xfId="0" applyAlignment="1">
      <alignment horizontal="right" vertical="center" wrapText="1"/>
    </xf>
    <xf numFmtId="3" fontId="0" fillId="0" borderId="0" xfId="0" applyNumberFormat="1" applyAlignment="1">
      <alignment horizontal="right" vertical="center" wrapText="1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178" fontId="7" fillId="0" borderId="1" xfId="0" applyNumberFormat="1" applyFont="1" applyBorder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178" fontId="6" fillId="0" borderId="2" xfId="0" applyNumberFormat="1" applyFont="1" applyBorder="1" applyAlignment="1">
      <alignment horizontal="right" vertical="center"/>
    </xf>
    <xf numFmtId="0" fontId="10" fillId="0" borderId="0" xfId="0" applyFont="1" applyAlignment="1">
      <alignment horizontal="center" vertical="center"/>
    </xf>
    <xf numFmtId="9" fontId="5" fillId="0" borderId="0" xfId="2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0" fillId="4" borderId="0" xfId="0" applyFill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77" fontId="8" fillId="0" borderId="1" xfId="2" applyNumberFormat="1" applyFont="1" applyBorder="1" applyAlignment="1">
      <alignment horizontal="center" vertical="center"/>
    </xf>
    <xf numFmtId="0" fontId="11" fillId="0" borderId="4" xfId="0" applyFont="1" applyBorder="1" applyAlignment="1">
      <alignment vertical="center"/>
    </xf>
    <xf numFmtId="176" fontId="2" fillId="0" borderId="1" xfId="2" applyNumberFormat="1" applyFont="1" applyBorder="1" applyAlignment="1">
      <alignment horizontal="center" vertical="center"/>
    </xf>
    <xf numFmtId="9" fontId="18" fillId="0" borderId="0" xfId="2" applyFont="1" applyAlignment="1">
      <alignment horizontal="center" vertical="center"/>
    </xf>
    <xf numFmtId="176" fontId="2" fillId="0" borderId="0" xfId="2" applyNumberFormat="1" applyFont="1" applyBorder="1" applyAlignment="1">
      <alignment horizontal="center" vertical="center"/>
    </xf>
    <xf numFmtId="177" fontId="8" fillId="0" borderId="0" xfId="2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right" vertical="center"/>
    </xf>
    <xf numFmtId="178" fontId="7" fillId="0" borderId="0" xfId="0" applyNumberFormat="1" applyFont="1" applyFill="1" applyBorder="1" applyAlignment="1">
      <alignment horizontal="right" vertical="center"/>
    </xf>
    <xf numFmtId="178" fontId="9" fillId="0" borderId="0" xfId="0" applyNumberFormat="1" applyFont="1" applyFill="1" applyBorder="1" applyAlignment="1">
      <alignment horizontal="right" vertical="center"/>
    </xf>
    <xf numFmtId="178" fontId="9" fillId="0" borderId="0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center" vertical="center"/>
    </xf>
    <xf numFmtId="0" fontId="0" fillId="3" borderId="1" xfId="0" quotePrefix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left" vertical="center" wrapText="1"/>
    </xf>
    <xf numFmtId="0" fontId="16" fillId="8" borderId="1" xfId="0" applyFont="1" applyFill="1" applyBorder="1" applyAlignment="1">
      <alignment horizontal="left" vertical="center" wrapText="1"/>
    </xf>
    <xf numFmtId="0" fontId="14" fillId="8" borderId="3" xfId="0" applyFont="1" applyFill="1" applyBorder="1" applyAlignment="1">
      <alignment horizontal="left" vertical="center" wrapText="1"/>
    </xf>
    <xf numFmtId="178" fontId="21" fillId="0" borderId="1" xfId="0" applyNumberFormat="1" applyFont="1" applyFill="1" applyBorder="1" applyAlignment="1">
      <alignment horizontal="right" vertical="center" wrapText="1"/>
    </xf>
    <xf numFmtId="178" fontId="21" fillId="0" borderId="3" xfId="0" applyNumberFormat="1" applyFont="1" applyFill="1" applyBorder="1" applyAlignment="1">
      <alignment horizontal="right" vertical="center" wrapText="1"/>
    </xf>
    <xf numFmtId="0" fontId="17" fillId="6" borderId="0" xfId="0" applyFont="1" applyFill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0" fillId="5" borderId="0" xfId="0" applyFill="1">
      <alignment vertical="center"/>
    </xf>
    <xf numFmtId="178" fontId="21" fillId="5" borderId="1" xfId="0" applyNumberFormat="1" applyFont="1" applyFill="1" applyBorder="1" applyAlignment="1">
      <alignment horizontal="right" vertical="center" wrapText="1"/>
    </xf>
    <xf numFmtId="0" fontId="19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9" fontId="15" fillId="7" borderId="1" xfId="2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8" fontId="21" fillId="6" borderId="1" xfId="0" applyNumberFormat="1" applyFont="1" applyFill="1" applyBorder="1" applyAlignment="1">
      <alignment horizontal="right" vertical="center" wrapText="1"/>
    </xf>
    <xf numFmtId="0" fontId="12" fillId="0" borderId="4" xfId="0" applyFont="1" applyBorder="1" applyAlignment="1">
      <alignment vertical="center"/>
    </xf>
    <xf numFmtId="178" fontId="24" fillId="6" borderId="1" xfId="0" applyNumberFormat="1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/>
    </xf>
    <xf numFmtId="180" fontId="4" fillId="0" borderId="4" xfId="1" applyNumberFormat="1" applyFont="1" applyBorder="1" applyAlignment="1">
      <alignment horizontal="center" vertical="center"/>
    </xf>
    <xf numFmtId="180" fontId="0" fillId="0" borderId="1" xfId="1" applyNumberFormat="1" applyFont="1" applyBorder="1" applyAlignment="1">
      <alignment horizontal="center" vertical="center" wrapText="1"/>
    </xf>
    <xf numFmtId="178" fontId="16" fillId="0" borderId="0" xfId="0" applyNumberFormat="1" applyFont="1" applyBorder="1" applyAlignment="1">
      <alignment horizontal="right" vertical="center"/>
    </xf>
    <xf numFmtId="181" fontId="27" fillId="0" borderId="0" xfId="0" applyNumberFormat="1" applyFont="1" applyBorder="1" applyAlignment="1">
      <alignment horizontal="center" vertical="center"/>
    </xf>
    <xf numFmtId="178" fontId="7" fillId="5" borderId="7" xfId="0" applyNumberFormat="1" applyFont="1" applyFill="1" applyBorder="1" applyAlignment="1">
      <alignment horizontal="right" vertical="center" wrapText="1"/>
    </xf>
    <xf numFmtId="0" fontId="4" fillId="7" borderId="3" xfId="0" quotePrefix="1" applyFont="1" applyFill="1" applyBorder="1" applyAlignment="1">
      <alignment horizontal="center" vertical="center"/>
    </xf>
    <xf numFmtId="178" fontId="7" fillId="5" borderId="2" xfId="0" applyNumberFormat="1" applyFont="1" applyFill="1" applyBorder="1" applyAlignment="1">
      <alignment horizontal="center" vertical="center"/>
    </xf>
    <xf numFmtId="176" fontId="28" fillId="5" borderId="1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178" fontId="29" fillId="0" borderId="0" xfId="0" applyNumberFormat="1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9" fontId="16" fillId="7" borderId="1" xfId="2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177" fontId="22" fillId="5" borderId="6" xfId="1" applyNumberFormat="1" applyFont="1" applyFill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32" fillId="0" borderId="0" xfId="0" applyFont="1" applyBorder="1" applyAlignment="1">
      <alignment horizontal="left" vertical="center"/>
    </xf>
    <xf numFmtId="9" fontId="31" fillId="0" borderId="0" xfId="2" applyFont="1" applyBorder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0" fontId="0" fillId="9" borderId="0" xfId="0" applyFill="1">
      <alignment vertical="center"/>
    </xf>
    <xf numFmtId="0" fontId="4" fillId="7" borderId="17" xfId="0" quotePrefix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176" fontId="7" fillId="5" borderId="1" xfId="0" applyNumberFormat="1" applyFont="1" applyFill="1" applyBorder="1" applyAlignment="1">
      <alignment horizontal="center" vertical="center"/>
    </xf>
    <xf numFmtId="176" fontId="7" fillId="5" borderId="7" xfId="0" applyNumberFormat="1" applyFont="1" applyFill="1" applyBorder="1" applyAlignment="1">
      <alignment horizontal="center" vertical="center"/>
    </xf>
    <xf numFmtId="0" fontId="36" fillId="6" borderId="0" xfId="0" applyFont="1" applyFill="1" applyAlignment="1">
      <alignment horizontal="center" vertical="center"/>
    </xf>
    <xf numFmtId="38" fontId="36" fillId="6" borderId="0" xfId="0" applyNumberFormat="1" applyFont="1" applyFill="1" applyBorder="1" applyAlignment="1">
      <alignment horizontal="center" vertical="center"/>
    </xf>
    <xf numFmtId="177" fontId="36" fillId="6" borderId="0" xfId="1" applyNumberFormat="1" applyFont="1" applyFill="1" applyBorder="1" applyAlignment="1">
      <alignment horizontal="center" vertical="center"/>
    </xf>
    <xf numFmtId="0" fontId="37" fillId="6" borderId="0" xfId="0" applyFont="1" applyFill="1" applyBorder="1" applyAlignment="1">
      <alignment horizontal="center" vertical="center" wrapText="1"/>
    </xf>
    <xf numFmtId="0" fontId="16" fillId="0" borderId="4" xfId="0" applyFont="1" applyBorder="1" applyAlignment="1">
      <alignment horizontal="right" vertical="center"/>
    </xf>
    <xf numFmtId="0" fontId="0" fillId="10" borderId="0" xfId="0" applyFill="1">
      <alignment vertical="center"/>
    </xf>
    <xf numFmtId="0" fontId="38" fillId="0" borderId="0" xfId="0" applyFont="1" applyAlignment="1">
      <alignment horizontal="left" vertical="center"/>
    </xf>
    <xf numFmtId="0" fontId="39" fillId="0" borderId="1" xfId="0" applyFont="1" applyBorder="1" applyAlignment="1">
      <alignment horizontal="center" vertical="center"/>
    </xf>
    <xf numFmtId="0" fontId="38" fillId="0" borderId="1" xfId="0" applyFont="1" applyBorder="1" applyAlignment="1">
      <alignment horizontal="left" vertical="center"/>
    </xf>
    <xf numFmtId="0" fontId="39" fillId="0" borderId="1" xfId="0" applyFont="1" applyBorder="1" applyAlignment="1">
      <alignment horizontal="left" vertical="center" wrapText="1"/>
    </xf>
    <xf numFmtId="0" fontId="38" fillId="0" borderId="1" xfId="0" applyFont="1" applyBorder="1" applyAlignment="1">
      <alignment horizontal="left" vertical="center" wrapText="1"/>
    </xf>
    <xf numFmtId="0" fontId="35" fillId="0" borderId="0" xfId="0" applyFont="1" applyAlignment="1">
      <alignment horizontal="center" vertical="center"/>
    </xf>
    <xf numFmtId="0" fontId="21" fillId="3" borderId="1" xfId="0" applyFont="1" applyFill="1" applyBorder="1" applyAlignment="1">
      <alignment horizontal="center" vertical="center" wrapText="1"/>
    </xf>
    <xf numFmtId="178" fontId="34" fillId="0" borderId="1" xfId="0" applyNumberFormat="1" applyFont="1" applyBorder="1" applyAlignment="1">
      <alignment horizontal="right" vertical="center"/>
    </xf>
    <xf numFmtId="9" fontId="0" fillId="0" borderId="1" xfId="2" applyFont="1" applyBorder="1" applyAlignment="1">
      <alignment horizontal="center" vertical="center" wrapText="1"/>
    </xf>
    <xf numFmtId="177" fontId="2" fillId="0" borderId="1" xfId="1" applyNumberFormat="1" applyFont="1" applyBorder="1" applyAlignment="1">
      <alignment horizontal="center" vertical="center" wrapText="1"/>
    </xf>
    <xf numFmtId="9" fontId="40" fillId="3" borderId="1" xfId="2" applyFont="1" applyFill="1" applyBorder="1" applyAlignment="1">
      <alignment horizontal="center" vertical="center" wrapText="1"/>
    </xf>
    <xf numFmtId="0" fontId="40" fillId="3" borderId="1" xfId="0" applyFont="1" applyFill="1" applyBorder="1" applyAlignment="1">
      <alignment horizontal="center" vertical="center" wrapText="1"/>
    </xf>
    <xf numFmtId="177" fontId="22" fillId="11" borderId="6" xfId="1" applyNumberFormat="1" applyFont="1" applyFill="1" applyBorder="1" applyAlignment="1">
      <alignment horizontal="center" vertical="center" wrapText="1"/>
    </xf>
    <xf numFmtId="0" fontId="39" fillId="0" borderId="1" xfId="0" applyFont="1" applyBorder="1" applyAlignment="1">
      <alignment horizontal="left" vertical="top" wrapText="1"/>
    </xf>
    <xf numFmtId="178" fontId="35" fillId="5" borderId="9" xfId="0" applyNumberFormat="1" applyFont="1" applyFill="1" applyBorder="1" applyAlignment="1">
      <alignment horizontal="center" vertical="center" wrapText="1"/>
    </xf>
    <xf numFmtId="178" fontId="35" fillId="5" borderId="12" xfId="0" applyNumberFormat="1" applyFont="1" applyFill="1" applyBorder="1" applyAlignment="1">
      <alignment horizontal="center" vertical="center" wrapText="1"/>
    </xf>
    <xf numFmtId="178" fontId="35" fillId="5" borderId="16" xfId="0" applyNumberFormat="1" applyFont="1" applyFill="1" applyBorder="1" applyAlignment="1">
      <alignment horizontal="center" vertical="center" wrapText="1"/>
    </xf>
    <xf numFmtId="178" fontId="9" fillId="5" borderId="2" xfId="0" applyNumberFormat="1" applyFont="1" applyFill="1" applyBorder="1" applyAlignment="1">
      <alignment horizontal="right" vertical="center"/>
    </xf>
    <xf numFmtId="178" fontId="9" fillId="5" borderId="1" xfId="0" applyNumberFormat="1" applyFont="1" applyFill="1" applyBorder="1" applyAlignment="1">
      <alignment horizontal="right" vertical="center"/>
    </xf>
    <xf numFmtId="3" fontId="7" fillId="5" borderId="1" xfId="0" applyNumberFormat="1" applyFont="1" applyFill="1" applyBorder="1" applyAlignment="1">
      <alignment horizontal="center" vertical="center"/>
    </xf>
    <xf numFmtId="178" fontId="29" fillId="5" borderId="0" xfId="0" applyNumberFormat="1" applyFont="1" applyFill="1" applyBorder="1" applyAlignment="1">
      <alignment horizontal="center" vertical="center"/>
    </xf>
    <xf numFmtId="176" fontId="21" fillId="12" borderId="1" xfId="2" applyNumberFormat="1" applyFont="1" applyFill="1" applyBorder="1" applyAlignment="1">
      <alignment horizontal="center" vertical="center" wrapText="1"/>
    </xf>
    <xf numFmtId="176" fontId="16" fillId="12" borderId="1" xfId="2" applyNumberFormat="1" applyFont="1" applyFill="1" applyBorder="1" applyAlignment="1">
      <alignment horizontal="center" vertical="center" wrapText="1"/>
    </xf>
    <xf numFmtId="9" fontId="6" fillId="12" borderId="1" xfId="2" applyFont="1" applyFill="1" applyBorder="1" applyAlignment="1">
      <alignment horizontal="center" vertical="center"/>
    </xf>
    <xf numFmtId="176" fontId="2" fillId="12" borderId="0" xfId="2" applyNumberFormat="1" applyFont="1" applyFill="1" applyAlignment="1">
      <alignment horizontal="center" vertical="center"/>
    </xf>
    <xf numFmtId="176" fontId="6" fillId="12" borderId="0" xfId="2" applyNumberFormat="1" applyFont="1" applyFill="1" applyAlignment="1">
      <alignment horizontal="center" vertical="center"/>
    </xf>
    <xf numFmtId="176" fontId="7" fillId="12" borderId="0" xfId="2" applyNumberFormat="1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178" fontId="41" fillId="5" borderId="1" xfId="0" applyNumberFormat="1" applyFont="1" applyFill="1" applyBorder="1" applyAlignment="1">
      <alignment horizontal="right" vertical="center"/>
    </xf>
    <xf numFmtId="178" fontId="7" fillId="5" borderId="8" xfId="0" applyNumberFormat="1" applyFont="1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178" fontId="29" fillId="0" borderId="0" xfId="0" applyNumberFormat="1" applyFont="1" applyAlignment="1">
      <alignment horizontal="center" vertical="center"/>
    </xf>
    <xf numFmtId="178" fontId="15" fillId="5" borderId="1" xfId="0" applyNumberFormat="1" applyFont="1" applyFill="1" applyBorder="1" applyAlignment="1">
      <alignment horizontal="right" vertical="center"/>
    </xf>
    <xf numFmtId="0" fontId="44" fillId="5" borderId="1" xfId="0" applyFont="1" applyFill="1" applyBorder="1" applyAlignment="1">
      <alignment horizontal="left" vertical="center" wrapText="1"/>
    </xf>
    <xf numFmtId="9" fontId="7" fillId="5" borderId="1" xfId="2" applyFont="1" applyFill="1" applyBorder="1" applyAlignment="1">
      <alignment horizontal="center" vertical="center" wrapText="1"/>
    </xf>
    <xf numFmtId="0" fontId="47" fillId="5" borderId="1" xfId="0" applyFont="1" applyFill="1" applyBorder="1" applyAlignment="1">
      <alignment horizontal="left" vertical="center" wrapText="1"/>
    </xf>
    <xf numFmtId="178" fontId="7" fillId="5" borderId="1" xfId="0" applyNumberFormat="1" applyFont="1" applyFill="1" applyBorder="1" applyAlignment="1">
      <alignment horizontal="center" vertical="center"/>
    </xf>
    <xf numFmtId="0" fontId="47" fillId="5" borderId="1" xfId="0" applyFont="1" applyFill="1" applyBorder="1" applyAlignment="1">
      <alignment horizontal="center" vertical="center"/>
    </xf>
    <xf numFmtId="176" fontId="7" fillId="5" borderId="1" xfId="2" applyNumberFormat="1" applyFont="1" applyFill="1" applyBorder="1" applyAlignment="1">
      <alignment horizontal="center" vertical="center" wrapText="1"/>
    </xf>
    <xf numFmtId="179" fontId="7" fillId="5" borderId="1" xfId="2" applyNumberFormat="1" applyFont="1" applyFill="1" applyBorder="1" applyAlignment="1">
      <alignment horizontal="center" vertical="center" wrapText="1"/>
    </xf>
    <xf numFmtId="0" fontId="44" fillId="5" borderId="3" xfId="0" applyFont="1" applyFill="1" applyBorder="1" applyAlignment="1">
      <alignment horizontal="left" vertical="center" wrapText="1"/>
    </xf>
    <xf numFmtId="178" fontId="43" fillId="5" borderId="10" xfId="0" applyNumberFormat="1" applyFont="1" applyFill="1" applyBorder="1" applyAlignment="1">
      <alignment horizontal="center" vertical="center" wrapText="1"/>
    </xf>
    <xf numFmtId="178" fontId="43" fillId="5" borderId="11" xfId="0" applyNumberFormat="1" applyFont="1" applyFill="1" applyBorder="1" applyAlignment="1">
      <alignment horizontal="center" vertical="center" wrapText="1"/>
    </xf>
    <xf numFmtId="178" fontId="43" fillId="5" borderId="1" xfId="0" applyNumberFormat="1" applyFont="1" applyFill="1" applyBorder="1" applyAlignment="1">
      <alignment horizontal="center" vertical="center" wrapText="1"/>
    </xf>
    <xf numFmtId="178" fontId="43" fillId="5" borderId="13" xfId="0" applyNumberFormat="1" applyFont="1" applyFill="1" applyBorder="1" applyAlignment="1">
      <alignment horizontal="center" vertical="center" wrapText="1"/>
    </xf>
    <xf numFmtId="178" fontId="43" fillId="5" borderId="14" xfId="0" applyNumberFormat="1" applyFont="1" applyFill="1" applyBorder="1" applyAlignment="1">
      <alignment horizontal="center" vertical="center" wrapText="1"/>
    </xf>
    <xf numFmtId="178" fontId="43" fillId="5" borderId="15" xfId="0" applyNumberFormat="1" applyFont="1" applyFill="1" applyBorder="1" applyAlignment="1">
      <alignment horizontal="center" vertical="center" wrapText="1"/>
    </xf>
    <xf numFmtId="178" fontId="35" fillId="6" borderId="1" xfId="0" applyNumberFormat="1" applyFont="1" applyFill="1" applyBorder="1" applyAlignment="1">
      <alignment horizontal="right" vertical="center"/>
    </xf>
    <xf numFmtId="176" fontId="35" fillId="6" borderId="1" xfId="0" applyNumberFormat="1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19" fillId="0" borderId="0" xfId="0" applyFont="1">
      <alignment vertical="center"/>
    </xf>
    <xf numFmtId="0" fontId="7" fillId="6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21" fillId="9" borderId="0" xfId="0" applyFont="1" applyFill="1">
      <alignment vertical="center"/>
    </xf>
    <xf numFmtId="3" fontId="24" fillId="5" borderId="1" xfId="0" applyNumberFormat="1" applyFont="1" applyFill="1" applyBorder="1" applyAlignment="1">
      <alignment horizontal="center" vertical="center"/>
    </xf>
    <xf numFmtId="177" fontId="34" fillId="7" borderId="1" xfId="1" applyNumberFormat="1" applyFont="1" applyFill="1" applyBorder="1" applyAlignment="1">
      <alignment horizontal="center" vertical="center" wrapText="1"/>
    </xf>
    <xf numFmtId="178" fontId="35" fillId="5" borderId="10" xfId="0" applyNumberFormat="1" applyFont="1" applyFill="1" applyBorder="1" applyAlignment="1">
      <alignment horizontal="center" vertical="center" wrapText="1"/>
    </xf>
    <xf numFmtId="178" fontId="35" fillId="5" borderId="1" xfId="0" applyNumberFormat="1" applyFont="1" applyFill="1" applyBorder="1" applyAlignment="1">
      <alignment horizontal="center" vertical="center" wrapText="1"/>
    </xf>
    <xf numFmtId="178" fontId="35" fillId="5" borderId="14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49" fillId="0" borderId="0" xfId="0" applyFont="1" applyAlignment="1">
      <alignment horizontal="left" vertical="center"/>
    </xf>
    <xf numFmtId="178" fontId="21" fillId="13" borderId="1" xfId="0" applyNumberFormat="1" applyFont="1" applyFill="1" applyBorder="1" applyAlignment="1">
      <alignment horizontal="right" vertical="center" wrapText="1"/>
    </xf>
    <xf numFmtId="177" fontId="50" fillId="0" borderId="0" xfId="1" applyNumberFormat="1" applyFont="1" applyAlignment="1">
      <alignment horizontal="center" vertical="center"/>
    </xf>
    <xf numFmtId="180" fontId="7" fillId="5" borderId="1" xfId="1" applyNumberFormat="1" applyFont="1" applyFill="1" applyBorder="1" applyAlignment="1">
      <alignment horizontal="center" vertical="center" wrapText="1"/>
    </xf>
    <xf numFmtId="178" fontId="24" fillId="5" borderId="1" xfId="0" applyNumberFormat="1" applyFont="1" applyFill="1" applyBorder="1" applyAlignment="1">
      <alignment horizontal="right" vertical="center" wrapText="1"/>
    </xf>
    <xf numFmtId="178" fontId="15" fillId="6" borderId="1" xfId="0" applyNumberFormat="1" applyFont="1" applyFill="1" applyBorder="1" applyAlignment="1">
      <alignment horizontal="right" vertical="center" wrapText="1"/>
    </xf>
    <xf numFmtId="177" fontId="51" fillId="6" borderId="0" xfId="1" applyNumberFormat="1" applyFont="1" applyFill="1" applyBorder="1" applyAlignment="1">
      <alignment horizontal="center" vertical="center"/>
    </xf>
    <xf numFmtId="38" fontId="51" fillId="6" borderId="0" xfId="0" applyNumberFormat="1" applyFont="1" applyFill="1" applyBorder="1" applyAlignment="1">
      <alignment horizontal="center" vertical="center"/>
    </xf>
    <xf numFmtId="0" fontId="51" fillId="6" borderId="0" xfId="0" applyFont="1" applyFill="1" applyAlignment="1">
      <alignment horizontal="center" vertical="center"/>
    </xf>
    <xf numFmtId="3" fontId="51" fillId="0" borderId="0" xfId="0" applyNumberFormat="1" applyFont="1" applyBorder="1" applyAlignment="1">
      <alignment horizontal="right" vertical="center"/>
    </xf>
    <xf numFmtId="0" fontId="36" fillId="0" borderId="0" xfId="0" applyFont="1" applyBorder="1" applyAlignment="1">
      <alignment horizontal="left" vertical="center"/>
    </xf>
    <xf numFmtId="0" fontId="51" fillId="0" borderId="0" xfId="0" applyFont="1" applyBorder="1" applyAlignment="1">
      <alignment horizontal="left" vertical="center"/>
    </xf>
    <xf numFmtId="176" fontId="52" fillId="6" borderId="0" xfId="2" applyNumberFormat="1" applyFont="1" applyFill="1" applyBorder="1" applyAlignment="1">
      <alignment horizontal="center" vertical="center"/>
    </xf>
    <xf numFmtId="177" fontId="52" fillId="6" borderId="0" xfId="1" applyNumberFormat="1" applyFont="1" applyFill="1" applyBorder="1" applyAlignment="1">
      <alignment horizontal="center" vertical="center"/>
    </xf>
    <xf numFmtId="0" fontId="52" fillId="0" borderId="0" xfId="0" applyFont="1" applyBorder="1" applyAlignment="1">
      <alignment horizontal="left" vertical="center"/>
    </xf>
    <xf numFmtId="38" fontId="52" fillId="6" borderId="0" xfId="0" applyNumberFormat="1" applyFont="1" applyFill="1" applyBorder="1" applyAlignment="1">
      <alignment horizontal="center" vertical="center"/>
    </xf>
    <xf numFmtId="184" fontId="53" fillId="6" borderId="0" xfId="2" applyNumberFormat="1" applyFont="1" applyFill="1" applyBorder="1" applyAlignment="1">
      <alignment horizontal="center" vertical="center"/>
    </xf>
    <xf numFmtId="184" fontId="53" fillId="6" borderId="0" xfId="1" applyNumberFormat="1" applyFont="1" applyFill="1" applyBorder="1" applyAlignment="1">
      <alignment horizontal="center" vertical="center"/>
    </xf>
    <xf numFmtId="184" fontId="52" fillId="6" borderId="0" xfId="1" applyNumberFormat="1" applyFont="1" applyFill="1" applyBorder="1" applyAlignment="1">
      <alignment horizontal="center" vertical="center"/>
    </xf>
    <xf numFmtId="184" fontId="52" fillId="0" borderId="0" xfId="0" applyNumberFormat="1" applyFont="1" applyBorder="1" applyAlignment="1">
      <alignment horizontal="left" vertical="center"/>
    </xf>
    <xf numFmtId="184" fontId="52" fillId="6" borderId="0" xfId="0" applyNumberFormat="1" applyFont="1" applyFill="1" applyAlignment="1">
      <alignment horizontal="center" vertical="center"/>
    </xf>
    <xf numFmtId="184" fontId="52" fillId="6" borderId="0" xfId="0" applyNumberFormat="1" applyFont="1" applyFill="1" applyBorder="1" applyAlignment="1">
      <alignment horizontal="center" vertical="center"/>
    </xf>
    <xf numFmtId="184" fontId="52" fillId="0" borderId="0" xfId="0" applyNumberFormat="1" applyFont="1" applyBorder="1" applyAlignment="1">
      <alignment horizontal="right" vertical="center"/>
    </xf>
    <xf numFmtId="0" fontId="52" fillId="6" borderId="0" xfId="0" applyFont="1" applyFill="1" applyAlignment="1">
      <alignment horizontal="center" vertical="center"/>
    </xf>
    <xf numFmtId="178" fontId="7" fillId="6" borderId="2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176" fontId="0" fillId="0" borderId="0" xfId="0" applyNumberFormat="1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3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78" fontId="7" fillId="6" borderId="1" xfId="0" applyNumberFormat="1" applyFont="1" applyFill="1" applyBorder="1" applyAlignment="1">
      <alignment horizontal="right" vertical="center" wrapText="1"/>
    </xf>
    <xf numFmtId="0" fontId="44" fillId="6" borderId="1" xfId="0" applyFont="1" applyFill="1" applyBorder="1" applyAlignment="1">
      <alignment horizontal="left" vertical="center" wrapText="1"/>
    </xf>
    <xf numFmtId="177" fontId="22" fillId="6" borderId="6" xfId="1" applyNumberFormat="1" applyFont="1" applyFill="1" applyBorder="1" applyAlignment="1">
      <alignment horizontal="center" vertical="center" wrapText="1"/>
    </xf>
    <xf numFmtId="178" fontId="35" fillId="6" borderId="1" xfId="0" applyNumberFormat="1" applyFont="1" applyFill="1" applyBorder="1" applyAlignment="1">
      <alignment horizontal="center" vertical="center" wrapText="1"/>
    </xf>
    <xf numFmtId="0" fontId="47" fillId="6" borderId="1" xfId="0" applyFont="1" applyFill="1" applyBorder="1" applyAlignment="1">
      <alignment horizontal="left" vertical="center" wrapText="1"/>
    </xf>
    <xf numFmtId="178" fontId="4" fillId="6" borderId="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176" fontId="28" fillId="6" borderId="1" xfId="0" applyNumberFormat="1" applyFont="1" applyFill="1" applyBorder="1" applyAlignment="1">
      <alignment horizontal="center" vertical="center"/>
    </xf>
    <xf numFmtId="182" fontId="31" fillId="0" borderId="0" xfId="2" applyNumberFormat="1" applyFont="1" applyBorder="1" applyAlignment="1">
      <alignment horizontal="center" vertical="center"/>
    </xf>
    <xf numFmtId="183" fontId="33" fillId="0" borderId="0" xfId="2" applyNumberFormat="1" applyFont="1" applyBorder="1" applyAlignment="1">
      <alignment horizontal="center" vertical="center"/>
    </xf>
    <xf numFmtId="185" fontId="31" fillId="0" borderId="0" xfId="2" applyNumberFormat="1" applyFont="1" applyBorder="1" applyAlignment="1">
      <alignment horizontal="center" vertical="center"/>
    </xf>
    <xf numFmtId="0" fontId="50" fillId="0" borderId="0" xfId="0" applyFont="1" applyAlignment="1">
      <alignment horizontal="center" vertical="center"/>
    </xf>
  </cellXfs>
  <cellStyles count="4">
    <cellStyle name="一般" xfId="0" builtinId="0"/>
    <cellStyle name="一般 2" xfId="3" xr:uid="{00000000-0005-0000-0000-000001000000}"/>
    <cellStyle name="千分位" xfId="1" builtinId="3"/>
    <cellStyle name="百分比" xfId="2" builtinId="5"/>
  </cellStyles>
  <dxfs count="12">
    <dxf>
      <font>
        <b/>
        <i val="0"/>
        <u val="double"/>
        <color rgb="FFFF0000"/>
      </font>
    </dxf>
    <dxf>
      <font>
        <b val="0"/>
        <i val="0"/>
        <strike val="0"/>
        <u/>
        <color rgb="FF00CC00"/>
      </font>
    </dxf>
    <dxf>
      <font>
        <b val="0"/>
        <i val="0"/>
        <strike val="0"/>
        <u/>
        <color rgb="FF00CC00"/>
      </font>
    </dxf>
    <dxf>
      <font>
        <b val="0"/>
        <i val="0"/>
        <strike val="0"/>
        <u/>
        <color rgb="FF00CC00"/>
      </font>
    </dxf>
    <dxf>
      <font>
        <b val="0"/>
        <i val="0"/>
        <strike val="0"/>
        <u/>
        <color rgb="FF00CC00"/>
      </font>
    </dxf>
    <dxf>
      <font>
        <b val="0"/>
        <i val="0"/>
        <strike val="0"/>
        <u/>
        <color rgb="FF00CC00"/>
      </font>
    </dxf>
    <dxf>
      <font>
        <b val="0"/>
        <i val="0"/>
        <strike val="0"/>
        <u/>
        <color rgb="FF00CC00"/>
      </font>
    </dxf>
    <dxf>
      <font>
        <b val="0"/>
        <i val="0"/>
        <strike val="0"/>
        <u/>
        <color rgb="FF00CC00"/>
      </font>
    </dxf>
    <dxf>
      <font>
        <b val="0"/>
        <i val="0"/>
        <strike val="0"/>
        <u/>
        <color rgb="FF00CC00"/>
      </font>
    </dxf>
    <dxf>
      <font>
        <b val="0"/>
        <i val="0"/>
        <strike val="0"/>
        <u/>
        <color rgb="FF00CC00"/>
      </font>
    </dxf>
    <dxf>
      <font>
        <b val="0"/>
        <i val="0"/>
        <strike val="0"/>
        <u/>
        <color rgb="FF00CC00"/>
      </font>
    </dxf>
    <dxf>
      <font>
        <b val="0"/>
        <i val="0"/>
        <strike val="0"/>
        <u/>
        <color rgb="FF00CC00"/>
      </font>
    </dxf>
  </dxfs>
  <tableStyles count="0" defaultTableStyle="TableStyleMedium2" defaultPivotStyle="PivotStyleLight16"/>
  <colors>
    <mruColors>
      <color rgb="FFFFFF99"/>
      <color rgb="FF0000FF"/>
      <color rgb="FF29C7FF"/>
      <color rgb="FF0099CC"/>
      <color rgb="FFFF9933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>
    <pageSetUpPr fitToPage="1"/>
  </sheetPr>
  <dimension ref="A1:Y243"/>
  <sheetViews>
    <sheetView topLeftCell="B40" zoomScale="120" zoomScaleNormal="120" workbookViewId="0">
      <selection activeCell="E77" sqref="E77"/>
    </sheetView>
  </sheetViews>
  <sheetFormatPr defaultRowHeight="16.2"/>
  <cols>
    <col min="2" max="2" width="25.109375" style="4" customWidth="1"/>
    <col min="3" max="3" width="14.6640625" style="4" bestFit="1" customWidth="1"/>
    <col min="4" max="5" width="13" style="4" customWidth="1"/>
    <col min="6" max="6" width="12.109375" style="4" customWidth="1"/>
    <col min="7" max="11" width="13" style="4" customWidth="1"/>
    <col min="12" max="12" width="14.6640625" style="4" customWidth="1"/>
    <col min="13" max="13" width="13" style="4" bestFit="1" customWidth="1"/>
    <col min="14" max="14" width="11.109375" style="4" customWidth="1"/>
    <col min="15" max="15" width="12.88671875" style="4" customWidth="1"/>
    <col min="16" max="16" width="14.6640625" style="4" bestFit="1" customWidth="1"/>
    <col min="17" max="25" width="9" style="4"/>
  </cols>
  <sheetData>
    <row r="1" spans="2:25" s="10" customFormat="1">
      <c r="B1" s="142" t="s">
        <v>190</v>
      </c>
      <c r="C1" s="146" t="s">
        <v>330</v>
      </c>
      <c r="D1" s="146" t="s">
        <v>331</v>
      </c>
      <c r="E1" s="146" t="s">
        <v>332</v>
      </c>
      <c r="F1" s="146" t="s">
        <v>333</v>
      </c>
      <c r="G1" s="146" t="s">
        <v>334</v>
      </c>
      <c r="H1" s="146" t="s">
        <v>335</v>
      </c>
      <c r="I1" s="146" t="s">
        <v>336</v>
      </c>
      <c r="J1" s="146" t="s">
        <v>337</v>
      </c>
      <c r="K1" s="146" t="s">
        <v>338</v>
      </c>
      <c r="L1" s="146" t="s">
        <v>339</v>
      </c>
      <c r="M1" s="146" t="s">
        <v>340</v>
      </c>
      <c r="N1" s="146" t="s">
        <v>341</v>
      </c>
      <c r="O1" s="146" t="s">
        <v>342</v>
      </c>
      <c r="P1" s="146" t="s">
        <v>343</v>
      </c>
      <c r="Q1" s="147"/>
      <c r="R1" s="147"/>
      <c r="S1" s="147"/>
      <c r="T1" s="147"/>
      <c r="U1" s="147"/>
      <c r="V1" s="147"/>
      <c r="W1" s="147"/>
      <c r="X1" s="147"/>
      <c r="Y1" s="147"/>
    </row>
    <row r="2" spans="2:25">
      <c r="B2" s="11" t="s">
        <v>324</v>
      </c>
      <c r="C2" s="1" t="s">
        <v>0</v>
      </c>
      <c r="D2"/>
      <c r="E2"/>
      <c r="F2"/>
      <c r="G2"/>
      <c r="H2"/>
      <c r="I2"/>
      <c r="J2"/>
      <c r="K2"/>
      <c r="L2"/>
      <c r="M2"/>
      <c r="N2"/>
      <c r="O2"/>
      <c r="P2"/>
    </row>
    <row r="3" spans="2:25" hidden="1">
      <c r="B3" s="12" t="s">
        <v>1</v>
      </c>
      <c r="C3" s="1" t="s">
        <v>2</v>
      </c>
      <c r="D3" s="1">
        <v>11001</v>
      </c>
      <c r="E3" s="1">
        <v>11002</v>
      </c>
      <c r="F3" s="1">
        <v>11003</v>
      </c>
      <c r="G3" s="1">
        <v>11004</v>
      </c>
      <c r="H3" s="1">
        <v>11005</v>
      </c>
      <c r="I3" s="1">
        <v>11006</v>
      </c>
      <c r="J3" s="1">
        <v>11007</v>
      </c>
      <c r="K3" s="1">
        <v>11008</v>
      </c>
      <c r="L3" s="1">
        <v>11009</v>
      </c>
      <c r="M3" s="1">
        <v>11010</v>
      </c>
      <c r="N3" s="1">
        <v>11011</v>
      </c>
      <c r="O3" s="1">
        <v>11012</v>
      </c>
      <c r="P3" s="1" t="s">
        <v>3</v>
      </c>
    </row>
    <row r="4" spans="2:25" hidden="1">
      <c r="B4" s="1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25" hidden="1">
      <c r="B5" s="12" t="s">
        <v>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2:25" hidden="1">
      <c r="B6" s="12" t="s">
        <v>265</v>
      </c>
      <c r="C6" s="2">
        <v>1116000</v>
      </c>
      <c r="D6" s="2">
        <v>80000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2">
        <v>80000</v>
      </c>
    </row>
    <row r="7" spans="2:25" hidden="1">
      <c r="B7" s="12" t="s">
        <v>5</v>
      </c>
      <c r="C7" s="2">
        <v>721971000</v>
      </c>
      <c r="D7" s="2">
        <v>58537688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2">
        <v>58537688</v>
      </c>
    </row>
    <row r="8" spans="2:25" hidden="1">
      <c r="B8" s="12" t="s">
        <v>6</v>
      </c>
      <c r="C8" s="2">
        <v>47659000</v>
      </c>
      <c r="D8" s="2">
        <v>3824000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2">
        <v>3824000</v>
      </c>
    </row>
    <row r="9" spans="2:25" hidden="1">
      <c r="B9" s="12" t="s">
        <v>7</v>
      </c>
      <c r="C9" s="2">
        <v>1267000</v>
      </c>
      <c r="D9" s="2">
        <v>398411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2">
        <v>398411</v>
      </c>
    </row>
    <row r="10" spans="2:25" hidden="1">
      <c r="B10" s="12" t="s">
        <v>8</v>
      </c>
      <c r="C10" s="2">
        <v>15024000</v>
      </c>
      <c r="D10" s="2">
        <v>1099442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2">
        <v>1099442</v>
      </c>
    </row>
    <row r="11" spans="2:25" hidden="1">
      <c r="B11" s="12" t="s">
        <v>9</v>
      </c>
      <c r="C11" s="2">
        <v>21000000</v>
      </c>
      <c r="D11" s="2">
        <v>1653422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2">
        <v>1653422</v>
      </c>
    </row>
    <row r="12" spans="2:25" hidden="1">
      <c r="B12" s="12" t="s">
        <v>10</v>
      </c>
      <c r="C12" s="2">
        <v>629000</v>
      </c>
      <c r="D12" s="2">
        <v>55040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2">
        <v>55040</v>
      </c>
    </row>
    <row r="13" spans="2:25" hidden="1">
      <c r="B13" s="12" t="s">
        <v>11</v>
      </c>
      <c r="C13" s="2">
        <v>18822000</v>
      </c>
      <c r="D13" s="2">
        <v>1611800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2">
        <v>1611800</v>
      </c>
    </row>
    <row r="14" spans="2:25" hidden="1">
      <c r="B14" s="12" t="s">
        <v>12</v>
      </c>
      <c r="C14" s="2">
        <v>100674000</v>
      </c>
      <c r="D14" s="2">
        <v>8124161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2">
        <v>8124161</v>
      </c>
    </row>
    <row r="15" spans="2:25" hidden="1">
      <c r="B15" s="12" t="s">
        <v>13</v>
      </c>
      <c r="C15" s="2">
        <v>11819000</v>
      </c>
      <c r="D15" s="2">
        <v>506523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2">
        <v>506523</v>
      </c>
    </row>
    <row r="16" spans="2:25" hidden="1">
      <c r="B16" s="12" t="s">
        <v>14</v>
      </c>
      <c r="C16" s="2">
        <v>180757000</v>
      </c>
      <c r="D16" s="2">
        <v>14585830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2">
        <v>14585830</v>
      </c>
    </row>
    <row r="17" spans="2:16" hidden="1">
      <c r="B17" s="12" t="s">
        <v>15</v>
      </c>
      <c r="C17" s="2">
        <v>713000</v>
      </c>
      <c r="D17" s="2">
        <v>41400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2">
        <v>41400</v>
      </c>
    </row>
    <row r="18" spans="2:16" hidden="1">
      <c r="B18" s="12" t="s">
        <v>16</v>
      </c>
      <c r="C18" s="2">
        <v>56856000</v>
      </c>
      <c r="D18" s="2">
        <v>4473919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2">
        <v>4473919</v>
      </c>
    </row>
    <row r="19" spans="2:16" hidden="1">
      <c r="B19" s="12" t="s">
        <v>17</v>
      </c>
      <c r="C19" s="2">
        <v>5131000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</row>
    <row r="20" spans="2:16" hidden="1">
      <c r="B20" s="12" t="s">
        <v>18</v>
      </c>
      <c r="C20" s="2">
        <v>201000</v>
      </c>
      <c r="D20" s="2">
        <v>16009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2">
        <v>16009</v>
      </c>
    </row>
    <row r="21" spans="2:16" hidden="1">
      <c r="B21" s="12" t="s">
        <v>19</v>
      </c>
      <c r="C21" s="2">
        <v>65080000</v>
      </c>
      <c r="D21" s="2">
        <v>5407263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2">
        <v>5407263</v>
      </c>
    </row>
    <row r="22" spans="2:16" hidden="1">
      <c r="B22" s="12" t="s">
        <v>20</v>
      </c>
      <c r="C22" s="2">
        <v>44784000</v>
      </c>
      <c r="D22" s="2">
        <v>3618165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2">
        <v>3618165</v>
      </c>
    </row>
    <row r="23" spans="2:16" hidden="1">
      <c r="B23" s="12" t="s">
        <v>21</v>
      </c>
      <c r="C23" s="2">
        <v>86000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</row>
    <row r="24" spans="2:16" hidden="1">
      <c r="B24" s="12" t="s">
        <v>22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</row>
    <row r="25" spans="2:16" hidden="1">
      <c r="B25" s="12" t="s">
        <v>23</v>
      </c>
      <c r="C25" s="2">
        <v>2976000</v>
      </c>
      <c r="D25" s="2">
        <v>44250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2">
        <v>44250</v>
      </c>
    </row>
    <row r="26" spans="2:16" hidden="1">
      <c r="B26" s="12" t="s">
        <v>24</v>
      </c>
      <c r="C26" s="2">
        <v>3000000</v>
      </c>
      <c r="D26" s="2">
        <v>295456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2">
        <v>295456</v>
      </c>
    </row>
    <row r="27" spans="2:16" hidden="1">
      <c r="B27" s="12" t="s">
        <v>25</v>
      </c>
      <c r="C27" s="2">
        <v>162000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</row>
    <row r="28" spans="2:16" hidden="1">
      <c r="B28" s="12" t="s">
        <v>26</v>
      </c>
      <c r="C28" s="2">
        <v>8114725</v>
      </c>
      <c r="D28" s="2">
        <v>614191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2">
        <v>614191</v>
      </c>
    </row>
    <row r="29" spans="2:16" hidden="1">
      <c r="B29" s="12" t="s">
        <v>27</v>
      </c>
      <c r="C29" s="2">
        <v>1307841725</v>
      </c>
      <c r="D29" s="2">
        <v>104986970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2">
        <v>104986970</v>
      </c>
    </row>
    <row r="30" spans="2:16" hidden="1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2:16" hidden="1">
      <c r="B31" s="11" t="s">
        <v>324</v>
      </c>
      <c r="C31" s="1" t="s">
        <v>28</v>
      </c>
      <c r="D31"/>
      <c r="E31"/>
      <c r="F31"/>
      <c r="G31"/>
      <c r="H31"/>
      <c r="I31"/>
      <c r="J31"/>
      <c r="K31"/>
      <c r="L31"/>
      <c r="M31"/>
      <c r="N31"/>
      <c r="O31"/>
      <c r="P31"/>
    </row>
    <row r="32" spans="2:16" hidden="1">
      <c r="B32" s="12" t="s">
        <v>1</v>
      </c>
      <c r="C32" s="1" t="s">
        <v>2</v>
      </c>
      <c r="D32" s="1">
        <v>11001</v>
      </c>
      <c r="E32" s="1">
        <v>11002</v>
      </c>
      <c r="F32" s="1">
        <v>11003</v>
      </c>
      <c r="G32" s="1">
        <v>11004</v>
      </c>
      <c r="H32" s="1">
        <v>11005</v>
      </c>
      <c r="I32" s="1">
        <v>11006</v>
      </c>
      <c r="J32" s="1">
        <v>11007</v>
      </c>
      <c r="K32" s="1">
        <v>11008</v>
      </c>
      <c r="L32" s="1">
        <v>11009</v>
      </c>
      <c r="M32" s="1">
        <v>11010</v>
      </c>
      <c r="N32" s="1">
        <v>11011</v>
      </c>
      <c r="O32" s="1">
        <v>11012</v>
      </c>
      <c r="P32" s="1" t="s">
        <v>3</v>
      </c>
    </row>
    <row r="33" spans="1:16" hidden="1">
      <c r="B33" s="12" t="s">
        <v>29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hidden="1">
      <c r="B34" s="12" t="s">
        <v>30</v>
      </c>
      <c r="C34" s="2">
        <v>1395000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</row>
    <row r="35" spans="1:16" hidden="1">
      <c r="B35" s="12" t="s">
        <v>31</v>
      </c>
      <c r="C35" s="2">
        <v>2368000</v>
      </c>
      <c r="D35" s="2">
        <v>138690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2">
        <v>138690</v>
      </c>
    </row>
    <row r="36" spans="1:16" hidden="1">
      <c r="B36" s="12" t="s">
        <v>32</v>
      </c>
      <c r="C36" s="2">
        <v>2100000</v>
      </c>
      <c r="D36" s="2">
        <v>112000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2">
        <v>112000</v>
      </c>
    </row>
    <row r="37" spans="1:16" hidden="1">
      <c r="B37" s="12" t="s">
        <v>33</v>
      </c>
      <c r="C37" s="2">
        <v>2000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</row>
    <row r="38" spans="1:16" hidden="1">
      <c r="B38" s="12" t="s">
        <v>34</v>
      </c>
      <c r="C38" s="2">
        <v>19567000</v>
      </c>
      <c r="D38" s="2">
        <v>5156002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2">
        <v>5156002</v>
      </c>
    </row>
    <row r="39" spans="1:16" hidden="1">
      <c r="B39" s="12" t="s">
        <v>35</v>
      </c>
      <c r="C39" s="2">
        <v>1931000</v>
      </c>
      <c r="D39" s="2">
        <v>119800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2">
        <v>119800</v>
      </c>
    </row>
    <row r="40" spans="1:16">
      <c r="A40" s="81"/>
      <c r="B40" s="12" t="s">
        <v>36</v>
      </c>
      <c r="C40" s="2">
        <v>84664000</v>
      </c>
      <c r="D40" s="2">
        <v>8259157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2">
        <v>8259157</v>
      </c>
    </row>
    <row r="41" spans="1:16">
      <c r="A41" s="81"/>
      <c r="B41" s="12" t="s">
        <v>37</v>
      </c>
      <c r="C41" s="2">
        <v>131579000</v>
      </c>
      <c r="D41" s="2">
        <v>10586967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2">
        <v>10586967</v>
      </c>
    </row>
    <row r="42" spans="1:16">
      <c r="A42" s="81"/>
      <c r="B42" s="12" t="s">
        <v>38</v>
      </c>
      <c r="C42" s="2">
        <v>14177000</v>
      </c>
      <c r="D42" s="2">
        <v>1173753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2">
        <v>1173753</v>
      </c>
    </row>
    <row r="43" spans="1:16" hidden="1">
      <c r="B43" s="12" t="s">
        <v>39</v>
      </c>
      <c r="C43" s="2">
        <v>549000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</row>
    <row r="44" spans="1:16" hidden="1">
      <c r="B44" s="12" t="s">
        <v>40</v>
      </c>
      <c r="C44" s="2">
        <v>558000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</row>
    <row r="45" spans="1:16" hidden="1">
      <c r="B45" s="12" t="s">
        <v>41</v>
      </c>
      <c r="C45" s="2">
        <v>15621000</v>
      </c>
      <c r="D45" s="2">
        <v>1127720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2">
        <v>1127720</v>
      </c>
    </row>
    <row r="46" spans="1:16" hidden="1">
      <c r="B46" s="12" t="s">
        <v>42</v>
      </c>
      <c r="C46" s="2">
        <v>8605000</v>
      </c>
      <c r="D46" s="2">
        <v>503371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2">
        <v>503371</v>
      </c>
    </row>
    <row r="47" spans="1:16" hidden="1">
      <c r="B47" s="12" t="s">
        <v>43</v>
      </c>
      <c r="C47" s="2">
        <v>1000000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</row>
    <row r="48" spans="1:16" hidden="1">
      <c r="B48" s="12" t="s">
        <v>44</v>
      </c>
      <c r="C48" s="2">
        <v>1138000</v>
      </c>
      <c r="D48" s="2">
        <v>135943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2">
        <v>135943</v>
      </c>
    </row>
    <row r="49" spans="1:25" hidden="1">
      <c r="B49" s="12" t="s">
        <v>45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</row>
    <row r="50" spans="1:25" hidden="1">
      <c r="B50" s="12" t="s">
        <v>46</v>
      </c>
      <c r="C50" s="2">
        <v>324000</v>
      </c>
      <c r="D50" s="2">
        <v>10293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2">
        <v>10293</v>
      </c>
    </row>
    <row r="51" spans="1:25" hidden="1">
      <c r="B51" s="12" t="s">
        <v>186</v>
      </c>
      <c r="C51" s="2">
        <v>2394000</v>
      </c>
      <c r="D51" s="2">
        <v>19873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2">
        <v>19873</v>
      </c>
    </row>
    <row r="52" spans="1:25" hidden="1">
      <c r="B52" s="12" t="s">
        <v>27</v>
      </c>
      <c r="C52" s="2">
        <v>287972000</v>
      </c>
      <c r="D52" s="2">
        <v>27343569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2">
        <v>27343569</v>
      </c>
    </row>
    <row r="53" spans="1:25" hidden="1">
      <c r="B53" s="12" t="s">
        <v>47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25" s="3" customFormat="1">
      <c r="A54" s="81"/>
      <c r="B54" s="12" t="s">
        <v>350</v>
      </c>
      <c r="C54" s="2">
        <v>1486180</v>
      </c>
      <c r="D54" s="2">
        <v>99857</v>
      </c>
      <c r="E54" s="2">
        <v>112300</v>
      </c>
      <c r="F54" s="2">
        <v>128664</v>
      </c>
      <c r="G54" s="2">
        <v>111398</v>
      </c>
      <c r="H54" s="2">
        <v>91866</v>
      </c>
      <c r="I54" s="2">
        <v>198626</v>
      </c>
      <c r="J54" s="2">
        <v>70911</v>
      </c>
      <c r="K54" s="2">
        <v>82656</v>
      </c>
      <c r="L54" s="2">
        <v>62897</v>
      </c>
      <c r="M54" s="2">
        <v>89185</v>
      </c>
      <c r="N54" s="1">
        <v>0</v>
      </c>
      <c r="O54" s="1">
        <v>0</v>
      </c>
      <c r="P54" s="2">
        <v>1048360</v>
      </c>
      <c r="Q54" s="4"/>
      <c r="R54" s="4"/>
      <c r="S54" s="4"/>
      <c r="T54" s="4"/>
      <c r="U54" s="4"/>
      <c r="V54" s="4"/>
      <c r="W54" s="4"/>
      <c r="X54" s="4"/>
      <c r="Y54" s="4"/>
    </row>
    <row r="55" spans="1:25" s="3" customFormat="1">
      <c r="A55" s="81"/>
      <c r="B55" s="12" t="s">
        <v>49</v>
      </c>
      <c r="C55" s="2">
        <v>476580</v>
      </c>
      <c r="D55" s="2">
        <v>73056</v>
      </c>
      <c r="E55" s="2">
        <v>44020</v>
      </c>
      <c r="F55" s="2">
        <v>85184</v>
      </c>
      <c r="G55" s="2">
        <v>1400</v>
      </c>
      <c r="H55" s="2">
        <v>85362</v>
      </c>
      <c r="I55" s="1">
        <v>0</v>
      </c>
      <c r="J55" s="1">
        <v>0</v>
      </c>
      <c r="K55" s="2">
        <v>1886</v>
      </c>
      <c r="L55" s="1">
        <v>0</v>
      </c>
      <c r="M55" s="2">
        <v>39600</v>
      </c>
      <c r="N55" s="1">
        <v>0</v>
      </c>
      <c r="O55" s="1">
        <v>0</v>
      </c>
      <c r="P55" s="2">
        <v>330508</v>
      </c>
      <c r="Q55" s="4"/>
      <c r="R55" s="4"/>
      <c r="S55" s="4"/>
      <c r="T55" s="4"/>
      <c r="U55" s="4"/>
      <c r="V55" s="4"/>
      <c r="W55" s="4"/>
      <c r="X55" s="4"/>
      <c r="Y55" s="4"/>
    </row>
    <row r="56" spans="1:25" s="3" customFormat="1">
      <c r="A56" s="81"/>
      <c r="B56" s="12" t="s">
        <v>366</v>
      </c>
      <c r="C56" s="2">
        <v>191760</v>
      </c>
      <c r="D56" s="2">
        <v>1700</v>
      </c>
      <c r="E56" s="1">
        <v>670</v>
      </c>
      <c r="F56" s="2">
        <v>1400</v>
      </c>
      <c r="G56" s="2">
        <v>22556</v>
      </c>
      <c r="H56" s="2">
        <v>11800</v>
      </c>
      <c r="I56" s="2">
        <v>6189</v>
      </c>
      <c r="J56" s="2">
        <v>6069</v>
      </c>
      <c r="K56" s="2">
        <v>6255</v>
      </c>
      <c r="L56" s="2">
        <v>18959</v>
      </c>
      <c r="M56" s="2">
        <v>48667</v>
      </c>
      <c r="N56" s="1">
        <v>0</v>
      </c>
      <c r="O56" s="1">
        <v>0</v>
      </c>
      <c r="P56" s="2">
        <v>124265</v>
      </c>
      <c r="Q56" s="4"/>
      <c r="R56" s="4"/>
      <c r="S56" s="4"/>
      <c r="T56" s="4"/>
      <c r="U56" s="4"/>
      <c r="V56" s="4"/>
      <c r="W56" s="4"/>
      <c r="X56" s="4"/>
      <c r="Y56" s="4"/>
    </row>
    <row r="57" spans="1:25" hidden="1">
      <c r="B57" s="12" t="s">
        <v>51</v>
      </c>
      <c r="C57" s="2">
        <v>1871000</v>
      </c>
      <c r="D57" s="2">
        <v>112920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2">
        <v>112920</v>
      </c>
    </row>
    <row r="58" spans="1:25" s="3" customFormat="1">
      <c r="A58" s="81"/>
      <c r="B58" s="12" t="s">
        <v>368</v>
      </c>
      <c r="C58" s="2">
        <v>101300</v>
      </c>
      <c r="D58" s="1">
        <v>0</v>
      </c>
      <c r="E58" s="1">
        <v>0</v>
      </c>
      <c r="F58" s="1">
        <v>0</v>
      </c>
      <c r="G58" s="1">
        <v>190</v>
      </c>
      <c r="H58" s="1">
        <v>238</v>
      </c>
      <c r="I58" s="2">
        <v>42875</v>
      </c>
      <c r="J58" s="1">
        <v>0</v>
      </c>
      <c r="K58" s="2">
        <v>2238</v>
      </c>
      <c r="L58" s="1">
        <v>0</v>
      </c>
      <c r="M58" s="1">
        <v>0</v>
      </c>
      <c r="N58" s="1">
        <v>0</v>
      </c>
      <c r="O58" s="1">
        <v>0</v>
      </c>
      <c r="P58" s="2">
        <v>45541</v>
      </c>
      <c r="Q58" s="4"/>
      <c r="R58" s="4"/>
      <c r="S58" s="4"/>
      <c r="T58" s="4"/>
      <c r="U58" s="4"/>
      <c r="V58" s="4"/>
      <c r="W58" s="4"/>
      <c r="X58" s="4"/>
      <c r="Y58" s="4"/>
    </row>
    <row r="59" spans="1:25" hidden="1">
      <c r="B59" s="12" t="s">
        <v>53</v>
      </c>
      <c r="C59" s="2">
        <v>44180</v>
      </c>
      <c r="D59" s="2">
        <v>3997</v>
      </c>
      <c r="E59" s="2">
        <v>1371</v>
      </c>
      <c r="F59" s="1">
        <v>0</v>
      </c>
      <c r="G59" s="1">
        <v>0</v>
      </c>
      <c r="H59" s="1">
        <v>948</v>
      </c>
      <c r="I59" s="1">
        <v>0</v>
      </c>
      <c r="J59" s="1">
        <v>381</v>
      </c>
      <c r="K59" s="1">
        <v>0</v>
      </c>
      <c r="L59" s="1">
        <v>380</v>
      </c>
      <c r="M59" s="2">
        <v>2475</v>
      </c>
      <c r="N59" s="1">
        <v>0</v>
      </c>
      <c r="O59" s="1">
        <v>0</v>
      </c>
      <c r="P59" s="2">
        <v>9552</v>
      </c>
    </row>
    <row r="60" spans="1:25" hidden="1">
      <c r="B60" s="11" t="s">
        <v>324</v>
      </c>
      <c r="C60" s="1" t="s">
        <v>325</v>
      </c>
      <c r="D60"/>
      <c r="E60"/>
      <c r="F60"/>
      <c r="G60"/>
      <c r="H60"/>
      <c r="I60"/>
      <c r="J60"/>
      <c r="K60"/>
      <c r="L60"/>
      <c r="M60"/>
      <c r="N60"/>
      <c r="O60"/>
      <c r="P60"/>
    </row>
    <row r="61" spans="1:25" hidden="1">
      <c r="B61" s="12" t="s">
        <v>1</v>
      </c>
      <c r="C61" s="1" t="s">
        <v>2</v>
      </c>
      <c r="D61" s="1">
        <v>11001</v>
      </c>
      <c r="E61" s="1">
        <v>11002</v>
      </c>
      <c r="F61" s="1">
        <v>11003</v>
      </c>
      <c r="G61" s="1">
        <v>11004</v>
      </c>
      <c r="H61" s="1">
        <v>11005</v>
      </c>
      <c r="I61" s="1">
        <v>11006</v>
      </c>
      <c r="J61" s="1">
        <v>11007</v>
      </c>
      <c r="K61" s="1">
        <v>11008</v>
      </c>
      <c r="L61" s="1">
        <v>11009</v>
      </c>
      <c r="M61" s="1">
        <v>11010</v>
      </c>
      <c r="N61" s="1">
        <v>11011</v>
      </c>
      <c r="O61" s="1">
        <v>11012</v>
      </c>
      <c r="P61" s="1" t="s">
        <v>3</v>
      </c>
    </row>
    <row r="62" spans="1:25" s="3" customFormat="1">
      <c r="A62" s="81"/>
      <c r="B62" s="12" t="s">
        <v>376</v>
      </c>
      <c r="C62" s="2">
        <v>44180</v>
      </c>
      <c r="D62" s="2">
        <v>3997</v>
      </c>
      <c r="E62" s="2">
        <v>1371</v>
      </c>
      <c r="F62" s="1">
        <v>0</v>
      </c>
      <c r="G62" s="1">
        <v>0</v>
      </c>
      <c r="H62" s="1">
        <v>948</v>
      </c>
      <c r="I62" s="1">
        <v>0</v>
      </c>
      <c r="J62" s="1">
        <v>381</v>
      </c>
      <c r="K62" s="1">
        <v>0</v>
      </c>
      <c r="L62" s="1">
        <v>380</v>
      </c>
      <c r="M62" s="2">
        <v>2475</v>
      </c>
      <c r="N62" s="1">
        <v>0</v>
      </c>
      <c r="O62" s="1">
        <v>0</v>
      </c>
      <c r="P62" s="2">
        <v>9552</v>
      </c>
      <c r="Q62" s="4"/>
      <c r="R62" s="4"/>
      <c r="S62" s="4"/>
      <c r="T62" s="4"/>
      <c r="U62" s="4"/>
      <c r="V62" s="4"/>
      <c r="W62" s="4"/>
      <c r="X62" s="4"/>
      <c r="Y62" s="4"/>
    </row>
    <row r="63" spans="1:25" hidden="1">
      <c r="B63" s="12" t="s">
        <v>54</v>
      </c>
      <c r="C63" s="2">
        <v>1932000</v>
      </c>
      <c r="D63" s="2">
        <v>95309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2">
        <v>95309</v>
      </c>
    </row>
    <row r="64" spans="1:25" s="3" customFormat="1">
      <c r="A64" s="81"/>
      <c r="B64" s="12" t="s">
        <v>351</v>
      </c>
      <c r="C64" s="2">
        <v>6851060</v>
      </c>
      <c r="D64" s="2">
        <v>111990</v>
      </c>
      <c r="E64" s="2">
        <v>34447</v>
      </c>
      <c r="F64" s="2">
        <v>203024</v>
      </c>
      <c r="G64" s="2">
        <v>1420913</v>
      </c>
      <c r="H64" s="2">
        <v>335138</v>
      </c>
      <c r="I64" s="2">
        <v>44605</v>
      </c>
      <c r="J64" s="2">
        <v>216038</v>
      </c>
      <c r="K64" s="2">
        <v>36855</v>
      </c>
      <c r="L64" s="2">
        <v>140318</v>
      </c>
      <c r="M64" s="2">
        <v>996059</v>
      </c>
      <c r="N64" s="1">
        <v>0</v>
      </c>
      <c r="O64" s="1">
        <v>0</v>
      </c>
      <c r="P64" s="2">
        <v>3539387</v>
      </c>
      <c r="Q64" s="4"/>
      <c r="R64" s="4"/>
      <c r="S64" s="4"/>
      <c r="T64" s="4"/>
      <c r="U64" s="4"/>
      <c r="V64" s="4"/>
      <c r="W64" s="4"/>
      <c r="X64" s="4"/>
      <c r="Y64" s="4"/>
    </row>
    <row r="65" spans="1:25" s="3" customFormat="1">
      <c r="A65" s="81"/>
      <c r="B65" s="12" t="s">
        <v>56</v>
      </c>
      <c r="C65" s="2">
        <v>587040</v>
      </c>
      <c r="D65" s="2">
        <v>109390</v>
      </c>
      <c r="E65" s="2">
        <v>14715</v>
      </c>
      <c r="F65" s="2">
        <v>16910</v>
      </c>
      <c r="G65" s="2">
        <v>29201</v>
      </c>
      <c r="H65" s="2">
        <v>24178</v>
      </c>
      <c r="I65" s="2">
        <v>66600</v>
      </c>
      <c r="J65" s="2">
        <v>28432</v>
      </c>
      <c r="K65" s="2">
        <v>18278</v>
      </c>
      <c r="L65" s="2">
        <v>28845</v>
      </c>
      <c r="M65" s="2">
        <v>32738</v>
      </c>
      <c r="N65" s="1">
        <v>0</v>
      </c>
      <c r="O65" s="1">
        <v>0</v>
      </c>
      <c r="P65" s="2">
        <v>369287</v>
      </c>
      <c r="Q65" s="4"/>
      <c r="R65" s="4"/>
      <c r="S65" s="4"/>
      <c r="T65" s="4"/>
      <c r="U65" s="4"/>
      <c r="V65" s="4"/>
      <c r="W65" s="4"/>
      <c r="X65" s="4"/>
      <c r="Y65" s="4"/>
    </row>
    <row r="66" spans="1:25" hidden="1">
      <c r="B66" s="12" t="s">
        <v>57</v>
      </c>
      <c r="C66" s="2">
        <v>1090000</v>
      </c>
      <c r="D66" s="2">
        <v>93133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2">
        <v>93133</v>
      </c>
    </row>
    <row r="67" spans="1:25" hidden="1">
      <c r="B67" s="12" t="s">
        <v>58</v>
      </c>
      <c r="C67" s="2">
        <v>1079000</v>
      </c>
      <c r="D67" s="2">
        <v>28767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2">
        <v>28767</v>
      </c>
    </row>
    <row r="68" spans="1:25" hidden="1">
      <c r="A68" s="4"/>
      <c r="B68" s="12" t="s">
        <v>59</v>
      </c>
      <c r="C68" s="2">
        <v>8682000</v>
      </c>
      <c r="D68" s="2">
        <v>15666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2">
        <v>15666</v>
      </c>
    </row>
    <row r="69" spans="1:25" hidden="1">
      <c r="A69" s="4"/>
      <c r="B69" s="12" t="s">
        <v>60</v>
      </c>
      <c r="C69" s="2">
        <v>6750000</v>
      </c>
      <c r="D69" s="2">
        <v>371748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2">
        <v>371748</v>
      </c>
    </row>
    <row r="70" spans="1:25" s="3" customFormat="1">
      <c r="A70" s="81"/>
      <c r="B70" s="12" t="s">
        <v>352</v>
      </c>
      <c r="C70" s="2">
        <v>479400</v>
      </c>
      <c r="D70" s="2">
        <v>35486</v>
      </c>
      <c r="E70" s="2">
        <v>37746</v>
      </c>
      <c r="F70" s="2">
        <v>51065</v>
      </c>
      <c r="G70" s="2">
        <v>22349</v>
      </c>
      <c r="H70" s="2">
        <v>20227</v>
      </c>
      <c r="I70" s="2">
        <v>21930</v>
      </c>
      <c r="J70" s="2">
        <v>23457</v>
      </c>
      <c r="K70" s="2">
        <v>17628</v>
      </c>
      <c r="L70" s="2">
        <v>20542</v>
      </c>
      <c r="M70" s="2">
        <v>37791</v>
      </c>
      <c r="N70" s="1">
        <v>0</v>
      </c>
      <c r="O70" s="1">
        <v>0</v>
      </c>
      <c r="P70" s="2">
        <v>288221</v>
      </c>
      <c r="Q70" s="4"/>
      <c r="R70" s="4"/>
      <c r="S70" s="4"/>
      <c r="T70" s="4"/>
      <c r="U70" s="4"/>
      <c r="V70" s="4"/>
      <c r="W70" s="4"/>
      <c r="X70" s="4"/>
      <c r="Y70" s="4"/>
    </row>
    <row r="71" spans="1:25" s="3" customFormat="1">
      <c r="A71" s="81"/>
      <c r="B71" s="12" t="s">
        <v>62</v>
      </c>
      <c r="C71" s="2">
        <v>2454340</v>
      </c>
      <c r="D71" s="2">
        <v>207894</v>
      </c>
      <c r="E71" s="2">
        <v>206669</v>
      </c>
      <c r="F71" s="2">
        <v>223243</v>
      </c>
      <c r="G71" s="2">
        <v>211653</v>
      </c>
      <c r="H71" s="2">
        <v>212237</v>
      </c>
      <c r="I71" s="2">
        <v>214821</v>
      </c>
      <c r="J71" s="2">
        <v>212638</v>
      </c>
      <c r="K71" s="2">
        <v>216066</v>
      </c>
      <c r="L71" s="2">
        <v>249751</v>
      </c>
      <c r="M71" s="2">
        <v>214303</v>
      </c>
      <c r="N71" s="1">
        <v>0</v>
      </c>
      <c r="O71" s="1">
        <v>0</v>
      </c>
      <c r="P71" s="2">
        <v>2169275</v>
      </c>
      <c r="Q71" s="4"/>
      <c r="R71" s="4"/>
      <c r="S71" s="4"/>
      <c r="T71" s="4"/>
      <c r="U71" s="4"/>
      <c r="V71" s="4"/>
      <c r="W71" s="4"/>
      <c r="X71" s="4"/>
      <c r="Y71" s="4"/>
    </row>
    <row r="72" spans="1:25" s="3" customFormat="1" hidden="1">
      <c r="A72" s="91"/>
      <c r="B72" s="12" t="s">
        <v>63</v>
      </c>
      <c r="C72" s="2">
        <v>6582000</v>
      </c>
      <c r="D72" s="2">
        <v>370253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2">
        <v>370253</v>
      </c>
      <c r="Q72" s="4"/>
      <c r="R72" s="4"/>
      <c r="S72" s="4"/>
      <c r="T72" s="4"/>
      <c r="U72" s="4"/>
      <c r="V72" s="4"/>
      <c r="W72" s="4"/>
      <c r="X72" s="4"/>
      <c r="Y72" s="4"/>
    </row>
    <row r="73" spans="1:25" s="3" customFormat="1" hidden="1">
      <c r="A73" s="91"/>
      <c r="B73" s="12" t="s">
        <v>64</v>
      </c>
      <c r="C73" s="2">
        <v>340171000</v>
      </c>
      <c r="D73" s="2">
        <v>23252746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2">
        <v>23252746</v>
      </c>
      <c r="Q73" s="4"/>
      <c r="R73" s="4"/>
      <c r="S73" s="4"/>
      <c r="T73" s="4"/>
      <c r="U73" s="4"/>
      <c r="V73" s="4"/>
      <c r="W73" s="4"/>
      <c r="X73" s="4"/>
      <c r="Y73" s="4"/>
    </row>
    <row r="74" spans="1:25" s="3" customFormat="1">
      <c r="A74" s="81"/>
      <c r="B74" s="12" t="s">
        <v>353</v>
      </c>
      <c r="C74" s="2">
        <v>2194340</v>
      </c>
      <c r="D74" s="2">
        <v>141357</v>
      </c>
      <c r="E74" s="2">
        <v>124975</v>
      </c>
      <c r="F74" s="2">
        <v>121882</v>
      </c>
      <c r="G74" s="2">
        <v>177329</v>
      </c>
      <c r="H74" s="2">
        <v>173486</v>
      </c>
      <c r="I74" s="2">
        <v>165053</v>
      </c>
      <c r="J74" s="2">
        <v>163935</v>
      </c>
      <c r="K74" s="2">
        <v>171526</v>
      </c>
      <c r="L74" s="2">
        <v>176570</v>
      </c>
      <c r="M74" s="2">
        <v>179792</v>
      </c>
      <c r="N74" s="1">
        <v>0</v>
      </c>
      <c r="O74" s="1">
        <v>0</v>
      </c>
      <c r="P74" s="2">
        <v>1595905</v>
      </c>
      <c r="Q74" s="4"/>
      <c r="R74" s="4"/>
      <c r="S74" s="4"/>
      <c r="T74" s="4"/>
      <c r="U74" s="4"/>
      <c r="V74" s="4"/>
      <c r="W74" s="4"/>
      <c r="X74" s="4"/>
      <c r="Y74" s="4"/>
    </row>
    <row r="75" spans="1:25" hidden="1">
      <c r="B75" s="12" t="s">
        <v>66</v>
      </c>
      <c r="C75" s="2">
        <v>2659000</v>
      </c>
      <c r="D75" s="2">
        <v>120106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2">
        <v>120106</v>
      </c>
    </row>
    <row r="76" spans="1:25" s="3" customFormat="1">
      <c r="A76" s="81"/>
      <c r="B76" s="12" t="s">
        <v>354</v>
      </c>
      <c r="C76" s="2">
        <v>1541750</v>
      </c>
      <c r="D76" s="2">
        <v>276110</v>
      </c>
      <c r="E76" s="2">
        <v>132650</v>
      </c>
      <c r="F76" s="2">
        <v>117180</v>
      </c>
      <c r="G76" s="2">
        <v>155814</v>
      </c>
      <c r="H76" s="2">
        <v>49413</v>
      </c>
      <c r="I76" s="2">
        <v>43142</v>
      </c>
      <c r="J76" s="2">
        <v>68901</v>
      </c>
      <c r="K76" s="2">
        <v>72689</v>
      </c>
      <c r="L76" s="2">
        <v>52891</v>
      </c>
      <c r="M76" s="2">
        <v>36559</v>
      </c>
      <c r="N76" s="1">
        <v>0</v>
      </c>
      <c r="O76" s="1">
        <v>0</v>
      </c>
      <c r="P76" s="2">
        <v>1005349</v>
      </c>
      <c r="Q76" s="4"/>
      <c r="R76" s="4"/>
      <c r="S76" s="4"/>
      <c r="T76" s="4"/>
      <c r="U76" s="4"/>
      <c r="V76" s="4"/>
      <c r="W76" s="4"/>
      <c r="X76" s="4"/>
      <c r="Y76" s="4"/>
    </row>
    <row r="77" spans="1:25" s="3" customFormat="1">
      <c r="A77" s="81"/>
      <c r="B77" s="12" t="s">
        <v>68</v>
      </c>
      <c r="C77" s="2">
        <v>547140</v>
      </c>
      <c r="D77" s="1">
        <v>0</v>
      </c>
      <c r="E77" s="2">
        <v>89375</v>
      </c>
      <c r="F77" s="2">
        <v>34605</v>
      </c>
      <c r="G77" s="2">
        <v>47918</v>
      </c>
      <c r="H77" s="1">
        <v>0</v>
      </c>
      <c r="I77" s="2">
        <v>82455</v>
      </c>
      <c r="J77" s="2">
        <v>23651</v>
      </c>
      <c r="K77" s="2">
        <v>47570</v>
      </c>
      <c r="L77" s="2">
        <v>58579</v>
      </c>
      <c r="M77" s="2">
        <v>90417</v>
      </c>
      <c r="N77" s="1">
        <v>0</v>
      </c>
      <c r="O77" s="1">
        <v>0</v>
      </c>
      <c r="P77" s="2">
        <v>474570</v>
      </c>
      <c r="Q77" s="4"/>
      <c r="R77" s="4"/>
      <c r="S77" s="4"/>
      <c r="T77" s="4"/>
      <c r="U77" s="4"/>
      <c r="V77" s="4"/>
      <c r="W77" s="4"/>
      <c r="X77" s="4"/>
      <c r="Y77" s="4"/>
    </row>
    <row r="78" spans="1:25">
      <c r="A78" s="81"/>
      <c r="B78" s="12" t="s">
        <v>69</v>
      </c>
      <c r="C78" s="2">
        <v>8003780</v>
      </c>
      <c r="D78" s="2">
        <v>968347</v>
      </c>
      <c r="E78" s="2">
        <v>220473</v>
      </c>
      <c r="F78" s="2">
        <v>2144311</v>
      </c>
      <c r="G78" s="2">
        <v>194210</v>
      </c>
      <c r="H78" s="2">
        <v>58985</v>
      </c>
      <c r="I78" s="2">
        <v>1931290</v>
      </c>
      <c r="J78" s="2">
        <v>4950</v>
      </c>
      <c r="K78" s="2">
        <v>4500</v>
      </c>
      <c r="L78" s="2">
        <v>1549268</v>
      </c>
      <c r="M78" s="2">
        <v>2000</v>
      </c>
      <c r="N78" s="1">
        <v>0</v>
      </c>
      <c r="O78" s="1">
        <v>0</v>
      </c>
      <c r="P78" s="2">
        <v>7078334</v>
      </c>
    </row>
    <row r="79" spans="1:25" hidden="1">
      <c r="B79" s="12" t="s">
        <v>27</v>
      </c>
      <c r="C79" s="2">
        <v>402131000</v>
      </c>
      <c r="D79" s="2">
        <v>26489832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2">
        <v>26489832</v>
      </c>
    </row>
    <row r="80" spans="1:25" hidden="1">
      <c r="B80" s="12" t="s">
        <v>70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25" hidden="1">
      <c r="B81" s="12" t="s">
        <v>71</v>
      </c>
      <c r="C81" s="2">
        <v>720000</v>
      </c>
      <c r="D81" s="2">
        <v>32400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2">
        <v>32400</v>
      </c>
    </row>
    <row r="82" spans="1:25" hidden="1">
      <c r="B82" s="12" t="s">
        <v>72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</row>
    <row r="83" spans="1:25" hidden="1">
      <c r="A83" s="50"/>
      <c r="B83" s="12" t="s">
        <v>73</v>
      </c>
      <c r="C83" s="2">
        <v>9142000</v>
      </c>
      <c r="D83" s="2">
        <v>577184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2">
        <v>577184</v>
      </c>
    </row>
    <row r="84" spans="1:25" hidden="1">
      <c r="A84" s="91"/>
      <c r="B84" s="12" t="s">
        <v>74</v>
      </c>
      <c r="C84" s="2">
        <v>600000</v>
      </c>
      <c r="D84" s="2">
        <v>45888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2">
        <v>45888</v>
      </c>
    </row>
    <row r="85" spans="1:25" hidden="1">
      <c r="A85" s="50"/>
      <c r="B85" s="12" t="s">
        <v>75</v>
      </c>
      <c r="C85" s="2">
        <v>720000</v>
      </c>
      <c r="D85" s="2">
        <v>10037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2">
        <v>10037</v>
      </c>
    </row>
    <row r="86" spans="1:25" s="3" customFormat="1">
      <c r="A86" s="81"/>
      <c r="B86" s="12" t="s">
        <v>76</v>
      </c>
      <c r="C86" s="2">
        <v>523600</v>
      </c>
      <c r="D86" s="2">
        <v>17304</v>
      </c>
      <c r="E86" s="2">
        <v>65731</v>
      </c>
      <c r="F86" s="2">
        <v>17357</v>
      </c>
      <c r="G86" s="2">
        <v>14157</v>
      </c>
      <c r="H86" s="2">
        <v>16714</v>
      </c>
      <c r="I86" s="2">
        <v>2000</v>
      </c>
      <c r="J86" s="1">
        <v>0</v>
      </c>
      <c r="K86" s="2">
        <v>14500</v>
      </c>
      <c r="L86" s="2">
        <v>147823</v>
      </c>
      <c r="M86" s="2">
        <v>5117</v>
      </c>
      <c r="N86" s="1">
        <v>0</v>
      </c>
      <c r="O86" s="1">
        <v>0</v>
      </c>
      <c r="P86" s="2">
        <v>300703</v>
      </c>
      <c r="Q86" s="4"/>
      <c r="R86" s="4"/>
      <c r="S86" s="4"/>
      <c r="T86" s="4"/>
      <c r="U86" s="4"/>
      <c r="V86" s="4"/>
      <c r="W86" s="4"/>
      <c r="X86" s="4"/>
      <c r="Y86" s="4"/>
    </row>
    <row r="87" spans="1:25" hidden="1">
      <c r="B87" s="12" t="s">
        <v>77</v>
      </c>
      <c r="C87" s="2">
        <v>300000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</row>
    <row r="88" spans="1:25" hidden="1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</row>
    <row r="89" spans="1:25" hidden="1">
      <c r="B89" s="11" t="s">
        <v>324</v>
      </c>
      <c r="C89" s="1" t="s">
        <v>326</v>
      </c>
      <c r="D89"/>
      <c r="E89"/>
      <c r="F89"/>
      <c r="G89"/>
      <c r="H89"/>
      <c r="I89"/>
      <c r="J89"/>
      <c r="K89"/>
      <c r="L89"/>
      <c r="M89"/>
      <c r="N89"/>
      <c r="O89"/>
      <c r="P89"/>
    </row>
    <row r="90" spans="1:25" hidden="1">
      <c r="B90" s="12" t="s">
        <v>1</v>
      </c>
      <c r="C90" s="1" t="s">
        <v>2</v>
      </c>
      <c r="D90" s="1">
        <v>11001</v>
      </c>
      <c r="E90" s="1">
        <v>11002</v>
      </c>
      <c r="F90" s="1">
        <v>11003</v>
      </c>
      <c r="G90" s="1">
        <v>11004</v>
      </c>
      <c r="H90" s="1">
        <v>11005</v>
      </c>
      <c r="I90" s="1">
        <v>11006</v>
      </c>
      <c r="J90" s="1">
        <v>11007</v>
      </c>
      <c r="K90" s="1">
        <v>11008</v>
      </c>
      <c r="L90" s="1">
        <v>11009</v>
      </c>
      <c r="M90" s="1">
        <v>11010</v>
      </c>
      <c r="N90" s="1">
        <v>11011</v>
      </c>
      <c r="O90" s="1">
        <v>11012</v>
      </c>
      <c r="P90" s="1" t="s">
        <v>3</v>
      </c>
    </row>
    <row r="91" spans="1:25" hidden="1">
      <c r="B91" s="12" t="s">
        <v>78</v>
      </c>
      <c r="C91" s="2">
        <v>49000</v>
      </c>
      <c r="D91" s="2">
        <v>2000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2">
        <v>2000</v>
      </c>
    </row>
    <row r="92" spans="1:25" hidden="1">
      <c r="B92" s="12" t="s">
        <v>27</v>
      </c>
      <c r="C92" s="2">
        <v>12221000</v>
      </c>
      <c r="D92" s="2">
        <v>684813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2">
        <v>684813</v>
      </c>
    </row>
    <row r="93" spans="1:25" hidden="1">
      <c r="B93" s="12" t="s">
        <v>79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25" hidden="1">
      <c r="B94" s="12" t="s">
        <v>80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</row>
    <row r="95" spans="1:25" hidden="1">
      <c r="B95" s="12" t="s">
        <v>81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</row>
    <row r="96" spans="1:25" hidden="1">
      <c r="B96" s="12" t="s">
        <v>82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</row>
    <row r="97" spans="2:16" hidden="1">
      <c r="B97" s="12" t="s">
        <v>83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</row>
    <row r="98" spans="2:16" hidden="1">
      <c r="B98" s="12" t="s">
        <v>84</v>
      </c>
      <c r="C98" s="2">
        <v>8719000</v>
      </c>
      <c r="D98" s="2">
        <v>887272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2">
        <v>887272</v>
      </c>
    </row>
    <row r="99" spans="2:16" hidden="1">
      <c r="B99" s="12" t="s">
        <v>85</v>
      </c>
      <c r="C99" s="2">
        <v>56120000</v>
      </c>
      <c r="D99" s="2">
        <v>4706565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2">
        <v>4706565</v>
      </c>
    </row>
    <row r="100" spans="2:16" hidden="1">
      <c r="B100" s="12" t="s">
        <v>86</v>
      </c>
      <c r="C100" s="2">
        <v>8394000</v>
      </c>
      <c r="D100" s="2">
        <v>271286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2">
        <v>271286</v>
      </c>
    </row>
    <row r="101" spans="2:16" hidden="1">
      <c r="B101" s="12" t="s">
        <v>87</v>
      </c>
      <c r="C101" s="2">
        <v>7632000</v>
      </c>
      <c r="D101" s="2">
        <v>305925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2">
        <v>305925</v>
      </c>
    </row>
    <row r="102" spans="2:16" hidden="1">
      <c r="B102" s="12" t="s">
        <v>266</v>
      </c>
      <c r="C102" s="2">
        <v>30820000</v>
      </c>
      <c r="D102" s="2">
        <v>481002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2">
        <v>481002</v>
      </c>
    </row>
    <row r="103" spans="2:16" hidden="1">
      <c r="B103" s="12" t="s">
        <v>267</v>
      </c>
      <c r="C103" s="2">
        <v>22000000</v>
      </c>
      <c r="D103" s="2">
        <v>179525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2">
        <v>179525</v>
      </c>
    </row>
    <row r="104" spans="2:16" hidden="1">
      <c r="B104" s="12" t="s">
        <v>268</v>
      </c>
      <c r="C104" s="2">
        <v>33200000</v>
      </c>
      <c r="D104" s="2">
        <v>1917426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2">
        <v>1917426</v>
      </c>
    </row>
    <row r="105" spans="2:16" hidden="1">
      <c r="B105" s="12" t="s">
        <v>269</v>
      </c>
      <c r="C105" s="2">
        <v>6500000</v>
      </c>
      <c r="D105" s="2">
        <v>290578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2">
        <v>290578</v>
      </c>
    </row>
    <row r="106" spans="2:16" hidden="1">
      <c r="B106" s="12" t="s">
        <v>88</v>
      </c>
      <c r="C106" s="2">
        <v>57859000</v>
      </c>
      <c r="D106" s="2">
        <v>4605141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2">
        <v>4605141</v>
      </c>
    </row>
    <row r="107" spans="2:16" hidden="1">
      <c r="B107" s="12" t="s">
        <v>89</v>
      </c>
      <c r="C107" s="2">
        <v>12591000</v>
      </c>
      <c r="D107" s="2">
        <v>90772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2">
        <v>90772</v>
      </c>
    </row>
    <row r="108" spans="2:16" hidden="1">
      <c r="B108" s="12" t="s">
        <v>90</v>
      </c>
      <c r="C108" s="2">
        <v>10963000</v>
      </c>
      <c r="D108" s="2">
        <v>692718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2">
        <v>692718</v>
      </c>
    </row>
    <row r="109" spans="2:16" hidden="1">
      <c r="B109" s="12" t="s">
        <v>91</v>
      </c>
      <c r="C109" s="2">
        <v>11130000</v>
      </c>
      <c r="D109" s="2">
        <v>102100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2">
        <v>102100</v>
      </c>
    </row>
    <row r="110" spans="2:16" hidden="1">
      <c r="B110" s="12" t="s">
        <v>92</v>
      </c>
      <c r="C110" s="2">
        <v>2163000</v>
      </c>
      <c r="D110" s="2">
        <v>106534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2">
        <v>106534</v>
      </c>
    </row>
    <row r="111" spans="2:16" hidden="1">
      <c r="B111" s="12" t="s">
        <v>93</v>
      </c>
      <c r="C111" s="2">
        <v>7870000</v>
      </c>
      <c r="D111" s="2">
        <v>369203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2">
        <v>369203</v>
      </c>
    </row>
    <row r="112" spans="2:16" hidden="1">
      <c r="B112" s="12" t="s">
        <v>94</v>
      </c>
      <c r="C112" s="2">
        <v>1048000</v>
      </c>
      <c r="D112" s="2">
        <v>16892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2">
        <v>16892</v>
      </c>
    </row>
    <row r="113" spans="1:25" hidden="1">
      <c r="B113" s="12" t="s">
        <v>95</v>
      </c>
      <c r="C113" s="2">
        <v>2755000</v>
      </c>
      <c r="D113" s="2">
        <v>131671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2">
        <v>131671</v>
      </c>
    </row>
    <row r="114" spans="1:25" hidden="1">
      <c r="B114" s="12" t="s">
        <v>96</v>
      </c>
      <c r="C114" s="2">
        <v>1077000</v>
      </c>
      <c r="D114" s="2">
        <v>84663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2">
        <v>84663</v>
      </c>
    </row>
    <row r="115" spans="1:25" s="3" customFormat="1" hidden="1">
      <c r="A115" s="50"/>
      <c r="B115" s="12" t="s">
        <v>97</v>
      </c>
      <c r="C115" s="2">
        <v>9962000</v>
      </c>
      <c r="D115" s="2">
        <v>27840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2">
        <v>27840</v>
      </c>
      <c r="Q115" s="4"/>
      <c r="R115" s="4"/>
      <c r="S115" s="4"/>
      <c r="T115" s="4"/>
      <c r="U115" s="4"/>
      <c r="V115" s="4"/>
      <c r="W115" s="4"/>
      <c r="X115" s="4"/>
      <c r="Y115" s="4"/>
    </row>
    <row r="116" spans="1:25" s="3" customFormat="1" hidden="1">
      <c r="A116" s="50"/>
      <c r="B116" s="12" t="s">
        <v>98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4"/>
      <c r="R116" s="4"/>
      <c r="S116" s="4"/>
      <c r="T116" s="4"/>
      <c r="U116" s="4"/>
      <c r="V116" s="4"/>
      <c r="W116" s="4"/>
      <c r="X116" s="4"/>
      <c r="Y116" s="4"/>
    </row>
    <row r="117" spans="1:25" hidden="1">
      <c r="A117" s="50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</row>
    <row r="118" spans="1:25" hidden="1">
      <c r="A118" s="50"/>
      <c r="B118" s="11" t="s">
        <v>324</v>
      </c>
      <c r="C118" s="1" t="s">
        <v>327</v>
      </c>
      <c r="D118"/>
      <c r="E118"/>
      <c r="F118"/>
      <c r="G118"/>
      <c r="H118"/>
      <c r="I118"/>
      <c r="J118"/>
      <c r="K118"/>
      <c r="L118"/>
      <c r="M118"/>
      <c r="N118"/>
      <c r="O118"/>
      <c r="P118"/>
    </row>
    <row r="119" spans="1:25" hidden="1">
      <c r="A119" s="50"/>
      <c r="B119" s="12" t="s">
        <v>1</v>
      </c>
      <c r="C119" s="1" t="s">
        <v>2</v>
      </c>
      <c r="D119" s="1">
        <v>11001</v>
      </c>
      <c r="E119" s="1">
        <v>11002</v>
      </c>
      <c r="F119" s="1">
        <v>11003</v>
      </c>
      <c r="G119" s="1">
        <v>11004</v>
      </c>
      <c r="H119" s="1">
        <v>11005</v>
      </c>
      <c r="I119" s="1">
        <v>11006</v>
      </c>
      <c r="J119" s="1">
        <v>11007</v>
      </c>
      <c r="K119" s="1">
        <v>11008</v>
      </c>
      <c r="L119" s="1">
        <v>11009</v>
      </c>
      <c r="M119" s="1">
        <v>11010</v>
      </c>
      <c r="N119" s="1">
        <v>11011</v>
      </c>
      <c r="O119" s="1">
        <v>11012</v>
      </c>
      <c r="P119" s="1" t="s">
        <v>3</v>
      </c>
    </row>
    <row r="120" spans="1:25" hidden="1">
      <c r="A120" s="50"/>
      <c r="B120" s="12" t="s">
        <v>230</v>
      </c>
      <c r="C120" s="2">
        <v>1500000</v>
      </c>
      <c r="D120" s="2">
        <v>17738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2">
        <v>17738</v>
      </c>
    </row>
    <row r="121" spans="1:25">
      <c r="A121" s="81"/>
      <c r="B121" s="12" t="s">
        <v>356</v>
      </c>
      <c r="C121" s="2">
        <v>432400</v>
      </c>
      <c r="D121" s="2">
        <v>42500</v>
      </c>
      <c r="E121" s="2">
        <v>4571</v>
      </c>
      <c r="F121" s="2">
        <v>6147</v>
      </c>
      <c r="G121" s="2">
        <v>3585</v>
      </c>
      <c r="H121" s="2">
        <v>18700</v>
      </c>
      <c r="I121" s="2">
        <v>110286</v>
      </c>
      <c r="J121" s="2">
        <v>3600</v>
      </c>
      <c r="K121" s="1">
        <v>0</v>
      </c>
      <c r="L121" s="2">
        <v>40987</v>
      </c>
      <c r="M121" s="1">
        <v>456</v>
      </c>
      <c r="N121" s="1">
        <v>0</v>
      </c>
      <c r="O121" s="1">
        <v>0</v>
      </c>
      <c r="P121" s="2">
        <v>230832</v>
      </c>
    </row>
    <row r="122" spans="1:25">
      <c r="A122" s="81"/>
      <c r="B122" s="12" t="s">
        <v>377</v>
      </c>
      <c r="C122" s="2">
        <v>1034000</v>
      </c>
      <c r="D122" s="2">
        <v>52149</v>
      </c>
      <c r="E122" s="2">
        <v>17129</v>
      </c>
      <c r="F122" s="2">
        <v>75399</v>
      </c>
      <c r="G122" s="2">
        <v>68903</v>
      </c>
      <c r="H122" s="2">
        <v>43307</v>
      </c>
      <c r="I122" s="2">
        <v>56429</v>
      </c>
      <c r="J122" s="2">
        <v>89800</v>
      </c>
      <c r="K122" s="2">
        <v>70227</v>
      </c>
      <c r="L122" s="2">
        <v>40972</v>
      </c>
      <c r="M122" s="2">
        <v>52403</v>
      </c>
      <c r="N122" s="1">
        <v>0</v>
      </c>
      <c r="O122" s="1">
        <v>0</v>
      </c>
      <c r="P122" s="2">
        <v>566718</v>
      </c>
    </row>
    <row r="123" spans="1:25" hidden="1">
      <c r="B123" s="12" t="s">
        <v>101</v>
      </c>
      <c r="C123" s="2">
        <v>5400000</v>
      </c>
      <c r="D123" s="2">
        <v>398682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2">
        <v>398682</v>
      </c>
    </row>
    <row r="124" spans="1:25" hidden="1">
      <c r="B124" s="12" t="s">
        <v>102</v>
      </c>
      <c r="C124" s="2">
        <v>358000</v>
      </c>
      <c r="D124" s="2">
        <v>10057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2">
        <v>10057</v>
      </c>
    </row>
    <row r="125" spans="1:25" hidden="1">
      <c r="B125" s="12" t="s">
        <v>103</v>
      </c>
      <c r="C125" s="2">
        <v>2930000</v>
      </c>
      <c r="D125" s="2">
        <v>190667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2">
        <v>190667</v>
      </c>
    </row>
    <row r="126" spans="1:25" hidden="1">
      <c r="B126" s="12" t="s">
        <v>104</v>
      </c>
      <c r="C126" s="2">
        <v>2752000</v>
      </c>
      <c r="D126" s="2">
        <v>65068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2">
        <v>65068</v>
      </c>
    </row>
    <row r="127" spans="1:25" hidden="1">
      <c r="B127" s="12" t="s">
        <v>105</v>
      </c>
      <c r="C127" s="2">
        <v>5520000</v>
      </c>
      <c r="D127" s="2">
        <v>455486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2">
        <v>455486</v>
      </c>
    </row>
    <row r="128" spans="1:25" hidden="1">
      <c r="B128" s="12" t="s">
        <v>106</v>
      </c>
      <c r="C128" s="2">
        <v>800000</v>
      </c>
      <c r="D128" s="2">
        <v>26410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2">
        <v>26410</v>
      </c>
    </row>
    <row r="129" spans="1:25" hidden="1">
      <c r="B129" s="12" t="s">
        <v>107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</row>
    <row r="130" spans="1:25" hidden="1">
      <c r="B130" s="12" t="s">
        <v>108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</row>
    <row r="131" spans="1:25" hidden="1">
      <c r="B131" s="12" t="s">
        <v>109</v>
      </c>
      <c r="C131" s="2">
        <v>3855000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</row>
    <row r="132" spans="1:25" hidden="1">
      <c r="B132" s="12" t="s">
        <v>110</v>
      </c>
      <c r="C132" s="2">
        <v>4649000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</row>
    <row r="133" spans="1:25" hidden="1">
      <c r="B133" s="12" t="s">
        <v>197</v>
      </c>
      <c r="C133" s="2">
        <v>4166000</v>
      </c>
      <c r="D133" s="2">
        <v>100487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2">
        <v>100487</v>
      </c>
    </row>
    <row r="134" spans="1:25" s="3" customFormat="1" hidden="1">
      <c r="A134" s="50"/>
      <c r="B134" s="12" t="s">
        <v>198</v>
      </c>
      <c r="C134" s="2">
        <v>7401000</v>
      </c>
      <c r="D134" s="2">
        <v>6800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2">
        <v>6800</v>
      </c>
      <c r="Q134" s="4"/>
      <c r="R134" s="4"/>
      <c r="S134" s="4"/>
      <c r="T134" s="4"/>
      <c r="U134" s="4"/>
      <c r="V134" s="4"/>
      <c r="W134" s="4"/>
      <c r="X134" s="4"/>
      <c r="Y134" s="4"/>
    </row>
    <row r="135" spans="1:25" hidden="1">
      <c r="A135" s="50"/>
      <c r="B135" s="12" t="s">
        <v>199</v>
      </c>
      <c r="C135" s="2">
        <v>13505000</v>
      </c>
      <c r="D135" s="2">
        <v>1842171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2">
        <v>1842171</v>
      </c>
    </row>
    <row r="136" spans="1:25" s="3" customFormat="1" hidden="1">
      <c r="A136" s="50"/>
      <c r="B136" s="12" t="s">
        <v>200</v>
      </c>
      <c r="C136" s="2">
        <v>9870000</v>
      </c>
      <c r="D136" s="2">
        <v>376130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2">
        <v>376130</v>
      </c>
      <c r="Q136" s="4"/>
      <c r="R136" s="4"/>
      <c r="S136" s="4"/>
      <c r="T136" s="4"/>
      <c r="U136" s="4"/>
      <c r="V136" s="4"/>
      <c r="W136" s="4"/>
      <c r="X136" s="4"/>
      <c r="Y136" s="4"/>
    </row>
    <row r="137" spans="1:25" hidden="1">
      <c r="B137" s="12" t="s">
        <v>27</v>
      </c>
      <c r="C137" s="2">
        <v>355069000</v>
      </c>
      <c r="D137" s="2">
        <v>18851458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2">
        <v>18851458</v>
      </c>
    </row>
    <row r="138" spans="1:25" hidden="1">
      <c r="B138" s="12" t="s">
        <v>111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25" hidden="1">
      <c r="A139" s="50"/>
      <c r="B139" s="12" t="s">
        <v>112</v>
      </c>
      <c r="C139" s="1">
        <v>0</v>
      </c>
      <c r="D139" s="2">
        <v>36000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2">
        <v>36000</v>
      </c>
    </row>
    <row r="140" spans="1:25">
      <c r="A140" s="81"/>
      <c r="B140" s="12" t="s">
        <v>367</v>
      </c>
      <c r="C140" s="2">
        <v>4448080</v>
      </c>
      <c r="D140" s="2">
        <v>113519</v>
      </c>
      <c r="E140" s="2">
        <v>114037</v>
      </c>
      <c r="F140" s="2">
        <v>228445</v>
      </c>
      <c r="G140" s="2">
        <v>157890</v>
      </c>
      <c r="H140" s="2">
        <v>637319</v>
      </c>
      <c r="I140" s="2">
        <v>303033</v>
      </c>
      <c r="J140" s="2">
        <v>303033</v>
      </c>
      <c r="K140" s="2">
        <v>333032</v>
      </c>
      <c r="L140" s="2">
        <v>209413</v>
      </c>
      <c r="M140" s="2">
        <v>88747</v>
      </c>
      <c r="N140" s="1">
        <v>0</v>
      </c>
      <c r="O140" s="1">
        <v>0</v>
      </c>
      <c r="P140" s="2">
        <v>2488468</v>
      </c>
    </row>
    <row r="141" spans="1:25">
      <c r="A141" s="81"/>
      <c r="B141" s="12" t="s">
        <v>114</v>
      </c>
      <c r="C141" s="2">
        <v>1210000</v>
      </c>
      <c r="D141" s="2">
        <v>28564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2">
        <v>28564</v>
      </c>
    </row>
    <row r="142" spans="1:25">
      <c r="A142" s="81"/>
      <c r="B142" s="12" t="s">
        <v>357</v>
      </c>
      <c r="C142" s="2">
        <v>842490</v>
      </c>
      <c r="D142" s="2">
        <v>56120</v>
      </c>
      <c r="E142" s="2">
        <v>56120</v>
      </c>
      <c r="F142" s="2">
        <v>81098</v>
      </c>
      <c r="G142" s="2">
        <v>56120</v>
      </c>
      <c r="H142" s="2">
        <v>56102</v>
      </c>
      <c r="I142" s="2">
        <v>56075</v>
      </c>
      <c r="J142" s="2">
        <v>290796</v>
      </c>
      <c r="K142" s="2">
        <v>98135</v>
      </c>
      <c r="L142" s="2">
        <v>81363</v>
      </c>
      <c r="M142" s="2">
        <v>68614</v>
      </c>
      <c r="N142" s="1">
        <v>0</v>
      </c>
      <c r="O142" s="1">
        <v>0</v>
      </c>
      <c r="P142" s="2">
        <v>900543</v>
      </c>
    </row>
    <row r="143" spans="1:25">
      <c r="A143" s="81"/>
      <c r="B143" s="144" t="s">
        <v>328</v>
      </c>
      <c r="C143" s="2">
        <v>517000</v>
      </c>
      <c r="D143" s="2">
        <v>24425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2">
        <v>24425</v>
      </c>
    </row>
    <row r="144" spans="1:25" hidden="1">
      <c r="A144" s="91"/>
      <c r="B144" s="144" t="s">
        <v>116</v>
      </c>
      <c r="C144" s="2">
        <v>10564000</v>
      </c>
      <c r="D144" s="2">
        <v>420368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2">
        <v>420368</v>
      </c>
    </row>
    <row r="145" spans="1:25" hidden="1">
      <c r="B145" s="144" t="s">
        <v>117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</row>
    <row r="146" spans="1:25" hidden="1">
      <c r="B146" s="145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</row>
    <row r="147" spans="1:25" hidden="1">
      <c r="B147" s="143" t="s">
        <v>324</v>
      </c>
      <c r="C147" s="1" t="s">
        <v>329</v>
      </c>
      <c r="D147"/>
      <c r="E147"/>
      <c r="F147"/>
      <c r="G147"/>
      <c r="H147"/>
      <c r="I147"/>
      <c r="J147"/>
      <c r="K147"/>
      <c r="L147"/>
      <c r="M147"/>
      <c r="N147"/>
      <c r="O147"/>
      <c r="P147"/>
    </row>
    <row r="148" spans="1:25" hidden="1">
      <c r="B148" s="144" t="s">
        <v>1</v>
      </c>
      <c r="C148" s="1" t="s">
        <v>2</v>
      </c>
      <c r="D148" s="1">
        <v>11001</v>
      </c>
      <c r="E148" s="1">
        <v>11002</v>
      </c>
      <c r="F148" s="1">
        <v>11003</v>
      </c>
      <c r="G148" s="1">
        <v>11004</v>
      </c>
      <c r="H148" s="1">
        <v>11005</v>
      </c>
      <c r="I148" s="1">
        <v>11006</v>
      </c>
      <c r="J148" s="1">
        <v>11007</v>
      </c>
      <c r="K148" s="1">
        <v>11008</v>
      </c>
      <c r="L148" s="1">
        <v>11009</v>
      </c>
      <c r="M148" s="1">
        <v>11010</v>
      </c>
      <c r="N148" s="1">
        <v>11011</v>
      </c>
      <c r="O148" s="1">
        <v>11012</v>
      </c>
      <c r="P148" s="1" t="s">
        <v>3</v>
      </c>
    </row>
    <row r="149" spans="1:25" ht="32.4" hidden="1">
      <c r="B149" s="144" t="s">
        <v>264</v>
      </c>
      <c r="C149" s="2">
        <v>16289</v>
      </c>
      <c r="D149" s="1">
        <v>524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524</v>
      </c>
    </row>
    <row r="150" spans="1:25" hidden="1">
      <c r="B150" s="144" t="s">
        <v>118</v>
      </c>
      <c r="C150" s="2">
        <v>584000</v>
      </c>
      <c r="D150" s="2">
        <v>2500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2">
        <v>2500</v>
      </c>
    </row>
    <row r="151" spans="1:25" hidden="1">
      <c r="B151" s="144" t="s">
        <v>119</v>
      </c>
      <c r="C151" s="2">
        <v>238000</v>
      </c>
      <c r="D151" s="2">
        <v>47940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2">
        <v>47940</v>
      </c>
    </row>
    <row r="152" spans="1:25" hidden="1">
      <c r="B152" s="144" t="s">
        <v>27</v>
      </c>
      <c r="C152" s="2">
        <v>18729289</v>
      </c>
      <c r="D152" s="2">
        <v>729960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2">
        <v>729960</v>
      </c>
    </row>
    <row r="153" spans="1:25" hidden="1">
      <c r="B153" s="144" t="s">
        <v>120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25" s="3" customFormat="1" hidden="1">
      <c r="A154" s="50"/>
      <c r="B154" s="144" t="s">
        <v>121</v>
      </c>
      <c r="C154" s="2">
        <v>30815500</v>
      </c>
      <c r="D154" s="2">
        <v>2008057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2">
        <v>2008057</v>
      </c>
      <c r="Q154" s="4"/>
      <c r="R154" s="4"/>
      <c r="S154" s="4"/>
      <c r="T154" s="4"/>
      <c r="U154" s="4"/>
      <c r="V154" s="4"/>
      <c r="W154" s="4"/>
      <c r="X154" s="4"/>
      <c r="Y154" s="4"/>
    </row>
    <row r="155" spans="1:25" hidden="1">
      <c r="A155" s="50"/>
      <c r="B155" s="144" t="s">
        <v>122</v>
      </c>
      <c r="C155" s="2">
        <v>6294000</v>
      </c>
      <c r="D155" s="2">
        <v>330697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2">
        <v>330697</v>
      </c>
    </row>
    <row r="156" spans="1:25" hidden="1">
      <c r="A156" s="50"/>
      <c r="B156" s="144" t="s">
        <v>123</v>
      </c>
      <c r="C156" s="2">
        <v>435000</v>
      </c>
      <c r="D156" s="2">
        <v>34082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2">
        <v>34082</v>
      </c>
    </row>
    <row r="157" spans="1:25" s="3" customFormat="1" hidden="1">
      <c r="A157" s="50"/>
      <c r="B157" s="144" t="s">
        <v>124</v>
      </c>
      <c r="C157" s="2">
        <v>841000</v>
      </c>
      <c r="D157" s="2">
        <v>80015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2">
        <v>80015</v>
      </c>
      <c r="Q157" s="4"/>
      <c r="R157" s="4"/>
      <c r="S157" s="4"/>
      <c r="T157" s="4"/>
      <c r="U157" s="4"/>
      <c r="V157" s="4"/>
      <c r="W157" s="4"/>
      <c r="X157" s="4"/>
      <c r="Y157" s="4"/>
    </row>
    <row r="158" spans="1:25" hidden="1">
      <c r="B158" s="144" t="s">
        <v>125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</row>
    <row r="159" spans="1:25" hidden="1">
      <c r="A159" s="50"/>
      <c r="B159" s="144" t="s">
        <v>126</v>
      </c>
      <c r="C159" s="2">
        <v>8232000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</row>
    <row r="160" spans="1:25">
      <c r="A160" s="81"/>
      <c r="B160" s="12" t="s">
        <v>358</v>
      </c>
      <c r="C160" s="2">
        <v>486000</v>
      </c>
      <c r="D160" s="1">
        <v>0</v>
      </c>
      <c r="E160" s="1">
        <v>0</v>
      </c>
      <c r="F160" s="1">
        <v>0</v>
      </c>
      <c r="G160" s="2">
        <v>271930</v>
      </c>
      <c r="H160" s="1">
        <v>0</v>
      </c>
      <c r="I160" s="1">
        <v>0</v>
      </c>
      <c r="J160" s="2">
        <v>212670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2">
        <v>484600</v>
      </c>
    </row>
    <row r="161" spans="1:16" hidden="1">
      <c r="A161" s="50"/>
      <c r="B161" s="12" t="s">
        <v>128</v>
      </c>
      <c r="C161" s="2">
        <v>1598500</v>
      </c>
      <c r="D161" s="2">
        <v>905126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2">
        <v>905126</v>
      </c>
    </row>
    <row r="162" spans="1:16" hidden="1">
      <c r="A162" s="50"/>
      <c r="B162" s="12" t="s">
        <v>129</v>
      </c>
      <c r="C162" s="2">
        <v>1447000</v>
      </c>
      <c r="D162" s="2">
        <v>7168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2">
        <v>7168</v>
      </c>
    </row>
    <row r="163" spans="1:16" hidden="1">
      <c r="B163" s="12" t="s">
        <v>130</v>
      </c>
      <c r="C163" s="2">
        <v>4215500</v>
      </c>
      <c r="D163" s="2">
        <v>59497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2">
        <v>59497</v>
      </c>
    </row>
    <row r="164" spans="1:16" hidden="1">
      <c r="A164" s="91"/>
      <c r="B164" s="12" t="s">
        <v>27</v>
      </c>
      <c r="C164" s="2">
        <v>54364500</v>
      </c>
      <c r="D164" s="2">
        <v>3424642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2">
        <v>3424642</v>
      </c>
    </row>
    <row r="165" spans="1:16" hidden="1">
      <c r="B165" s="12" t="s">
        <v>131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hidden="1">
      <c r="B166" s="12" t="s">
        <v>132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</row>
    <row r="167" spans="1:16" hidden="1">
      <c r="B167" s="12" t="s">
        <v>133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</row>
    <row r="168" spans="1:16" hidden="1">
      <c r="B168" s="12" t="s">
        <v>134</v>
      </c>
      <c r="C168" s="2">
        <v>17966077</v>
      </c>
      <c r="D168" s="2">
        <v>1481992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2">
        <v>1481992</v>
      </c>
    </row>
    <row r="169" spans="1:16" hidden="1">
      <c r="B169" s="12" t="s">
        <v>135</v>
      </c>
      <c r="C169" s="2">
        <v>53638327</v>
      </c>
      <c r="D169" s="2">
        <v>4005685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2">
        <v>4005685</v>
      </c>
    </row>
    <row r="170" spans="1:16" hidden="1">
      <c r="B170" s="12" t="s">
        <v>136</v>
      </c>
      <c r="C170" s="2">
        <v>40869287</v>
      </c>
      <c r="D170" s="2">
        <v>3481441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2">
        <v>3481441</v>
      </c>
    </row>
    <row r="171" spans="1:16" hidden="1">
      <c r="B171" s="12" t="s">
        <v>137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</row>
    <row r="172" spans="1:16" hidden="1">
      <c r="B172" s="12" t="s">
        <v>270</v>
      </c>
      <c r="C172" s="2">
        <v>1534270</v>
      </c>
      <c r="D172" s="2">
        <v>93965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2">
        <v>93965</v>
      </c>
    </row>
    <row r="173" spans="1:16" hidden="1">
      <c r="B173" s="12" t="s">
        <v>138</v>
      </c>
      <c r="C173" s="2">
        <v>31776</v>
      </c>
      <c r="D173" s="2">
        <v>2648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2">
        <v>2648</v>
      </c>
    </row>
    <row r="174" spans="1:16" hidden="1">
      <c r="B174" s="12" t="s">
        <v>139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</row>
    <row r="175" spans="1:16" hidden="1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</row>
    <row r="176" spans="1:16" hidden="1">
      <c r="B176" s="11" t="s">
        <v>324</v>
      </c>
      <c r="C176" s="1" t="s">
        <v>147</v>
      </c>
      <c r="D176"/>
      <c r="E176"/>
      <c r="F176"/>
      <c r="G176"/>
      <c r="H176"/>
      <c r="I176"/>
      <c r="J176"/>
      <c r="K176"/>
      <c r="L176"/>
      <c r="M176"/>
      <c r="N176"/>
      <c r="O176"/>
      <c r="P176"/>
    </row>
    <row r="177" spans="2:16" hidden="1">
      <c r="B177" s="12" t="s">
        <v>1</v>
      </c>
      <c r="C177" s="1" t="s">
        <v>2</v>
      </c>
      <c r="D177" s="1">
        <v>11001</v>
      </c>
      <c r="E177" s="1">
        <v>11002</v>
      </c>
      <c r="F177" s="1">
        <v>11003</v>
      </c>
      <c r="G177" s="1">
        <v>11004</v>
      </c>
      <c r="H177" s="1">
        <v>11005</v>
      </c>
      <c r="I177" s="1">
        <v>11006</v>
      </c>
      <c r="J177" s="1">
        <v>11007</v>
      </c>
      <c r="K177" s="1">
        <v>11008</v>
      </c>
      <c r="L177" s="1">
        <v>11009</v>
      </c>
      <c r="M177" s="1">
        <v>11010</v>
      </c>
      <c r="N177" s="1">
        <v>11011</v>
      </c>
      <c r="O177" s="1">
        <v>11012</v>
      </c>
      <c r="P177" s="1" t="s">
        <v>3</v>
      </c>
    </row>
    <row r="178" spans="2:16" hidden="1">
      <c r="B178" s="12" t="s">
        <v>140</v>
      </c>
      <c r="C178" s="2">
        <v>44175000</v>
      </c>
      <c r="D178" s="2">
        <v>3681224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2">
        <v>3681224</v>
      </c>
    </row>
    <row r="179" spans="2:16" hidden="1">
      <c r="B179" s="12" t="s">
        <v>141</v>
      </c>
      <c r="C179" s="2">
        <v>29240769</v>
      </c>
      <c r="D179" s="2">
        <v>2404988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2">
        <v>2404988</v>
      </c>
    </row>
    <row r="180" spans="2:16" hidden="1">
      <c r="B180" s="12" t="s">
        <v>142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</row>
    <row r="181" spans="2:16" hidden="1">
      <c r="B181" s="12" t="s">
        <v>27</v>
      </c>
      <c r="C181" s="2">
        <v>187455506</v>
      </c>
      <c r="D181" s="2">
        <v>15151943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2">
        <v>15151943</v>
      </c>
    </row>
    <row r="182" spans="2:16" hidden="1">
      <c r="B182" s="12" t="s">
        <v>143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2:16" hidden="1">
      <c r="B183" s="12" t="s">
        <v>144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</row>
    <row r="184" spans="2:16" hidden="1">
      <c r="B184" s="12" t="s">
        <v>145</v>
      </c>
      <c r="C184" s="1">
        <v>0</v>
      </c>
      <c r="D184" s="2">
        <v>14674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2">
        <v>14674</v>
      </c>
    </row>
    <row r="185" spans="2:16" hidden="1">
      <c r="B185" s="12" t="s">
        <v>146</v>
      </c>
      <c r="C185" s="1">
        <v>0</v>
      </c>
      <c r="D185" s="2">
        <v>469998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2">
        <v>469998</v>
      </c>
    </row>
    <row r="186" spans="2:16" hidden="1">
      <c r="B186" s="12" t="s">
        <v>148</v>
      </c>
      <c r="C186" s="2">
        <v>238000</v>
      </c>
      <c r="D186" s="2">
        <v>3866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2">
        <v>3866</v>
      </c>
    </row>
    <row r="187" spans="2:16" hidden="1">
      <c r="B187" s="12" t="s">
        <v>149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</row>
    <row r="188" spans="2:16" hidden="1">
      <c r="B188" s="12" t="s">
        <v>150</v>
      </c>
      <c r="C188" s="2">
        <v>2946000</v>
      </c>
      <c r="D188" s="2">
        <v>195278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2">
        <v>195278</v>
      </c>
    </row>
    <row r="189" spans="2:16" hidden="1">
      <c r="B189" s="12" t="s">
        <v>271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</row>
    <row r="190" spans="2:16" hidden="1">
      <c r="B190" s="12" t="s">
        <v>27</v>
      </c>
      <c r="C190" s="2">
        <v>3184000</v>
      </c>
      <c r="D190" s="2">
        <v>683816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2">
        <v>683816</v>
      </c>
    </row>
    <row r="191" spans="2:16" hidden="1">
      <c r="B191" s="12" t="s">
        <v>151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2:16" hidden="1">
      <c r="B192" s="12" t="s">
        <v>201</v>
      </c>
      <c r="C192" s="2">
        <v>56000</v>
      </c>
      <c r="D192" s="2">
        <v>10276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2">
        <v>10276</v>
      </c>
    </row>
    <row r="193" spans="1:16" hidden="1">
      <c r="B193" s="12" t="s">
        <v>152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</row>
    <row r="194" spans="1:16" hidden="1">
      <c r="B194" s="12" t="s">
        <v>153</v>
      </c>
      <c r="C194" s="2">
        <v>56603000</v>
      </c>
      <c r="D194" s="2">
        <v>577653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2">
        <v>577653</v>
      </c>
    </row>
    <row r="195" spans="1:16" hidden="1">
      <c r="B195" s="12" t="s">
        <v>27</v>
      </c>
      <c r="C195" s="2">
        <v>56659000</v>
      </c>
      <c r="D195" s="2">
        <v>587929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2">
        <v>587929</v>
      </c>
    </row>
    <row r="196" spans="1:16" hidden="1">
      <c r="B196" s="12" t="s">
        <v>154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hidden="1">
      <c r="B197" s="12" t="s">
        <v>155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</row>
    <row r="198" spans="1:16" hidden="1">
      <c r="A198" s="50"/>
      <c r="B198" s="12" t="s">
        <v>156</v>
      </c>
      <c r="C198" s="2">
        <v>2500000</v>
      </c>
      <c r="D198" s="2">
        <v>266360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2">
        <v>266360</v>
      </c>
    </row>
    <row r="199" spans="1:16" hidden="1">
      <c r="B199" s="12" t="s">
        <v>157</v>
      </c>
      <c r="C199" s="2">
        <v>4827000</v>
      </c>
      <c r="D199" s="2">
        <v>87371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2">
        <v>87371</v>
      </c>
    </row>
    <row r="200" spans="1:16" hidden="1">
      <c r="B200" s="12" t="s">
        <v>158</v>
      </c>
      <c r="C200" s="2">
        <v>5765000</v>
      </c>
      <c r="D200" s="2">
        <v>499590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2">
        <v>499590</v>
      </c>
    </row>
    <row r="201" spans="1:16" hidden="1">
      <c r="B201" s="12" t="s">
        <v>187</v>
      </c>
      <c r="C201" s="2">
        <v>8210000</v>
      </c>
      <c r="D201" s="2">
        <v>451408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2">
        <v>451408</v>
      </c>
    </row>
    <row r="202" spans="1:16" hidden="1">
      <c r="B202" s="12" t="s">
        <v>231</v>
      </c>
      <c r="C202" s="2">
        <v>22929362</v>
      </c>
      <c r="D202" s="2">
        <v>1278080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2">
        <v>1278080</v>
      </c>
    </row>
    <row r="203" spans="1:16" hidden="1">
      <c r="B203" s="12" t="s">
        <v>27</v>
      </c>
      <c r="C203" s="2">
        <v>44231362</v>
      </c>
      <c r="D203" s="2">
        <v>2582809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2">
        <v>2582809</v>
      </c>
    </row>
    <row r="204" spans="1:16" hidden="1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</row>
    <row r="205" spans="1:16" hidden="1">
      <c r="B205" s="11" t="s">
        <v>324</v>
      </c>
      <c r="C205" s="1" t="s">
        <v>167</v>
      </c>
      <c r="D205"/>
      <c r="E205"/>
      <c r="F205"/>
      <c r="G205"/>
      <c r="H205"/>
      <c r="I205"/>
      <c r="J205"/>
      <c r="K205"/>
      <c r="L205"/>
      <c r="M205"/>
      <c r="N205"/>
      <c r="O205"/>
      <c r="P205"/>
    </row>
    <row r="206" spans="1:16" hidden="1">
      <c r="B206" s="12" t="s">
        <v>1</v>
      </c>
      <c r="C206" s="1" t="s">
        <v>2</v>
      </c>
      <c r="D206" s="1">
        <v>11001</v>
      </c>
      <c r="E206" s="1">
        <v>11002</v>
      </c>
      <c r="F206" s="1">
        <v>11003</v>
      </c>
      <c r="G206" s="1">
        <v>11004</v>
      </c>
      <c r="H206" s="1">
        <v>11005</v>
      </c>
      <c r="I206" s="1">
        <v>11006</v>
      </c>
      <c r="J206" s="1">
        <v>11007</v>
      </c>
      <c r="K206" s="1">
        <v>11008</v>
      </c>
      <c r="L206" s="1">
        <v>11009</v>
      </c>
      <c r="M206" s="1">
        <v>11010</v>
      </c>
      <c r="N206" s="1">
        <v>11011</v>
      </c>
      <c r="O206" s="1">
        <v>11012</v>
      </c>
      <c r="P206" s="1" t="s">
        <v>3</v>
      </c>
    </row>
    <row r="207" spans="1:16" hidden="1">
      <c r="B207" s="12" t="s">
        <v>159</v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ht="32.4" hidden="1">
      <c r="B208" s="12" t="s">
        <v>188</v>
      </c>
      <c r="C208" s="2">
        <v>31216000</v>
      </c>
      <c r="D208" s="2">
        <v>2409292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2">
        <v>2409292</v>
      </c>
    </row>
    <row r="209" spans="1:16" hidden="1">
      <c r="A209" s="50"/>
      <c r="B209" s="12" t="s">
        <v>27</v>
      </c>
      <c r="C209" s="2">
        <v>31216000</v>
      </c>
      <c r="D209" s="2">
        <v>2409292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2">
        <v>2409292</v>
      </c>
    </row>
    <row r="210" spans="1:16" hidden="1">
      <c r="B210" s="12" t="s">
        <v>160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hidden="1">
      <c r="B211" s="12" t="s">
        <v>161</v>
      </c>
      <c r="C211" s="2">
        <v>2761074382</v>
      </c>
      <c r="D211" s="2">
        <v>203927033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2">
        <v>203927033</v>
      </c>
    </row>
    <row r="212" spans="1:16" hidden="1">
      <c r="B212" s="12" t="s">
        <v>27</v>
      </c>
      <c r="C212" s="2">
        <v>2761074382</v>
      </c>
      <c r="D212" s="2">
        <v>203927033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2">
        <v>203927033</v>
      </c>
    </row>
    <row r="213" spans="1:16" hidden="1">
      <c r="B213" s="12" t="s">
        <v>162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hidden="1">
      <c r="B214" s="12" t="s">
        <v>163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</row>
    <row r="215" spans="1:16" hidden="1">
      <c r="B215" s="12" t="s">
        <v>164</v>
      </c>
      <c r="C215" s="2">
        <v>-1422113000</v>
      </c>
      <c r="D215" s="2">
        <v>-101491084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2">
        <v>-101491084</v>
      </c>
    </row>
    <row r="216" spans="1:16" hidden="1">
      <c r="B216" s="12" t="s">
        <v>165</v>
      </c>
      <c r="C216" s="2">
        <v>-552777343</v>
      </c>
      <c r="D216" s="2">
        <v>-41121582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2">
        <v>-41121582</v>
      </c>
    </row>
    <row r="217" spans="1:16" hidden="1">
      <c r="B217" s="12" t="s">
        <v>166</v>
      </c>
      <c r="C217" s="2">
        <v>-103028752</v>
      </c>
      <c r="D217" s="2">
        <v>-7122787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2">
        <v>-7122787</v>
      </c>
    </row>
    <row r="218" spans="1:16" hidden="1">
      <c r="B218" s="12" t="s">
        <v>168</v>
      </c>
      <c r="C218" s="2">
        <v>-21915000</v>
      </c>
      <c r="D218" s="2">
        <v>-1832343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2">
        <v>-1832343</v>
      </c>
    </row>
    <row r="219" spans="1:16" hidden="1">
      <c r="B219" s="12" t="s">
        <v>272</v>
      </c>
      <c r="C219" s="2">
        <v>-6249000</v>
      </c>
      <c r="D219" s="2">
        <v>-675041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2">
        <v>-675041</v>
      </c>
    </row>
    <row r="220" spans="1:16" hidden="1">
      <c r="B220" s="12" t="s">
        <v>169</v>
      </c>
      <c r="C220" s="2">
        <v>-236152219</v>
      </c>
      <c r="D220" s="2">
        <v>-4350094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2">
        <v>-4350094</v>
      </c>
    </row>
    <row r="221" spans="1:16" hidden="1">
      <c r="B221" s="12" t="s">
        <v>27</v>
      </c>
      <c r="C221" s="2">
        <v>-2342235314</v>
      </c>
      <c r="D221" s="2">
        <v>-156592931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2">
        <v>-156592931</v>
      </c>
    </row>
    <row r="222" spans="1:16" hidden="1">
      <c r="B222" s="12" t="s">
        <v>170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hidden="1">
      <c r="B223" s="12" t="s">
        <v>171</v>
      </c>
      <c r="C223" s="2">
        <v>-63128000</v>
      </c>
      <c r="D223" s="2">
        <v>-5913921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2">
        <v>-5913921</v>
      </c>
    </row>
    <row r="224" spans="1:16" hidden="1">
      <c r="B224" s="12" t="s">
        <v>172</v>
      </c>
      <c r="C224" s="2">
        <v>-45315000</v>
      </c>
      <c r="D224" s="2">
        <v>-3532542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2">
        <v>-3532542</v>
      </c>
    </row>
    <row r="225" spans="2:16" hidden="1">
      <c r="B225" s="12" t="s">
        <v>173</v>
      </c>
      <c r="C225" s="2">
        <v>-4700000</v>
      </c>
      <c r="D225" s="2">
        <v>-684337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2">
        <v>-684337</v>
      </c>
    </row>
    <row r="226" spans="2:16" hidden="1">
      <c r="B226" s="12" t="s">
        <v>174</v>
      </c>
      <c r="C226" s="2">
        <v>-39917000</v>
      </c>
      <c r="D226" s="2">
        <v>-2698918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2">
        <v>-2698918</v>
      </c>
    </row>
    <row r="227" spans="2:16" hidden="1">
      <c r="B227" s="12" t="s">
        <v>175</v>
      </c>
      <c r="C227" s="2">
        <v>-24734000</v>
      </c>
      <c r="D227" s="2">
        <v>-1439086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2">
        <v>-1439086</v>
      </c>
    </row>
    <row r="228" spans="2:16" hidden="1">
      <c r="B228" s="12" t="s">
        <v>176</v>
      </c>
      <c r="C228" s="2">
        <v>-44322000</v>
      </c>
      <c r="D228" s="2">
        <v>-5078583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2">
        <v>-5078583</v>
      </c>
    </row>
    <row r="229" spans="2:16" hidden="1">
      <c r="B229" s="12" t="s">
        <v>177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</row>
    <row r="230" spans="2:16" hidden="1">
      <c r="B230" s="12" t="s">
        <v>178</v>
      </c>
      <c r="C230" s="2">
        <v>-960000</v>
      </c>
      <c r="D230" s="2">
        <v>-70535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2">
        <v>-70535</v>
      </c>
    </row>
    <row r="231" spans="2:16" hidden="1">
      <c r="B231" s="12" t="s">
        <v>179</v>
      </c>
      <c r="C231" s="1">
        <v>0</v>
      </c>
      <c r="D231" s="2">
        <v>-189663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2">
        <v>-189663</v>
      </c>
    </row>
    <row r="232" spans="2:16" hidden="1">
      <c r="B232" s="12" t="s">
        <v>232</v>
      </c>
      <c r="C232" s="2">
        <v>-85651000</v>
      </c>
      <c r="D232" s="2">
        <v>-7137595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2">
        <v>-7137595</v>
      </c>
    </row>
    <row r="233" spans="2:16" hidden="1"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</row>
    <row r="234" spans="2:16" hidden="1">
      <c r="B234" s="11" t="s">
        <v>324</v>
      </c>
      <c r="C234" s="1" t="s">
        <v>233</v>
      </c>
      <c r="D234"/>
      <c r="E234"/>
      <c r="F234"/>
      <c r="G234"/>
      <c r="H234"/>
      <c r="I234"/>
      <c r="J234"/>
      <c r="K234"/>
      <c r="L234"/>
      <c r="M234"/>
      <c r="N234"/>
      <c r="O234"/>
      <c r="P234"/>
    </row>
    <row r="235" spans="2:16" hidden="1">
      <c r="B235" s="12" t="s">
        <v>1</v>
      </c>
      <c r="C235" s="1" t="s">
        <v>2</v>
      </c>
      <c r="D235" s="1">
        <v>11001</v>
      </c>
      <c r="E235" s="1">
        <v>11002</v>
      </c>
      <c r="F235" s="1">
        <v>11003</v>
      </c>
      <c r="G235" s="1">
        <v>11004</v>
      </c>
      <c r="H235" s="1">
        <v>11005</v>
      </c>
      <c r="I235" s="1">
        <v>11006</v>
      </c>
      <c r="J235" s="1">
        <v>11007</v>
      </c>
      <c r="K235" s="1">
        <v>11008</v>
      </c>
      <c r="L235" s="1">
        <v>11009</v>
      </c>
      <c r="M235" s="1">
        <v>11010</v>
      </c>
      <c r="N235" s="1">
        <v>11011</v>
      </c>
      <c r="O235" s="1">
        <v>11012</v>
      </c>
      <c r="P235" s="1" t="s">
        <v>3</v>
      </c>
    </row>
    <row r="236" spans="2:16" hidden="1">
      <c r="B236" s="12" t="s">
        <v>27</v>
      </c>
      <c r="C236" s="2">
        <v>-308727000</v>
      </c>
      <c r="D236" s="2">
        <v>-26745180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2">
        <v>-26745180</v>
      </c>
    </row>
    <row r="237" spans="2:16" hidden="1">
      <c r="B237" s="12" t="s">
        <v>180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2:16" hidden="1">
      <c r="B238" s="12" t="s">
        <v>181</v>
      </c>
      <c r="C238" s="2">
        <v>-118277000</v>
      </c>
      <c r="D238" s="2">
        <v>-9018572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2">
        <v>-9018572</v>
      </c>
    </row>
    <row r="239" spans="2:16" hidden="1">
      <c r="B239" s="12" t="s">
        <v>27</v>
      </c>
      <c r="C239" s="2">
        <v>-118277000</v>
      </c>
      <c r="D239" s="2">
        <v>-9018572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2">
        <v>-9018572</v>
      </c>
    </row>
    <row r="240" spans="2:16" hidden="1">
      <c r="B240" s="12" t="s">
        <v>182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2:16" hidden="1">
      <c r="B241" s="12" t="s">
        <v>183</v>
      </c>
      <c r="C241" s="2">
        <v>-2769239314</v>
      </c>
      <c r="D241" s="2">
        <v>-192356683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2">
        <v>-192356683</v>
      </c>
    </row>
    <row r="242" spans="2:16" hidden="1">
      <c r="B242" s="12" t="s">
        <v>27</v>
      </c>
      <c r="C242" s="2">
        <v>-2769239314</v>
      </c>
      <c r="D242" s="2">
        <v>-192356683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2">
        <v>-192356683</v>
      </c>
    </row>
    <row r="243" spans="2:16" hidden="1">
      <c r="B243" s="12" t="s">
        <v>27</v>
      </c>
      <c r="C243" s="2">
        <v>-2694625518</v>
      </c>
      <c r="D243" s="2"/>
      <c r="E243" s="2"/>
      <c r="F243" s="2"/>
      <c r="G243" s="2"/>
      <c r="H243" s="2"/>
      <c r="I243" s="2"/>
      <c r="J243" s="2"/>
      <c r="K243" s="2"/>
      <c r="L243" s="2"/>
      <c r="M243" s="1"/>
      <c r="N243" s="1"/>
      <c r="O243" s="1"/>
      <c r="P243" s="2"/>
    </row>
  </sheetData>
  <phoneticPr fontId="3" type="noConversion"/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42"/>
  <sheetViews>
    <sheetView zoomScale="80" zoomScaleNormal="80" workbookViewId="0">
      <selection activeCell="D246" sqref="D246"/>
    </sheetView>
  </sheetViews>
  <sheetFormatPr defaultRowHeight="16.2"/>
  <cols>
    <col min="2" max="2" width="22.33203125" style="4" customWidth="1"/>
    <col min="3" max="3" width="14.6640625" style="4" bestFit="1" customWidth="1"/>
    <col min="4" max="5" width="13" style="4" customWidth="1"/>
    <col min="6" max="6" width="12.109375" style="4" customWidth="1"/>
    <col min="7" max="11" width="13" style="4" customWidth="1"/>
    <col min="12" max="12" width="14.6640625" style="4" customWidth="1"/>
    <col min="13" max="13" width="13" style="4" bestFit="1" customWidth="1"/>
    <col min="14" max="14" width="9.44140625" bestFit="1" customWidth="1"/>
    <col min="15" max="15" width="10.6640625" customWidth="1"/>
    <col min="16" max="16" width="14.6640625" bestFit="1" customWidth="1"/>
  </cols>
  <sheetData>
    <row r="1" spans="2:16">
      <c r="B1" s="25" t="s">
        <v>190</v>
      </c>
      <c r="C1" s="146" t="s">
        <v>330</v>
      </c>
      <c r="D1" s="146" t="s">
        <v>331</v>
      </c>
      <c r="E1" s="146" t="s">
        <v>332</v>
      </c>
      <c r="F1" s="146" t="s">
        <v>333</v>
      </c>
      <c r="G1" s="146" t="s">
        <v>334</v>
      </c>
      <c r="H1" s="146" t="s">
        <v>335</v>
      </c>
      <c r="I1" s="146" t="s">
        <v>336</v>
      </c>
      <c r="J1" s="146" t="s">
        <v>337</v>
      </c>
      <c r="K1" s="146" t="s">
        <v>338</v>
      </c>
      <c r="L1" s="146" t="s">
        <v>339</v>
      </c>
      <c r="M1" s="146" t="s">
        <v>340</v>
      </c>
      <c r="N1" s="146" t="s">
        <v>341</v>
      </c>
      <c r="O1" s="146" t="s">
        <v>342</v>
      </c>
      <c r="P1" s="146" t="s">
        <v>343</v>
      </c>
    </row>
    <row r="2" spans="2:16" ht="32.4">
      <c r="B2" s="11" t="s">
        <v>324</v>
      </c>
      <c r="C2" s="1" t="s">
        <v>0</v>
      </c>
      <c r="D2"/>
      <c r="E2"/>
      <c r="F2"/>
      <c r="G2"/>
      <c r="H2"/>
      <c r="I2"/>
      <c r="J2"/>
      <c r="K2"/>
      <c r="L2"/>
      <c r="M2"/>
    </row>
    <row r="3" spans="2:16" hidden="1">
      <c r="B3" s="12" t="s">
        <v>184</v>
      </c>
      <c r="C3" s="1" t="s">
        <v>2</v>
      </c>
      <c r="D3" s="1">
        <v>11001</v>
      </c>
      <c r="E3" s="1">
        <v>11002</v>
      </c>
      <c r="F3" s="1">
        <v>11003</v>
      </c>
      <c r="G3" s="1">
        <v>11004</v>
      </c>
      <c r="H3" s="1">
        <v>11005</v>
      </c>
      <c r="I3" s="1">
        <v>11006</v>
      </c>
      <c r="J3" s="1">
        <v>11007</v>
      </c>
      <c r="K3" s="1">
        <v>11008</v>
      </c>
      <c r="L3" s="1">
        <v>11009</v>
      </c>
      <c r="M3" s="1">
        <v>11010</v>
      </c>
      <c r="N3" s="1">
        <v>11011</v>
      </c>
      <c r="O3" s="1">
        <v>11012</v>
      </c>
      <c r="P3" s="1" t="s">
        <v>3</v>
      </c>
    </row>
    <row r="4" spans="2:16" hidden="1">
      <c r="B4" s="12" t="s">
        <v>195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6" hidden="1">
      <c r="B5" s="12" t="s">
        <v>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2:16" hidden="1">
      <c r="B6" s="12" t="s">
        <v>265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2:16" hidden="1">
      <c r="B7" s="12" t="s">
        <v>5</v>
      </c>
      <c r="C7" s="2">
        <v>13891000</v>
      </c>
      <c r="D7" s="2">
        <v>1109538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2">
        <v>1109538</v>
      </c>
    </row>
    <row r="8" spans="2:16" hidden="1">
      <c r="B8" s="12" t="s">
        <v>6</v>
      </c>
      <c r="C8" s="2">
        <v>720000</v>
      </c>
      <c r="D8" s="2">
        <v>57600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2">
        <v>57600</v>
      </c>
    </row>
    <row r="9" spans="2:16" hidden="1">
      <c r="B9" s="12" t="s">
        <v>7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spans="2:16" hidden="1">
      <c r="B10" s="12" t="s">
        <v>8</v>
      </c>
      <c r="C10" s="2">
        <v>812000</v>
      </c>
      <c r="D10" s="2">
        <v>81112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2">
        <v>81112</v>
      </c>
    </row>
    <row r="11" spans="2:16" hidden="1">
      <c r="B11" s="12" t="s">
        <v>9</v>
      </c>
      <c r="C11" s="2">
        <v>208000</v>
      </c>
      <c r="D11" s="1">
        <v>-684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-684</v>
      </c>
    </row>
    <row r="12" spans="2:16" hidden="1">
      <c r="B12" s="12" t="s">
        <v>10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</row>
    <row r="13" spans="2:16" hidden="1">
      <c r="B13" s="12" t="s">
        <v>11</v>
      </c>
      <c r="C13" s="2">
        <v>11000</v>
      </c>
      <c r="D13" s="1">
        <v>960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960</v>
      </c>
    </row>
    <row r="14" spans="2:16" hidden="1">
      <c r="B14" s="12" t="s">
        <v>12</v>
      </c>
      <c r="C14" s="2">
        <v>1919000</v>
      </c>
      <c r="D14" s="2">
        <v>156293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2">
        <v>156293</v>
      </c>
    </row>
    <row r="15" spans="2:16" hidden="1">
      <c r="B15" s="12" t="s">
        <v>13</v>
      </c>
      <c r="C15" s="2">
        <v>157000</v>
      </c>
      <c r="D15" s="2">
        <v>6765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2">
        <v>6765</v>
      </c>
    </row>
    <row r="16" spans="2:16" hidden="1">
      <c r="B16" s="12" t="s">
        <v>14</v>
      </c>
      <c r="C16" s="2">
        <v>3413000</v>
      </c>
      <c r="D16" s="2">
        <v>270369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2">
        <v>270369</v>
      </c>
    </row>
    <row r="17" spans="2:16" hidden="1">
      <c r="B17" s="12" t="s">
        <v>15</v>
      </c>
      <c r="C17" s="2">
        <v>52000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</row>
    <row r="18" spans="2:16" hidden="1">
      <c r="B18" s="12" t="s">
        <v>16</v>
      </c>
      <c r="C18" s="2">
        <v>4943000</v>
      </c>
      <c r="D18" s="2">
        <v>80444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2">
        <v>80444</v>
      </c>
    </row>
    <row r="19" spans="2:16" hidden="1">
      <c r="B19" s="12" t="s">
        <v>17</v>
      </c>
      <c r="C19" s="2">
        <v>2740000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</row>
    <row r="20" spans="2:16" hidden="1">
      <c r="B20" s="12" t="s">
        <v>18</v>
      </c>
      <c r="C20" s="2">
        <v>4000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</row>
    <row r="21" spans="2:16" hidden="1">
      <c r="B21" s="12" t="s">
        <v>19</v>
      </c>
      <c r="C21" s="2">
        <v>1186000</v>
      </c>
      <c r="D21" s="2">
        <v>89705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2">
        <v>89705</v>
      </c>
    </row>
    <row r="22" spans="2:16" hidden="1">
      <c r="B22" s="12" t="s">
        <v>20</v>
      </c>
      <c r="C22" s="2">
        <v>4129000</v>
      </c>
      <c r="D22" s="2">
        <v>69249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2">
        <v>69249</v>
      </c>
    </row>
    <row r="23" spans="2:16" hidden="1">
      <c r="B23" s="12" t="s">
        <v>21</v>
      </c>
      <c r="C23" s="2">
        <v>2000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</row>
    <row r="24" spans="2:16" hidden="1">
      <c r="B24" s="12" t="s">
        <v>22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</row>
    <row r="25" spans="2:16" hidden="1">
      <c r="B25" s="12" t="s">
        <v>23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</row>
    <row r="26" spans="2:16" hidden="1">
      <c r="B26" s="12" t="s">
        <v>24</v>
      </c>
      <c r="C26" s="2">
        <v>1623000</v>
      </c>
      <c r="D26" s="2">
        <v>60026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2">
        <v>60026</v>
      </c>
    </row>
    <row r="27" spans="2:16" hidden="1">
      <c r="B27" s="12" t="s">
        <v>25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</row>
    <row r="28" spans="2:16" hidden="1">
      <c r="B28" s="12" t="s">
        <v>26</v>
      </c>
      <c r="C28" s="2">
        <v>3148698</v>
      </c>
      <c r="D28" s="2">
        <v>224604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2">
        <v>224604</v>
      </c>
    </row>
    <row r="29" spans="2:16" hidden="1">
      <c r="B29" s="12" t="s">
        <v>27</v>
      </c>
      <c r="C29" s="2">
        <v>38958698</v>
      </c>
      <c r="D29" s="2">
        <v>2205981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2">
        <v>2205981</v>
      </c>
    </row>
    <row r="30" spans="2:16" hidden="1">
      <c r="B30"/>
      <c r="C30"/>
      <c r="D30"/>
      <c r="E30"/>
      <c r="F30"/>
      <c r="G30"/>
      <c r="H30"/>
      <c r="I30"/>
      <c r="J30"/>
      <c r="K30"/>
      <c r="L30"/>
      <c r="M30"/>
    </row>
    <row r="31" spans="2:16" ht="32.4" hidden="1">
      <c r="B31" s="11" t="s">
        <v>324</v>
      </c>
      <c r="C31" s="1" t="s">
        <v>28</v>
      </c>
      <c r="D31"/>
      <c r="E31"/>
      <c r="F31"/>
      <c r="G31"/>
      <c r="H31"/>
      <c r="I31"/>
      <c r="J31"/>
      <c r="K31"/>
      <c r="L31"/>
      <c r="M31"/>
    </row>
    <row r="32" spans="2:16" hidden="1">
      <c r="B32" s="12" t="s">
        <v>184</v>
      </c>
      <c r="C32" s="1" t="s">
        <v>2</v>
      </c>
      <c r="D32" s="1">
        <v>11001</v>
      </c>
      <c r="E32" s="1">
        <v>11002</v>
      </c>
      <c r="F32" s="1">
        <v>11003</v>
      </c>
      <c r="G32" s="1">
        <v>11004</v>
      </c>
      <c r="H32" s="1">
        <v>11005</v>
      </c>
      <c r="I32" s="1">
        <v>11006</v>
      </c>
      <c r="J32" s="1">
        <v>11007</v>
      </c>
      <c r="K32" s="1">
        <v>11008</v>
      </c>
      <c r="L32" s="1">
        <v>11009</v>
      </c>
      <c r="M32" s="1">
        <v>11010</v>
      </c>
      <c r="N32" s="1">
        <v>11011</v>
      </c>
      <c r="O32" s="1">
        <v>11012</v>
      </c>
      <c r="P32" s="1" t="s">
        <v>3</v>
      </c>
    </row>
    <row r="33" spans="1:16" hidden="1">
      <c r="B33" s="12" t="s">
        <v>29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hidden="1">
      <c r="B34" s="12" t="s">
        <v>30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</row>
    <row r="35" spans="1:16" hidden="1">
      <c r="B35" s="12" t="s">
        <v>31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</row>
    <row r="36" spans="1:16" hidden="1">
      <c r="B36" s="12" t="s">
        <v>32</v>
      </c>
      <c r="C36" s="2">
        <v>50000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</row>
    <row r="37" spans="1:16" hidden="1">
      <c r="B37" s="12" t="s">
        <v>33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</row>
    <row r="38" spans="1:16" hidden="1">
      <c r="B38" s="12" t="s">
        <v>34</v>
      </c>
      <c r="C38" s="2">
        <v>210000</v>
      </c>
      <c r="D38" s="2">
        <v>3000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2">
        <v>3000</v>
      </c>
    </row>
    <row r="39" spans="1:16" hidden="1">
      <c r="B39" s="12" t="s">
        <v>35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</row>
    <row r="40" spans="1:16" s="50" customFormat="1">
      <c r="A40" s="81"/>
      <c r="B40" s="12" t="s">
        <v>349</v>
      </c>
      <c r="C40" s="2">
        <v>3473170</v>
      </c>
      <c r="D40" s="2">
        <v>293202</v>
      </c>
      <c r="E40" s="2">
        <v>259736</v>
      </c>
      <c r="F40" s="2">
        <v>298135</v>
      </c>
      <c r="G40" s="2">
        <v>282869</v>
      </c>
      <c r="H40" s="2">
        <v>378170</v>
      </c>
      <c r="I40" s="2">
        <v>285335</v>
      </c>
      <c r="J40" s="2">
        <v>300602</v>
      </c>
      <c r="K40" s="2">
        <v>255524</v>
      </c>
      <c r="L40" s="2">
        <v>246502</v>
      </c>
      <c r="M40" s="2">
        <v>253869</v>
      </c>
      <c r="N40" s="1">
        <v>0</v>
      </c>
      <c r="O40" s="1">
        <v>0</v>
      </c>
      <c r="P40" s="2">
        <v>2853944</v>
      </c>
    </row>
    <row r="41" spans="1:16" s="50" customFormat="1">
      <c r="A41" s="81"/>
      <c r="B41" s="12" t="s">
        <v>37</v>
      </c>
      <c r="C41" s="2">
        <v>5582000</v>
      </c>
      <c r="D41" s="2">
        <v>378524</v>
      </c>
      <c r="E41" s="2">
        <v>421442</v>
      </c>
      <c r="F41" s="2">
        <v>411704</v>
      </c>
      <c r="G41" s="2">
        <v>410670</v>
      </c>
      <c r="H41" s="2">
        <v>409997</v>
      </c>
      <c r="I41" s="2">
        <v>409997</v>
      </c>
      <c r="J41" s="2">
        <v>409324</v>
      </c>
      <c r="K41" s="2">
        <v>380229</v>
      </c>
      <c r="L41" s="2">
        <v>381575</v>
      </c>
      <c r="M41" s="2">
        <v>380902</v>
      </c>
      <c r="N41" s="1">
        <v>0</v>
      </c>
      <c r="O41" s="1">
        <v>0</v>
      </c>
      <c r="P41" s="2">
        <v>3994364</v>
      </c>
    </row>
    <row r="42" spans="1:16" s="50" customFormat="1">
      <c r="A42" s="81"/>
      <c r="B42" s="12" t="s">
        <v>38</v>
      </c>
      <c r="C42" s="2">
        <v>1760760</v>
      </c>
      <c r="D42" s="2">
        <v>144814</v>
      </c>
      <c r="E42" s="2">
        <v>144814</v>
      </c>
      <c r="F42" s="2">
        <v>144814</v>
      </c>
      <c r="G42" s="2">
        <v>144814</v>
      </c>
      <c r="H42" s="2">
        <v>144814</v>
      </c>
      <c r="I42" s="2">
        <v>144814</v>
      </c>
      <c r="J42" s="2">
        <v>114432</v>
      </c>
      <c r="K42" s="2">
        <v>114432</v>
      </c>
      <c r="L42" s="2">
        <v>114432</v>
      </c>
      <c r="M42" s="2">
        <v>114432</v>
      </c>
      <c r="N42" s="1">
        <v>0</v>
      </c>
      <c r="O42" s="1">
        <v>0</v>
      </c>
      <c r="P42" s="2">
        <v>1326612</v>
      </c>
    </row>
    <row r="43" spans="1:16" hidden="1">
      <c r="B43" s="12" t="s">
        <v>39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</row>
    <row r="44" spans="1:16" hidden="1">
      <c r="B44" s="12" t="s">
        <v>40</v>
      </c>
      <c r="C44" s="2">
        <v>558000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</row>
    <row r="45" spans="1:16" hidden="1">
      <c r="B45" s="12" t="s">
        <v>41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</row>
    <row r="46" spans="1:16" hidden="1">
      <c r="B46" s="12" t="s">
        <v>42</v>
      </c>
      <c r="C46" s="2">
        <v>247000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</row>
    <row r="47" spans="1:16" hidden="1">
      <c r="B47" s="12" t="s">
        <v>43</v>
      </c>
      <c r="C47" s="2">
        <v>75000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</row>
    <row r="48" spans="1:16" hidden="1">
      <c r="B48" s="12" t="s">
        <v>44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</row>
    <row r="49" spans="1:16" hidden="1">
      <c r="B49" s="12" t="s">
        <v>45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</row>
    <row r="50" spans="1:16" hidden="1">
      <c r="B50" s="12" t="s">
        <v>46</v>
      </c>
      <c r="C50" s="1">
        <v>0</v>
      </c>
      <c r="D50" s="1">
        <v>175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175</v>
      </c>
    </row>
    <row r="51" spans="1:16" hidden="1">
      <c r="B51" s="12" t="s">
        <v>186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</row>
    <row r="52" spans="1:16" hidden="1">
      <c r="B52" s="12" t="s">
        <v>27</v>
      </c>
      <c r="C52" s="2">
        <v>12822930</v>
      </c>
      <c r="D52" s="2">
        <v>819715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2">
        <v>819715</v>
      </c>
    </row>
    <row r="53" spans="1:16" hidden="1">
      <c r="B53" s="12" t="s">
        <v>47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s="50" customFormat="1" hidden="1">
      <c r="A54" s="81"/>
      <c r="B54" s="12" t="s">
        <v>48</v>
      </c>
      <c r="C54" s="2">
        <v>330000</v>
      </c>
      <c r="D54" s="2">
        <v>12308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2">
        <v>12308</v>
      </c>
    </row>
    <row r="55" spans="1:16" s="50" customFormat="1" hidden="1">
      <c r="A55" s="81"/>
      <c r="B55" s="12" t="s">
        <v>49</v>
      </c>
      <c r="C55" s="2">
        <v>151000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</row>
    <row r="56" spans="1:16" s="50" customFormat="1" hidden="1">
      <c r="A56" s="81"/>
      <c r="B56" s="12" t="s">
        <v>50</v>
      </c>
      <c r="C56" s="2">
        <v>184000</v>
      </c>
      <c r="D56" s="2">
        <v>1200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2">
        <v>1200</v>
      </c>
    </row>
    <row r="57" spans="1:16" hidden="1">
      <c r="B57" s="12" t="s">
        <v>51</v>
      </c>
      <c r="C57" s="2">
        <v>26000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</row>
    <row r="58" spans="1:16" s="50" customFormat="1" hidden="1">
      <c r="A58" s="81"/>
      <c r="B58" s="12" t="s">
        <v>52</v>
      </c>
      <c r="C58" s="2">
        <v>69000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</row>
    <row r="59" spans="1:16" hidden="1">
      <c r="B59"/>
      <c r="C59"/>
      <c r="D59"/>
      <c r="E59"/>
      <c r="F59"/>
      <c r="G59"/>
      <c r="H59"/>
      <c r="I59"/>
      <c r="J59"/>
      <c r="K59"/>
      <c r="L59"/>
      <c r="M59"/>
    </row>
    <row r="60" spans="1:16" ht="32.4" hidden="1">
      <c r="B60" s="11" t="s">
        <v>324</v>
      </c>
      <c r="C60" s="1" t="s">
        <v>325</v>
      </c>
      <c r="D60"/>
      <c r="E60"/>
      <c r="F60"/>
      <c r="G60"/>
      <c r="H60"/>
      <c r="I60"/>
      <c r="J60"/>
      <c r="K60"/>
      <c r="L60"/>
      <c r="M60"/>
    </row>
    <row r="61" spans="1:16" hidden="1">
      <c r="B61" s="12" t="s">
        <v>184</v>
      </c>
      <c r="C61" s="1" t="s">
        <v>2</v>
      </c>
      <c r="D61" s="1">
        <v>11001</v>
      </c>
      <c r="E61" s="1">
        <v>11002</v>
      </c>
      <c r="F61" s="1">
        <v>11003</v>
      </c>
      <c r="G61" s="1">
        <v>11004</v>
      </c>
      <c r="H61" s="1">
        <v>11005</v>
      </c>
      <c r="I61" s="1">
        <v>11006</v>
      </c>
      <c r="J61" s="1">
        <v>11007</v>
      </c>
      <c r="K61" s="1">
        <v>11008</v>
      </c>
      <c r="L61" s="1">
        <v>11009</v>
      </c>
      <c r="M61" s="1">
        <v>11010</v>
      </c>
      <c r="N61" s="1">
        <v>11011</v>
      </c>
      <c r="O61" s="1">
        <v>11012</v>
      </c>
      <c r="P61" s="1" t="s">
        <v>3</v>
      </c>
    </row>
    <row r="62" spans="1:16" s="50" customFormat="1" hidden="1">
      <c r="A62" s="81"/>
      <c r="B62" s="12" t="s">
        <v>53</v>
      </c>
      <c r="C62" s="2">
        <v>47000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</row>
    <row r="63" spans="1:16" hidden="1">
      <c r="B63" s="12" t="s">
        <v>54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</row>
    <row r="64" spans="1:16" s="50" customFormat="1" hidden="1">
      <c r="A64" s="81"/>
      <c r="B64" s="12" t="s">
        <v>55</v>
      </c>
      <c r="C64" s="2">
        <v>5939620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</row>
    <row r="65" spans="1:16" s="50" customFormat="1" hidden="1">
      <c r="A65" s="81"/>
      <c r="B65" s="12" t="s">
        <v>56</v>
      </c>
      <c r="C65" s="2">
        <v>384000</v>
      </c>
      <c r="D65" s="2">
        <v>17127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2">
        <v>17127</v>
      </c>
    </row>
    <row r="66" spans="1:16" hidden="1">
      <c r="B66" s="12" t="s">
        <v>57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</row>
    <row r="67" spans="1:16" hidden="1">
      <c r="B67" s="12" t="s">
        <v>58</v>
      </c>
      <c r="C67" s="2">
        <v>42000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</row>
    <row r="68" spans="1:16" hidden="1">
      <c r="A68" s="4"/>
      <c r="B68" s="12" t="s">
        <v>59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</row>
    <row r="69" spans="1:16" hidden="1">
      <c r="A69" s="4"/>
      <c r="B69" s="12" t="s">
        <v>60</v>
      </c>
      <c r="C69" s="2">
        <v>5000</v>
      </c>
      <c r="D69" s="2">
        <v>1558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2">
        <v>1558</v>
      </c>
    </row>
    <row r="70" spans="1:16" s="50" customFormat="1" hidden="1">
      <c r="A70" s="81"/>
      <c r="B70" s="12" t="s">
        <v>61</v>
      </c>
      <c r="C70" s="2">
        <v>94000</v>
      </c>
      <c r="D70" s="2">
        <v>1920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2">
        <v>1920</v>
      </c>
    </row>
    <row r="71" spans="1:16" s="50" customFormat="1" hidden="1">
      <c r="A71" s="81"/>
      <c r="B71" s="12" t="s">
        <v>62</v>
      </c>
      <c r="C71" s="2">
        <v>849160</v>
      </c>
      <c r="D71" s="2">
        <v>68209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2">
        <v>68209</v>
      </c>
    </row>
    <row r="72" spans="1:16" s="50" customFormat="1">
      <c r="A72" s="81"/>
      <c r="B72" s="12" t="s">
        <v>355</v>
      </c>
      <c r="C72" s="2">
        <v>740000</v>
      </c>
      <c r="D72" s="2">
        <v>39761</v>
      </c>
      <c r="E72" s="2">
        <v>54853</v>
      </c>
      <c r="F72" s="2">
        <v>35490</v>
      </c>
      <c r="G72" s="2">
        <v>50948</v>
      </c>
      <c r="H72" s="2">
        <v>45899</v>
      </c>
      <c r="I72" s="2">
        <v>36813</v>
      </c>
      <c r="J72" s="2">
        <v>45258</v>
      </c>
      <c r="K72" s="2">
        <v>49707</v>
      </c>
      <c r="L72" s="2">
        <v>58689</v>
      </c>
      <c r="M72" s="2">
        <v>44521</v>
      </c>
      <c r="N72" s="1">
        <v>0</v>
      </c>
      <c r="O72" s="1">
        <v>0</v>
      </c>
      <c r="P72" s="2">
        <v>461939</v>
      </c>
    </row>
    <row r="73" spans="1:16" s="50" customFormat="1">
      <c r="A73" s="81"/>
      <c r="B73" s="12" t="s">
        <v>64</v>
      </c>
      <c r="C73" s="2">
        <v>4928000</v>
      </c>
      <c r="D73" s="2">
        <v>292605</v>
      </c>
      <c r="E73" s="2">
        <v>257678</v>
      </c>
      <c r="F73" s="2">
        <v>295580</v>
      </c>
      <c r="G73" s="2">
        <v>326458</v>
      </c>
      <c r="H73" s="2">
        <v>363193</v>
      </c>
      <c r="I73" s="2">
        <v>314600</v>
      </c>
      <c r="J73" s="2">
        <v>394417</v>
      </c>
      <c r="K73" s="2">
        <v>397010</v>
      </c>
      <c r="L73" s="2">
        <v>402943</v>
      </c>
      <c r="M73" s="2">
        <v>382833</v>
      </c>
      <c r="N73" s="1">
        <v>0</v>
      </c>
      <c r="O73" s="1">
        <v>0</v>
      </c>
      <c r="P73" s="2">
        <v>3427317</v>
      </c>
    </row>
    <row r="74" spans="1:16" s="50" customFormat="1" hidden="1">
      <c r="A74" s="81"/>
      <c r="B74" s="12" t="s">
        <v>65</v>
      </c>
      <c r="C74" s="2">
        <v>1032368</v>
      </c>
      <c r="D74" s="2">
        <v>20636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2">
        <v>20636</v>
      </c>
    </row>
    <row r="75" spans="1:16" hidden="1">
      <c r="B75" s="12" t="s">
        <v>66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</row>
    <row r="76" spans="1:16" s="50" customFormat="1" hidden="1">
      <c r="A76" s="81"/>
      <c r="B76" s="12" t="s">
        <v>67</v>
      </c>
      <c r="C76" s="2">
        <v>229600</v>
      </c>
      <c r="D76" s="2">
        <v>13545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2">
        <v>13545</v>
      </c>
    </row>
    <row r="77" spans="1:16" s="50" customFormat="1" hidden="1">
      <c r="A77" s="81"/>
      <c r="B77" s="12" t="s">
        <v>68</v>
      </c>
      <c r="C77" s="2">
        <v>103900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</row>
    <row r="78" spans="1:16" s="50" customFormat="1" ht="18.75" hidden="1" customHeight="1">
      <c r="A78" s="81"/>
      <c r="B78" s="12" t="s">
        <v>69</v>
      </c>
      <c r="C78" s="2">
        <v>10705000</v>
      </c>
      <c r="D78" s="2">
        <v>430674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2">
        <v>430674</v>
      </c>
    </row>
    <row r="79" spans="1:16" hidden="1">
      <c r="B79" s="12" t="s">
        <v>27</v>
      </c>
      <c r="C79" s="2">
        <v>25859648</v>
      </c>
      <c r="D79" s="2">
        <v>899543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2">
        <v>899543</v>
      </c>
    </row>
    <row r="80" spans="1:16" hidden="1">
      <c r="B80" s="12" t="s">
        <v>70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hidden="1">
      <c r="B81" s="12" t="s">
        <v>71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</row>
    <row r="82" spans="1:16" hidden="1">
      <c r="B82" s="12" t="s">
        <v>72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</row>
    <row r="83" spans="1:16" hidden="1">
      <c r="B83" s="12" t="s">
        <v>73</v>
      </c>
      <c r="C83" s="2">
        <v>100000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</row>
    <row r="84" spans="1:16" s="50" customFormat="1" hidden="1">
      <c r="B84" s="12" t="s">
        <v>74</v>
      </c>
      <c r="C84" s="2">
        <v>5000</v>
      </c>
      <c r="D84" s="2">
        <v>7014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2">
        <v>7014</v>
      </c>
    </row>
    <row r="85" spans="1:16" hidden="1">
      <c r="B85" s="12" t="s">
        <v>75</v>
      </c>
      <c r="C85" s="2">
        <v>130000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</row>
    <row r="86" spans="1:16" s="50" customFormat="1" hidden="1">
      <c r="A86" s="81"/>
      <c r="B86" s="12" t="s">
        <v>76</v>
      </c>
      <c r="C86" s="2">
        <v>432500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</row>
    <row r="87" spans="1:16" hidden="1">
      <c r="B87" s="12" t="s">
        <v>77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</row>
    <row r="88" spans="1:16" hidden="1">
      <c r="B88"/>
      <c r="C88"/>
      <c r="D88"/>
      <c r="E88"/>
      <c r="F88"/>
      <c r="G88"/>
      <c r="H88"/>
      <c r="I88"/>
      <c r="J88"/>
      <c r="K88"/>
      <c r="L88"/>
      <c r="M88"/>
    </row>
    <row r="89" spans="1:16" ht="32.4" hidden="1">
      <c r="B89" s="11" t="s">
        <v>324</v>
      </c>
      <c r="C89" s="1" t="s">
        <v>326</v>
      </c>
      <c r="D89"/>
      <c r="E89"/>
      <c r="F89"/>
      <c r="G89"/>
      <c r="H89"/>
      <c r="I89"/>
      <c r="J89"/>
      <c r="K89"/>
      <c r="L89"/>
      <c r="M89"/>
    </row>
    <row r="90" spans="1:16" hidden="1">
      <c r="B90" s="12" t="s">
        <v>184</v>
      </c>
      <c r="C90" s="1" t="s">
        <v>2</v>
      </c>
      <c r="D90" s="1">
        <v>11001</v>
      </c>
      <c r="E90" s="1">
        <v>11002</v>
      </c>
      <c r="F90" s="1">
        <v>11003</v>
      </c>
      <c r="G90" s="1">
        <v>11004</v>
      </c>
      <c r="H90" s="1">
        <v>11005</v>
      </c>
      <c r="I90" s="1">
        <v>11006</v>
      </c>
      <c r="J90" s="1">
        <v>11007</v>
      </c>
      <c r="K90" s="1">
        <v>11008</v>
      </c>
      <c r="L90" s="1">
        <v>11009</v>
      </c>
      <c r="M90" s="1">
        <v>11010</v>
      </c>
      <c r="N90" s="1">
        <v>11011</v>
      </c>
      <c r="O90" s="1">
        <v>11012</v>
      </c>
      <c r="P90" s="1" t="s">
        <v>3</v>
      </c>
    </row>
    <row r="91" spans="1:16" hidden="1">
      <c r="B91" s="12" t="s">
        <v>78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</row>
    <row r="92" spans="1:16" hidden="1">
      <c r="B92" s="12" t="s">
        <v>27</v>
      </c>
      <c r="C92" s="2">
        <v>667500</v>
      </c>
      <c r="D92" s="2">
        <v>7014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2">
        <v>7014</v>
      </c>
    </row>
    <row r="93" spans="1:16" hidden="1">
      <c r="B93" s="12" t="s">
        <v>79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hidden="1">
      <c r="B94" s="12" t="s">
        <v>80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</row>
    <row r="95" spans="1:16" hidden="1">
      <c r="B95" s="12" t="s">
        <v>81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</row>
    <row r="96" spans="1:16" hidden="1">
      <c r="B96" s="12" t="s">
        <v>82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</row>
    <row r="97" spans="2:16" hidden="1">
      <c r="B97" s="12" t="s">
        <v>83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</row>
    <row r="98" spans="2:16" hidden="1">
      <c r="B98" s="12" t="s">
        <v>84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</row>
    <row r="99" spans="2:16" hidden="1">
      <c r="B99" s="12" t="s">
        <v>85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</row>
    <row r="100" spans="2:16" hidden="1">
      <c r="B100" s="12" t="s">
        <v>86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</row>
    <row r="101" spans="2:16" hidden="1">
      <c r="B101" s="12" t="s">
        <v>87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</row>
    <row r="102" spans="2:16" hidden="1">
      <c r="B102" s="12" t="s">
        <v>266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</row>
    <row r="103" spans="2:16" hidden="1">
      <c r="B103" s="12" t="s">
        <v>267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</row>
    <row r="104" spans="2:16" hidden="1">
      <c r="B104" s="12" t="s">
        <v>268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</row>
    <row r="105" spans="2:16" hidden="1">
      <c r="B105" s="12" t="s">
        <v>269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</row>
    <row r="106" spans="2:16" hidden="1">
      <c r="B106" s="12" t="s">
        <v>88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</row>
    <row r="107" spans="2:16" hidden="1">
      <c r="B107" s="12" t="s">
        <v>89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</row>
    <row r="108" spans="2:16" hidden="1">
      <c r="B108" s="12" t="s">
        <v>90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</row>
    <row r="109" spans="2:16" hidden="1">
      <c r="B109" s="12" t="s">
        <v>91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</row>
    <row r="110" spans="2:16" hidden="1">
      <c r="B110" s="12" t="s">
        <v>92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</row>
    <row r="111" spans="2:16" hidden="1">
      <c r="B111" s="12" t="s">
        <v>93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</row>
    <row r="112" spans="2:16" hidden="1">
      <c r="B112" s="12" t="s">
        <v>94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</row>
    <row r="113" spans="1:16" hidden="1">
      <c r="B113" s="12" t="s">
        <v>95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</row>
    <row r="114" spans="1:16" hidden="1">
      <c r="B114" s="12" t="s">
        <v>96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</row>
    <row r="115" spans="1:16" s="50" customFormat="1" hidden="1">
      <c r="B115" s="12" t="s">
        <v>97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</row>
    <row r="116" spans="1:16" s="3" customFormat="1" hidden="1">
      <c r="A116" s="50"/>
      <c r="B116" s="12" t="s">
        <v>98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</row>
    <row r="117" spans="1:16" hidden="1">
      <c r="B117"/>
      <c r="C117"/>
      <c r="D117"/>
      <c r="E117"/>
      <c r="F117"/>
      <c r="G117"/>
      <c r="H117"/>
      <c r="I117"/>
      <c r="J117"/>
      <c r="K117"/>
      <c r="L117"/>
      <c r="M117"/>
    </row>
    <row r="118" spans="1:16" ht="32.4" hidden="1">
      <c r="B118" s="11" t="s">
        <v>324</v>
      </c>
      <c r="C118" s="1" t="s">
        <v>327</v>
      </c>
      <c r="D118"/>
      <c r="E118"/>
      <c r="F118"/>
      <c r="G118"/>
      <c r="H118"/>
      <c r="I118"/>
      <c r="J118"/>
      <c r="K118"/>
      <c r="L118"/>
      <c r="M118"/>
    </row>
    <row r="119" spans="1:16" hidden="1">
      <c r="B119" s="12" t="s">
        <v>184</v>
      </c>
      <c r="C119" s="1" t="s">
        <v>2</v>
      </c>
      <c r="D119" s="1">
        <v>11001</v>
      </c>
      <c r="E119" s="1">
        <v>11002</v>
      </c>
      <c r="F119" s="1">
        <v>11003</v>
      </c>
      <c r="G119" s="1">
        <v>11004</v>
      </c>
      <c r="H119" s="1">
        <v>11005</v>
      </c>
      <c r="I119" s="1">
        <v>11006</v>
      </c>
      <c r="J119" s="1">
        <v>11007</v>
      </c>
      <c r="K119" s="1">
        <v>11008</v>
      </c>
      <c r="L119" s="1">
        <v>11009</v>
      </c>
      <c r="M119" s="1">
        <v>11010</v>
      </c>
      <c r="N119" s="1">
        <v>11011</v>
      </c>
      <c r="O119" s="1">
        <v>11012</v>
      </c>
      <c r="P119" s="1" t="s">
        <v>3</v>
      </c>
    </row>
    <row r="120" spans="1:16" hidden="1">
      <c r="A120" s="50"/>
      <c r="B120" s="12" t="s">
        <v>230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</row>
    <row r="121" spans="1:16" s="50" customFormat="1" hidden="1">
      <c r="A121" s="81"/>
      <c r="B121" s="12" t="s">
        <v>99</v>
      </c>
      <c r="C121" s="2">
        <v>460000</v>
      </c>
      <c r="D121" s="2">
        <v>42500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2">
        <v>42500</v>
      </c>
    </row>
    <row r="122" spans="1:16" s="50" customFormat="1" ht="18" hidden="1" customHeight="1">
      <c r="A122" s="81"/>
      <c r="B122" s="12" t="s">
        <v>100</v>
      </c>
      <c r="C122" s="2">
        <v>281000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</row>
    <row r="123" spans="1:16" hidden="1">
      <c r="B123" s="12" t="s">
        <v>101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</row>
    <row r="124" spans="1:16" hidden="1">
      <c r="B124" s="12" t="s">
        <v>102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</row>
    <row r="125" spans="1:16" hidden="1">
      <c r="B125" s="12" t="s">
        <v>103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</row>
    <row r="126" spans="1:16" hidden="1">
      <c r="B126" s="12" t="s">
        <v>104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</row>
    <row r="127" spans="1:16" hidden="1">
      <c r="B127" s="12" t="s">
        <v>105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</row>
    <row r="128" spans="1:16" hidden="1">
      <c r="B128" s="12" t="s">
        <v>106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</row>
    <row r="129" spans="1:26" hidden="1">
      <c r="B129" s="12" t="s">
        <v>107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</row>
    <row r="130" spans="1:26" hidden="1">
      <c r="B130" s="12" t="s">
        <v>108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</row>
    <row r="131" spans="1:26" hidden="1">
      <c r="B131" s="12" t="s">
        <v>109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</row>
    <row r="132" spans="1:26" hidden="1">
      <c r="B132" s="12" t="s">
        <v>110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</row>
    <row r="133" spans="1:26" ht="32.4" hidden="1">
      <c r="B133" s="12" t="s">
        <v>197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</row>
    <row r="134" spans="1:26" s="3" customFormat="1" ht="32.4" hidden="1">
      <c r="A134" s="50"/>
      <c r="B134" s="12" t="s">
        <v>198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</row>
    <row r="135" spans="1:26" hidden="1">
      <c r="A135" s="50"/>
      <c r="B135" s="12" t="s">
        <v>199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</row>
    <row r="136" spans="1:26" s="3" customFormat="1" hidden="1">
      <c r="A136" s="50"/>
      <c r="B136" s="12" t="s">
        <v>200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</row>
    <row r="137" spans="1:26" hidden="1">
      <c r="B137" s="12" t="s">
        <v>27</v>
      </c>
      <c r="C137" s="2">
        <v>741000</v>
      </c>
      <c r="D137" s="2">
        <v>42500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2">
        <v>42500</v>
      </c>
    </row>
    <row r="138" spans="1:26" hidden="1">
      <c r="B138" s="12" t="s">
        <v>111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26" hidden="1">
      <c r="A139" s="50"/>
      <c r="B139" s="12" t="s">
        <v>112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</row>
    <row r="140" spans="1:26" hidden="1">
      <c r="A140" s="50"/>
      <c r="B140" s="12" t="s">
        <v>113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</row>
    <row r="141" spans="1:26" hidden="1">
      <c r="A141" s="148"/>
      <c r="B141" s="12" t="s">
        <v>114</v>
      </c>
      <c r="C141" s="2">
        <v>40000</v>
      </c>
      <c r="D141" s="2">
        <v>19040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2">
        <v>19040</v>
      </c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" hidden="1" customHeight="1">
      <c r="A142" s="81"/>
      <c r="B142" s="12" t="s">
        <v>115</v>
      </c>
      <c r="C142" s="2">
        <v>139500</v>
      </c>
      <c r="D142" s="2">
        <v>4432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2">
        <v>4432</v>
      </c>
    </row>
    <row r="143" spans="1:26" ht="17.25" customHeight="1">
      <c r="A143" s="81"/>
      <c r="B143" s="12" t="s">
        <v>362</v>
      </c>
      <c r="C143" s="2">
        <v>58300</v>
      </c>
      <c r="D143" s="2">
        <v>5760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2">
        <v>7800</v>
      </c>
      <c r="M143" s="1">
        <v>0</v>
      </c>
      <c r="N143" s="1">
        <v>0</v>
      </c>
      <c r="O143" s="1">
        <v>0</v>
      </c>
      <c r="P143" s="2">
        <v>13560</v>
      </c>
    </row>
    <row r="144" spans="1:26" ht="17.25" hidden="1" customHeight="1">
      <c r="B144" s="12" t="s">
        <v>116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</row>
    <row r="145" spans="1:26" ht="17.25" hidden="1" customHeight="1">
      <c r="B145" s="12" t="s">
        <v>117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</row>
    <row r="146" spans="1:26" ht="17.25" hidden="1" customHeight="1">
      <c r="B146"/>
      <c r="C146"/>
      <c r="D146"/>
      <c r="E146"/>
      <c r="F146"/>
      <c r="G146"/>
      <c r="H146"/>
      <c r="I146"/>
      <c r="J146"/>
      <c r="K146"/>
      <c r="L146"/>
      <c r="M146"/>
    </row>
    <row r="147" spans="1:26" ht="17.25" hidden="1" customHeight="1">
      <c r="B147" s="11" t="s">
        <v>324</v>
      </c>
      <c r="C147" s="1" t="s">
        <v>329</v>
      </c>
      <c r="D147"/>
      <c r="E147"/>
      <c r="F147"/>
      <c r="G147"/>
      <c r="H147"/>
      <c r="I147"/>
      <c r="J147"/>
      <c r="K147"/>
      <c r="L147"/>
      <c r="M147"/>
    </row>
    <row r="148" spans="1:26" ht="17.25" hidden="1" customHeight="1">
      <c r="B148" s="12" t="s">
        <v>184</v>
      </c>
      <c r="C148" s="1" t="s">
        <v>2</v>
      </c>
      <c r="D148" s="1">
        <v>11001</v>
      </c>
      <c r="E148" s="1">
        <v>11002</v>
      </c>
      <c r="F148" s="1">
        <v>11003</v>
      </c>
      <c r="G148" s="1">
        <v>11004</v>
      </c>
      <c r="H148" s="1">
        <v>11005</v>
      </c>
      <c r="I148" s="1">
        <v>11006</v>
      </c>
      <c r="J148" s="1">
        <v>11007</v>
      </c>
      <c r="K148" s="1">
        <v>11008</v>
      </c>
      <c r="L148" s="1">
        <v>11009</v>
      </c>
      <c r="M148" s="1">
        <v>11010</v>
      </c>
      <c r="N148" s="1">
        <v>11011</v>
      </c>
      <c r="O148" s="1">
        <v>11012</v>
      </c>
      <c r="P148" s="1" t="s">
        <v>3</v>
      </c>
    </row>
    <row r="149" spans="1:26" ht="17.25" hidden="1" customHeight="1">
      <c r="B149" s="12" t="s">
        <v>264</v>
      </c>
      <c r="C149" s="2">
        <v>10027</v>
      </c>
      <c r="D149" s="1">
        <v>258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258</v>
      </c>
    </row>
    <row r="150" spans="1:26" ht="17.25" hidden="1" customHeight="1">
      <c r="B150" s="12" t="s">
        <v>118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</row>
    <row r="151" spans="1:26" ht="17.25" hidden="1" customHeight="1">
      <c r="B151" s="12" t="s">
        <v>119</v>
      </c>
      <c r="C151" s="1">
        <v>0</v>
      </c>
      <c r="D151" s="1">
        <v>80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80</v>
      </c>
    </row>
    <row r="152" spans="1:26" ht="17.25" hidden="1" customHeight="1">
      <c r="B152" s="12" t="s">
        <v>27</v>
      </c>
      <c r="C152" s="2">
        <v>295727</v>
      </c>
      <c r="D152" s="2">
        <v>29570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2">
        <v>29570</v>
      </c>
    </row>
    <row r="153" spans="1:26" s="3" customFormat="1" ht="17.25" hidden="1" customHeight="1">
      <c r="A153" s="50"/>
      <c r="B153" s="12" t="s">
        <v>120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26" ht="17.25" hidden="1" customHeight="1">
      <c r="A154" s="50"/>
      <c r="B154" s="12" t="s">
        <v>121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</row>
    <row r="155" spans="1:26" ht="17.25" hidden="1" customHeight="1">
      <c r="A155" s="50"/>
      <c r="B155" s="12" t="s">
        <v>122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</row>
    <row r="156" spans="1:26" s="3" customFormat="1" ht="17.25" hidden="1" customHeight="1">
      <c r="A156" s="50"/>
      <c r="B156" s="12" t="s">
        <v>123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</row>
    <row r="157" spans="1:26" ht="17.25" hidden="1" customHeight="1">
      <c r="B157" s="12" t="s">
        <v>124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</row>
    <row r="158" spans="1:26" ht="17.25" hidden="1" customHeight="1">
      <c r="A158" s="50"/>
      <c r="B158" s="12" t="s">
        <v>125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7.25" hidden="1" customHeight="1">
      <c r="B159" s="12" t="s">
        <v>126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</row>
    <row r="160" spans="1:26" ht="17.25" hidden="1" customHeight="1">
      <c r="A160" s="81"/>
      <c r="B160" s="12" t="s">
        <v>127</v>
      </c>
      <c r="C160" s="2">
        <v>58140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</row>
    <row r="161" spans="1:16" ht="17.25" hidden="1" customHeight="1">
      <c r="A161" s="50"/>
      <c r="B161" s="12" t="s">
        <v>128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</row>
    <row r="162" spans="1:16" ht="17.25" hidden="1" customHeight="1">
      <c r="B162" s="12" t="s">
        <v>129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</row>
    <row r="163" spans="1:16" ht="17.25" hidden="1" customHeight="1">
      <c r="A163" s="91"/>
      <c r="B163" s="12" t="s">
        <v>130</v>
      </c>
      <c r="C163" s="2">
        <v>193250</v>
      </c>
      <c r="D163" s="2">
        <v>48250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2">
        <v>48250</v>
      </c>
    </row>
    <row r="164" spans="1:16" ht="17.25" hidden="1" customHeight="1">
      <c r="B164" s="12" t="s">
        <v>27</v>
      </c>
      <c r="C164" s="2">
        <v>251390</v>
      </c>
      <c r="D164" s="2">
        <v>48250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2">
        <v>48250</v>
      </c>
    </row>
    <row r="165" spans="1:16" ht="17.25" hidden="1" customHeight="1">
      <c r="B165" s="12" t="s">
        <v>131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ht="17.25" hidden="1" customHeight="1">
      <c r="B166" s="12" t="s">
        <v>132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</row>
    <row r="167" spans="1:16" ht="17.25" hidden="1" customHeight="1">
      <c r="B167" s="12" t="s">
        <v>133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</row>
    <row r="168" spans="1:16" ht="17.25" hidden="1" customHeight="1">
      <c r="B168" s="12" t="s">
        <v>134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</row>
    <row r="169" spans="1:16" ht="17.25" hidden="1" customHeight="1">
      <c r="B169" s="12" t="s">
        <v>135</v>
      </c>
      <c r="C169" s="2">
        <v>8780</v>
      </c>
      <c r="D169" s="2">
        <v>1462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2">
        <v>1462</v>
      </c>
    </row>
    <row r="170" spans="1:16" ht="17.25" hidden="1" customHeight="1">
      <c r="B170" s="12" t="s">
        <v>136</v>
      </c>
      <c r="C170" s="2">
        <v>792870</v>
      </c>
      <c r="D170" s="2">
        <v>66272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2">
        <v>66272</v>
      </c>
    </row>
    <row r="171" spans="1:16" ht="17.25" hidden="1" customHeight="1">
      <c r="B171" s="12" t="s">
        <v>137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</row>
    <row r="172" spans="1:16" ht="17.25" hidden="1" customHeight="1">
      <c r="B172" s="12" t="s">
        <v>270</v>
      </c>
      <c r="C172" s="2">
        <v>688774</v>
      </c>
      <c r="D172" s="2">
        <v>27375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2">
        <v>27375</v>
      </c>
    </row>
    <row r="173" spans="1:16" ht="17.25" hidden="1" customHeight="1">
      <c r="B173" s="12" t="s">
        <v>138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</row>
    <row r="174" spans="1:16" ht="17.25" hidden="1" customHeight="1">
      <c r="B174" s="12" t="s">
        <v>139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</row>
    <row r="175" spans="1:16" ht="17.25" hidden="1" customHeight="1">
      <c r="B175"/>
      <c r="C175"/>
      <c r="D175"/>
      <c r="E175"/>
      <c r="F175"/>
      <c r="G175"/>
      <c r="H175"/>
      <c r="I175"/>
      <c r="J175"/>
      <c r="K175"/>
      <c r="L175"/>
      <c r="M175"/>
    </row>
    <row r="176" spans="1:16" ht="17.25" hidden="1" customHeight="1">
      <c r="B176" s="11" t="s">
        <v>324</v>
      </c>
      <c r="C176" s="1" t="s">
        <v>147</v>
      </c>
      <c r="D176"/>
      <c r="E176"/>
      <c r="F176"/>
      <c r="G176"/>
      <c r="H176"/>
      <c r="I176"/>
      <c r="J176"/>
      <c r="K176"/>
      <c r="L176"/>
      <c r="M176"/>
    </row>
    <row r="177" spans="2:16" ht="17.25" hidden="1" customHeight="1">
      <c r="B177" s="12" t="s">
        <v>184</v>
      </c>
      <c r="C177" s="1" t="s">
        <v>2</v>
      </c>
      <c r="D177" s="1">
        <v>11001</v>
      </c>
      <c r="E177" s="1">
        <v>11002</v>
      </c>
      <c r="F177" s="1">
        <v>11003</v>
      </c>
      <c r="G177" s="1">
        <v>11004</v>
      </c>
      <c r="H177" s="1">
        <v>11005</v>
      </c>
      <c r="I177" s="1">
        <v>11006</v>
      </c>
      <c r="J177" s="1">
        <v>11007</v>
      </c>
      <c r="K177" s="1">
        <v>11008</v>
      </c>
      <c r="L177" s="1">
        <v>11009</v>
      </c>
      <c r="M177" s="1">
        <v>11010</v>
      </c>
      <c r="N177" s="1">
        <v>11011</v>
      </c>
      <c r="O177" s="1">
        <v>11012</v>
      </c>
      <c r="P177" s="1" t="s">
        <v>3</v>
      </c>
    </row>
    <row r="178" spans="2:16" ht="17.25" hidden="1" customHeight="1">
      <c r="B178" s="12" t="s">
        <v>140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</row>
    <row r="179" spans="2:16" ht="17.25" hidden="1" customHeight="1">
      <c r="B179" s="12" t="s">
        <v>141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</row>
    <row r="180" spans="2:16" ht="17.25" hidden="1" customHeight="1">
      <c r="B180" s="12" t="s">
        <v>142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</row>
    <row r="181" spans="2:16" ht="17.25" hidden="1" customHeight="1">
      <c r="B181" s="12" t="s">
        <v>27</v>
      </c>
      <c r="C181" s="2">
        <v>1490424</v>
      </c>
      <c r="D181" s="2">
        <v>95109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2">
        <v>95109</v>
      </c>
    </row>
    <row r="182" spans="2:16" ht="17.25" hidden="1" customHeight="1">
      <c r="B182" s="12" t="s">
        <v>143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2:16" ht="17.25" hidden="1" customHeight="1">
      <c r="B183" s="12" t="s">
        <v>144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</row>
    <row r="184" spans="2:16" ht="17.25" hidden="1" customHeight="1">
      <c r="B184" s="12" t="s">
        <v>145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</row>
    <row r="185" spans="2:16" ht="17.25" hidden="1" customHeight="1">
      <c r="B185" s="12" t="s">
        <v>146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</row>
    <row r="186" spans="2:16" ht="17.25" hidden="1" customHeight="1">
      <c r="B186" s="12" t="s">
        <v>148</v>
      </c>
      <c r="C186" s="2">
        <v>238000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</row>
    <row r="187" spans="2:16" ht="17.25" hidden="1" customHeight="1">
      <c r="B187" s="12" t="s">
        <v>149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</row>
    <row r="188" spans="2:16" ht="17.25" hidden="1" customHeight="1">
      <c r="B188" s="12" t="s">
        <v>150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</row>
    <row r="189" spans="2:16" ht="17.25" hidden="1" customHeight="1">
      <c r="B189" s="12" t="s">
        <v>271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</row>
    <row r="190" spans="2:16" ht="17.25" hidden="1" customHeight="1">
      <c r="B190" s="12" t="s">
        <v>27</v>
      </c>
      <c r="C190" s="2">
        <v>238000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</row>
    <row r="191" spans="2:16" ht="17.25" hidden="1" customHeight="1">
      <c r="B191" s="12" t="s">
        <v>151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2:16" ht="17.25" hidden="1" customHeight="1">
      <c r="B192" s="12" t="s">
        <v>201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</row>
    <row r="193" spans="1:16" ht="17.25" hidden="1" customHeight="1">
      <c r="B193" s="12" t="s">
        <v>152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</row>
    <row r="194" spans="1:16" ht="17.25" hidden="1" customHeight="1">
      <c r="B194" s="12" t="s">
        <v>153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</row>
    <row r="195" spans="1:16" ht="17.25" hidden="1" customHeight="1">
      <c r="B195" s="12" t="s">
        <v>27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</row>
    <row r="196" spans="1:16" ht="17.25" hidden="1" customHeight="1">
      <c r="B196" s="12" t="s">
        <v>154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ht="17.25" hidden="1" customHeight="1">
      <c r="A197" s="50"/>
      <c r="B197" s="12" t="s">
        <v>155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</row>
    <row r="198" spans="1:16" ht="17.25" hidden="1" customHeight="1">
      <c r="A198" s="50"/>
      <c r="B198" s="12" t="s">
        <v>156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</row>
    <row r="199" spans="1:16" ht="17.25" hidden="1" customHeight="1">
      <c r="A199" s="50"/>
      <c r="B199" s="12" t="s">
        <v>157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</row>
    <row r="200" spans="1:16" ht="17.25" hidden="1" customHeight="1">
      <c r="A200" s="50"/>
      <c r="B200" s="12" t="s">
        <v>158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</row>
    <row r="201" spans="1:16" ht="17.25" hidden="1" customHeight="1">
      <c r="A201" s="50"/>
      <c r="B201" s="12" t="s">
        <v>187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</row>
    <row r="202" spans="1:16" ht="17.25" hidden="1" customHeight="1">
      <c r="A202" s="50"/>
      <c r="B202" s="12" t="s">
        <v>231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</row>
    <row r="203" spans="1:16" ht="17.25" hidden="1" customHeight="1">
      <c r="A203" s="50"/>
      <c r="B203" s="12" t="s">
        <v>27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</row>
    <row r="204" spans="1:16" ht="17.25" hidden="1" customHeight="1">
      <c r="A204" s="50"/>
      <c r="B204"/>
      <c r="C204"/>
      <c r="D204"/>
      <c r="E204"/>
      <c r="F204"/>
      <c r="G204"/>
      <c r="H204"/>
      <c r="I204"/>
      <c r="J204"/>
      <c r="K204"/>
      <c r="L204"/>
      <c r="M204"/>
    </row>
    <row r="205" spans="1:16" ht="17.25" hidden="1" customHeight="1">
      <c r="A205" s="50"/>
      <c r="B205" s="11" t="s">
        <v>324</v>
      </c>
      <c r="C205" s="1" t="s">
        <v>167</v>
      </c>
      <c r="D205"/>
      <c r="E205"/>
      <c r="F205"/>
      <c r="G205"/>
      <c r="H205"/>
      <c r="I205"/>
      <c r="J205"/>
      <c r="K205"/>
      <c r="L205"/>
      <c r="M205"/>
    </row>
    <row r="206" spans="1:16" ht="17.25" hidden="1" customHeight="1">
      <c r="A206" s="50"/>
      <c r="B206" s="12" t="s">
        <v>184</v>
      </c>
      <c r="C206" s="1" t="s">
        <v>2</v>
      </c>
      <c r="D206" s="1">
        <v>11001</v>
      </c>
      <c r="E206" s="1">
        <v>11002</v>
      </c>
      <c r="F206" s="1">
        <v>11003</v>
      </c>
      <c r="G206" s="1">
        <v>11004</v>
      </c>
      <c r="H206" s="1">
        <v>11005</v>
      </c>
      <c r="I206" s="1">
        <v>11006</v>
      </c>
      <c r="J206" s="1">
        <v>11007</v>
      </c>
      <c r="K206" s="1">
        <v>11008</v>
      </c>
      <c r="L206" s="1">
        <v>11009</v>
      </c>
      <c r="M206" s="1">
        <v>11010</v>
      </c>
      <c r="N206" s="1">
        <v>11011</v>
      </c>
      <c r="O206" s="1">
        <v>11012</v>
      </c>
      <c r="P206" s="1" t="s">
        <v>3</v>
      </c>
    </row>
    <row r="207" spans="1:16" ht="17.25" hidden="1" customHeight="1">
      <c r="A207" s="50"/>
      <c r="B207" s="12" t="s">
        <v>159</v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ht="17.25" hidden="1" customHeight="1">
      <c r="A208" s="50"/>
      <c r="B208" s="12" t="s">
        <v>188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</row>
    <row r="209" spans="1:16" ht="17.25" hidden="1" customHeight="1">
      <c r="A209" s="50"/>
      <c r="B209" s="12" t="s">
        <v>27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</row>
    <row r="210" spans="1:16" ht="17.25" hidden="1" customHeight="1">
      <c r="A210" s="50"/>
      <c r="B210" s="12" t="s">
        <v>160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ht="17.25" hidden="1" customHeight="1">
      <c r="A211" s="50"/>
      <c r="B211" s="12" t="s">
        <v>161</v>
      </c>
      <c r="C211" s="2">
        <v>81325317</v>
      </c>
      <c r="D211" s="2">
        <v>4147682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2">
        <v>4147682</v>
      </c>
    </row>
    <row r="212" spans="1:16" ht="17.25" hidden="1" customHeight="1">
      <c r="A212" s="50"/>
      <c r="B212" s="12" t="s">
        <v>27</v>
      </c>
      <c r="C212" s="2">
        <v>81325317</v>
      </c>
      <c r="D212" s="2">
        <v>4147682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2">
        <v>4147682</v>
      </c>
    </row>
    <row r="213" spans="1:16" ht="17.25" hidden="1" customHeight="1">
      <c r="A213" s="50"/>
      <c r="B213" s="12" t="s">
        <v>162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ht="17.25" hidden="1" customHeight="1">
      <c r="A214" s="50"/>
      <c r="B214" s="12" t="s">
        <v>163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</row>
    <row r="215" spans="1:16" ht="17.25" hidden="1" customHeight="1">
      <c r="A215" s="50"/>
      <c r="B215" s="12" t="s">
        <v>164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</row>
    <row r="216" spans="1:16" ht="17.25" hidden="1" customHeight="1">
      <c r="A216" s="91"/>
      <c r="B216" s="12" t="s">
        <v>165</v>
      </c>
      <c r="C216" s="2">
        <v>-1982000</v>
      </c>
      <c r="D216" s="2">
        <v>-360916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2">
        <v>-360916</v>
      </c>
    </row>
    <row r="217" spans="1:16" ht="17.25" hidden="1" customHeight="1">
      <c r="A217" s="50"/>
      <c r="B217" s="12" t="s">
        <v>166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</row>
    <row r="218" spans="1:16" ht="17.25" hidden="1" customHeight="1">
      <c r="A218" s="50"/>
      <c r="B218" s="12" t="s">
        <v>168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</row>
    <row r="219" spans="1:16" ht="17.25" hidden="1" customHeight="1">
      <c r="A219" s="50"/>
      <c r="B219" s="12" t="s">
        <v>272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</row>
    <row r="220" spans="1:16" ht="17.25" hidden="1" customHeight="1">
      <c r="A220" s="91"/>
      <c r="B220" s="12" t="s">
        <v>169</v>
      </c>
      <c r="C220" s="2">
        <v>-3899440</v>
      </c>
      <c r="D220" s="2">
        <v>-405627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2">
        <v>-405627</v>
      </c>
    </row>
    <row r="221" spans="1:16" hidden="1">
      <c r="A221" s="50"/>
      <c r="B221" s="12" t="s">
        <v>27</v>
      </c>
      <c r="C221" s="2">
        <v>-5881440</v>
      </c>
      <c r="D221" s="2">
        <v>-766543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2">
        <v>-766543</v>
      </c>
    </row>
    <row r="222" spans="1:16" hidden="1">
      <c r="A222" s="50"/>
      <c r="B222" s="12" t="s">
        <v>170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hidden="1">
      <c r="A223" s="50"/>
      <c r="B223" s="12" t="s">
        <v>171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</row>
    <row r="224" spans="1:16" hidden="1">
      <c r="A224" s="50"/>
      <c r="B224" s="12" t="s">
        <v>172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</row>
    <row r="225" spans="1:16" hidden="1">
      <c r="A225" s="50"/>
      <c r="B225" s="12" t="s">
        <v>173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</row>
    <row r="226" spans="1:16" hidden="1">
      <c r="A226" s="50"/>
      <c r="B226" s="12" t="s">
        <v>174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</row>
    <row r="227" spans="1:16" hidden="1">
      <c r="A227" s="50"/>
      <c r="B227" s="12" t="s">
        <v>175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</row>
    <row r="228" spans="1:16" hidden="1">
      <c r="A228" s="50"/>
      <c r="B228" s="12" t="s">
        <v>176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</row>
    <row r="229" spans="1:16" hidden="1">
      <c r="A229" s="50"/>
      <c r="B229" s="12" t="s">
        <v>177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</row>
    <row r="230" spans="1:16" hidden="1">
      <c r="A230" s="50"/>
      <c r="B230" s="12" t="s">
        <v>178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</row>
    <row r="231" spans="1:16" hidden="1">
      <c r="A231" s="50"/>
      <c r="B231" s="12" t="s">
        <v>179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</row>
    <row r="232" spans="1:16" hidden="1">
      <c r="A232" s="50"/>
      <c r="B232" s="12" t="s">
        <v>232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</row>
    <row r="233" spans="1:16" hidden="1">
      <c r="A233" s="50"/>
      <c r="B233"/>
      <c r="C233"/>
      <c r="D233"/>
      <c r="E233"/>
      <c r="F233"/>
      <c r="G233"/>
      <c r="H233"/>
      <c r="I233"/>
      <c r="J233"/>
      <c r="K233"/>
      <c r="L233"/>
      <c r="M233"/>
    </row>
    <row r="234" spans="1:16" ht="32.4" hidden="1">
      <c r="A234" s="50"/>
      <c r="B234" s="11" t="s">
        <v>324</v>
      </c>
      <c r="C234" s="1" t="s">
        <v>233</v>
      </c>
      <c r="D234"/>
      <c r="E234"/>
      <c r="F234"/>
      <c r="G234"/>
      <c r="H234"/>
      <c r="I234"/>
      <c r="J234"/>
      <c r="K234"/>
      <c r="L234"/>
      <c r="M234"/>
    </row>
    <row r="235" spans="1:16" hidden="1">
      <c r="A235" s="50"/>
      <c r="B235" s="12" t="s">
        <v>184</v>
      </c>
      <c r="C235" s="1" t="s">
        <v>2</v>
      </c>
      <c r="D235" s="1">
        <v>11001</v>
      </c>
      <c r="E235" s="1">
        <v>11002</v>
      </c>
      <c r="F235" s="1">
        <v>11003</v>
      </c>
      <c r="G235" s="1">
        <v>11004</v>
      </c>
      <c r="H235" s="1">
        <v>11005</v>
      </c>
      <c r="I235" s="1">
        <v>11006</v>
      </c>
      <c r="J235" s="1">
        <v>11007</v>
      </c>
      <c r="K235" s="1">
        <v>11008</v>
      </c>
      <c r="L235" s="1">
        <v>11009</v>
      </c>
      <c r="M235" s="1">
        <v>11010</v>
      </c>
      <c r="N235" s="1">
        <v>11011</v>
      </c>
      <c r="O235" s="1">
        <v>11012</v>
      </c>
      <c r="P235" s="1" t="s">
        <v>3</v>
      </c>
    </row>
    <row r="236" spans="1:16" hidden="1">
      <c r="A236" s="50"/>
      <c r="B236" s="12" t="s">
        <v>27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</row>
    <row r="237" spans="1:16" hidden="1">
      <c r="A237" s="50"/>
      <c r="B237" s="12" t="s">
        <v>180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hidden="1">
      <c r="B238" s="12" t="s">
        <v>181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</row>
    <row r="239" spans="1:16" hidden="1">
      <c r="B239" s="12" t="s">
        <v>27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</row>
    <row r="240" spans="1:16" hidden="1">
      <c r="B240" s="12" t="s">
        <v>182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hidden="1">
      <c r="A241" s="50"/>
      <c r="B241" s="12" t="s">
        <v>183</v>
      </c>
      <c r="C241" s="2">
        <v>-5881440</v>
      </c>
      <c r="D241" s="2">
        <v>-766543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2">
        <v>-766543</v>
      </c>
    </row>
    <row r="242" spans="1:16" hidden="1">
      <c r="B242" s="12" t="s">
        <v>27</v>
      </c>
      <c r="C242" s="2">
        <v>-5881440</v>
      </c>
      <c r="D242" s="2">
        <v>-766543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2">
        <v>-766543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  <pageSetUpPr fitToPage="1"/>
  </sheetPr>
  <dimension ref="A1:Y32"/>
  <sheetViews>
    <sheetView tabSelected="1" view="pageBreakPreview" zoomScale="55" zoomScaleNormal="55" zoomScaleSheetLayoutView="55" workbookViewId="0">
      <pane xSplit="3" ySplit="2" topLeftCell="E3" activePane="bottomRight" state="frozenSplit"/>
      <selection activeCell="D21" sqref="D21"/>
      <selection pane="topRight" activeCell="D21" sqref="D21"/>
      <selection pane="bottomLeft" activeCell="D21" sqref="D21"/>
      <selection pane="bottomRight" activeCell="F15" sqref="F15"/>
    </sheetView>
  </sheetViews>
  <sheetFormatPr defaultColWidth="9" defaultRowHeight="18.75" customHeight="1"/>
  <cols>
    <col min="1" max="1" width="27" style="20" customWidth="1"/>
    <col min="2" max="2" width="13.21875" style="10" bestFit="1" customWidth="1"/>
    <col min="3" max="3" width="8.21875" style="20" hidden="1" customWidth="1"/>
    <col min="4" max="4" width="13.109375" style="20" customWidth="1"/>
    <col min="5" max="5" width="12.77734375" style="52" customWidth="1"/>
    <col min="6" max="6" width="13.21875" style="6" customWidth="1"/>
    <col min="7" max="7" width="12.21875" style="6" customWidth="1"/>
    <col min="8" max="8" width="15" style="6" customWidth="1"/>
    <col min="9" max="9" width="13.21875" style="6" customWidth="1"/>
    <col min="10" max="10" width="11.88671875" style="6" customWidth="1"/>
    <col min="11" max="11" width="14.6640625" style="6" customWidth="1"/>
    <col min="12" max="12" width="11.88671875" style="15" customWidth="1"/>
    <col min="13" max="13" width="14.77734375" style="15" customWidth="1"/>
    <col min="14" max="14" width="12.6640625" style="9" customWidth="1"/>
    <col min="15" max="15" width="13.33203125" style="9" customWidth="1"/>
    <col min="16" max="16" width="13.44140625" style="15" customWidth="1"/>
    <col min="17" max="17" width="16.109375" style="15" customWidth="1"/>
    <col min="18" max="18" width="16.44140625" style="15" customWidth="1"/>
    <col min="19" max="19" width="11.6640625" style="18" customWidth="1"/>
    <col min="20" max="20" width="14.44140625" style="20" customWidth="1"/>
    <col min="21" max="21" width="11.109375" style="20" customWidth="1"/>
    <col min="22" max="22" width="15.33203125" style="6" customWidth="1"/>
    <col min="23" max="23" width="12.109375" style="181" customWidth="1"/>
    <col min="24" max="24" width="11.44140625" style="10" customWidth="1"/>
    <col min="25" max="25" width="9" style="154"/>
    <col min="26" max="16384" width="9" style="6"/>
  </cols>
  <sheetData>
    <row r="1" spans="1:25" ht="37.5" customHeight="1">
      <c r="A1" s="53"/>
      <c r="C1" s="53"/>
      <c r="D1" s="53"/>
      <c r="E1" s="73"/>
      <c r="F1" s="21"/>
      <c r="G1" s="22" t="s">
        <v>314</v>
      </c>
      <c r="H1" s="48">
        <v>10</v>
      </c>
      <c r="I1" s="22" t="s">
        <v>189</v>
      </c>
      <c r="J1" s="24" t="s">
        <v>255</v>
      </c>
      <c r="K1" s="15"/>
      <c r="L1" s="9"/>
      <c r="M1" s="9"/>
      <c r="N1" s="15"/>
      <c r="P1" s="83"/>
      <c r="Q1" s="79"/>
      <c r="R1" s="38"/>
      <c r="S1" s="27"/>
    </row>
    <row r="2" spans="1:25" s="10" customFormat="1" ht="42.75" customHeight="1" thickBot="1">
      <c r="A2" s="76" t="s">
        <v>185</v>
      </c>
      <c r="B2" s="192" t="s">
        <v>282</v>
      </c>
      <c r="C2" s="54" t="s">
        <v>202</v>
      </c>
      <c r="D2" s="54" t="s">
        <v>251</v>
      </c>
      <c r="E2" s="72" t="s">
        <v>277</v>
      </c>
      <c r="F2" s="65">
        <v>1</v>
      </c>
      <c r="G2" s="65">
        <v>2</v>
      </c>
      <c r="H2" s="65">
        <v>3</v>
      </c>
      <c r="I2" s="65">
        <v>4</v>
      </c>
      <c r="J2" s="65">
        <v>5</v>
      </c>
      <c r="K2" s="65">
        <v>6</v>
      </c>
      <c r="L2" s="65">
        <v>7</v>
      </c>
      <c r="M2" s="65">
        <v>8</v>
      </c>
      <c r="N2" s="65">
        <v>9</v>
      </c>
      <c r="O2" s="65">
        <v>10</v>
      </c>
      <c r="P2" s="82">
        <v>11</v>
      </c>
      <c r="Q2" s="65">
        <v>12</v>
      </c>
      <c r="R2" s="40" t="s">
        <v>192</v>
      </c>
      <c r="S2" s="40" t="s">
        <v>218</v>
      </c>
      <c r="T2" s="41" t="s">
        <v>191</v>
      </c>
      <c r="U2" s="42" t="s">
        <v>193</v>
      </c>
      <c r="V2" s="185" t="s">
        <v>375</v>
      </c>
      <c r="W2" s="181"/>
      <c r="X2" s="10" t="s">
        <v>313</v>
      </c>
      <c r="Y2" s="155"/>
    </row>
    <row r="3" spans="1:25" ht="36.9" customHeight="1">
      <c r="A3" s="126" t="s">
        <v>344</v>
      </c>
      <c r="B3" s="149">
        <f>M1細目!C40</f>
        <v>3473170</v>
      </c>
      <c r="C3" s="127">
        <f>標準管控值!C3</f>
        <v>0</v>
      </c>
      <c r="D3" s="159">
        <f ca="1">IF(B3&lt;&gt;標準管控值!B3,"請檢查並更正標準管控值預算是否追加?",OFFSET(標準管控值!D3,0,$H$1))</f>
        <v>280264.16666666669</v>
      </c>
      <c r="E3" s="74">
        <f ca="1">IF(OFFSET($E3,0,$H$1)-$D3&gt;20000,OFFSET($E3,0,$H$1)-$D3,0)</f>
        <v>0</v>
      </c>
      <c r="F3" s="106">
        <f>IF($H$1&gt;=F$2,M1細目!D40,標準管控值!E3)</f>
        <v>293202</v>
      </c>
      <c r="G3" s="151">
        <f>IF($H$1&gt;=G$2,M1細目!E$40,標準管控值!F3)</f>
        <v>259736</v>
      </c>
      <c r="H3" s="151">
        <f>IF($H$1&gt;=$H$2,M1細目!F$40,標準管控值!G3)</f>
        <v>298135</v>
      </c>
      <c r="I3" s="151">
        <f>IF($H$1&gt;=I$2,M1細目!G$40,標準管控值!H3)</f>
        <v>282869</v>
      </c>
      <c r="J3" s="151">
        <f>IF($H$1&gt;=J$2,M1細目!H$40,標準管控值!I3)</f>
        <v>378170</v>
      </c>
      <c r="K3" s="151">
        <f>IF($H$1&gt;=K$2,M1細目!I$40,標準管控值!J3)</f>
        <v>285335</v>
      </c>
      <c r="L3" s="151">
        <f>IF($H$1&gt;=L$2,M1細目!J$40,標準管控值!K3)</f>
        <v>300602</v>
      </c>
      <c r="M3" s="151">
        <f>IF($H$1&gt;=M$2,M1細目!K$40,標準管控值!L3)</f>
        <v>255524</v>
      </c>
      <c r="N3" s="151">
        <f>IF($H$1&gt;=N$2,M1細目!L$40,標準管控值!M3)</f>
        <v>246502</v>
      </c>
      <c r="O3" s="151">
        <f>IF($H$1&gt;=O$2,M1細目!M$40,標準管控值!N3)</f>
        <v>253869</v>
      </c>
      <c r="P3" s="134">
        <f>IF($H$1&gt;=P$2,M1細目!N$40,標準管控值!O3)</f>
        <v>280264.16666666669</v>
      </c>
      <c r="Q3" s="135">
        <f>IF($H$1&gt;=Q$2,M1細目!O$40,標準管控值!P3)</f>
        <v>280264.16666666669</v>
      </c>
      <c r="R3" s="64">
        <f ca="1">SUM(OFFSET(F3,0,0,1,$H$1))</f>
        <v>2853944</v>
      </c>
      <c r="S3" s="84">
        <f ca="1">R3/B3</f>
        <v>0.82171157760777613</v>
      </c>
      <c r="T3" s="109">
        <f>SUM(F3:Q3)</f>
        <v>3414472.333333333</v>
      </c>
      <c r="U3" s="67">
        <f>T3/B3</f>
        <v>0.98309968510995227</v>
      </c>
      <c r="V3" s="104">
        <f ca="1">IF(ABS(OFFSET($E3,0,$H$1)-$D3)&gt;20000,OFFSET($E3,0,$H$1)-$D3,0)</f>
        <v>-26395.166666666686</v>
      </c>
      <c r="W3" s="181" t="s">
        <v>285</v>
      </c>
      <c r="X3" s="184">
        <f>B3-T3</f>
        <v>58697.666666666977</v>
      </c>
      <c r="Y3" s="155" t="s">
        <v>369</v>
      </c>
    </row>
    <row r="4" spans="1:25" ht="36.9" customHeight="1">
      <c r="A4" s="126" t="s">
        <v>345</v>
      </c>
      <c r="B4" s="149">
        <f>M1細目!C41</f>
        <v>5582000</v>
      </c>
      <c r="C4" s="127">
        <v>0.05</v>
      </c>
      <c r="D4" s="159">
        <f ca="1">IF(B4&lt;&gt;標準管控值!B4,"請檢查並更正標準管控值預算是否追加?",OFFSET(標準管控值!D4,0,$H$1))</f>
        <v>465166.66666666669</v>
      </c>
      <c r="E4" s="74">
        <f ca="1">IF(OFFSET($E4,0,$H$1)-$D4&gt;D4*0.05,OFFSET($E4,0,$H$1)-$D4,0)</f>
        <v>0</v>
      </c>
      <c r="F4" s="107">
        <f>IF($H$1&gt;=F$2,M1細目!D41,標準管控值!E4)</f>
        <v>378524</v>
      </c>
      <c r="G4" s="152">
        <f>IF($H$1&gt;=$G$2,M1細目!E41,標準管控值!F4)</f>
        <v>421442</v>
      </c>
      <c r="H4" s="152">
        <f>IF($H$1&gt;=$H$2,M1細目!F41,標準管控值!G4)</f>
        <v>411704</v>
      </c>
      <c r="I4" s="152">
        <f>IF($H$1&gt;=I$2,M1細目!G41,標準管控值!H4)</f>
        <v>410670</v>
      </c>
      <c r="J4" s="152">
        <f>IF($H$1&gt;=J$2,M1細目!H41,標準管控值!I4)</f>
        <v>409997</v>
      </c>
      <c r="K4" s="152">
        <f>IF($H$1&gt;=K$2,M1細目!I41,標準管控值!J4)</f>
        <v>409997</v>
      </c>
      <c r="L4" s="152">
        <f>IF($H$1&gt;=L$2,M1細目!J41,標準管控值!K4)</f>
        <v>409324</v>
      </c>
      <c r="M4" s="152">
        <f>IF($H$1&gt;=M$2,M1細目!K41,標準管控值!L4)</f>
        <v>380229</v>
      </c>
      <c r="N4" s="152">
        <f>IF($H$1&gt;=N$2,M1細目!L41,標準管控值!M4)</f>
        <v>381575</v>
      </c>
      <c r="O4" s="152">
        <f>IF($H$1&gt;=O$2,M1細目!M41,標準管控值!N4)</f>
        <v>380902</v>
      </c>
      <c r="P4" s="136">
        <f>IF($H$1&gt;=P$2,M1細目!N41,標準管控值!O4)</f>
        <v>465166.66666666669</v>
      </c>
      <c r="Q4" s="137">
        <f>IF($H$1&gt;=Q$2,M1細目!O41,標準管控值!P4)</f>
        <v>465166.66666666669</v>
      </c>
      <c r="R4" s="64">
        <f ca="1">SUM(OFFSET(F4,0,0,1,$H$1))</f>
        <v>3994364</v>
      </c>
      <c r="S4" s="84">
        <f ca="1">R4/B4</f>
        <v>0.7155793622357578</v>
      </c>
      <c r="T4" s="110">
        <f>SUM(F4:Q4)</f>
        <v>4924697.333333334</v>
      </c>
      <c r="U4" s="67">
        <f>T4/B4</f>
        <v>0.88224602890242454</v>
      </c>
      <c r="V4" s="74">
        <f ca="1">IF(OFFSET($E4,0,$H$1)-$D4&lt;-D4*0.05,OFFSET($E4,0,$H$1)-$D4,0)</f>
        <v>-84264.666666666686</v>
      </c>
      <c r="W4" s="181" t="s">
        <v>286</v>
      </c>
      <c r="X4" s="184">
        <f t="shared" ref="X4:X28" si="0">B4-T4</f>
        <v>657302.66666666605</v>
      </c>
      <c r="Y4" s="154" t="s">
        <v>370</v>
      </c>
    </row>
    <row r="5" spans="1:25" ht="36.9" customHeight="1">
      <c r="A5" s="126" t="s">
        <v>321</v>
      </c>
      <c r="B5" s="149">
        <f>M1細目!C42</f>
        <v>1760760</v>
      </c>
      <c r="C5" s="127">
        <v>0.05</v>
      </c>
      <c r="D5" s="159">
        <f ca="1">IF(B5&lt;&gt;標準管控值!B5,"請檢查並更正標準管控值預算是否追加?",OFFSET(標準管控值!D5,0,$H$1))</f>
        <v>146730</v>
      </c>
      <c r="E5" s="74">
        <f ca="1">IF(OFFSET($E5,0,$H$1)-$D5&gt;20000,OFFSET($E5,0,$H$1)-$D5,0)</f>
        <v>0</v>
      </c>
      <c r="F5" s="107">
        <f>IF($H$1&gt;=$F$2,M1細目!D42,標準管控值!E5)</f>
        <v>144814</v>
      </c>
      <c r="G5" s="152">
        <f>IF($H$1&gt;=G$2,M1細目!E42,標準管控值!F5)</f>
        <v>144814</v>
      </c>
      <c r="H5" s="152">
        <f>IF($H$1&gt;=$H$2,M1細目!F42,標準管控值!G5)</f>
        <v>144814</v>
      </c>
      <c r="I5" s="152">
        <f>IF($H$1&gt;=I$2,M1細目!G42,標準管控值!H5)</f>
        <v>144814</v>
      </c>
      <c r="J5" s="152">
        <f>IF($H$1&gt;=J$2,M1細目!H42,標準管控值!I5)</f>
        <v>144814</v>
      </c>
      <c r="K5" s="152">
        <f>IF($H$1&gt;=K$2,M1細目!I42,標準管控值!J5)</f>
        <v>144814</v>
      </c>
      <c r="L5" s="152">
        <f>IF($H$1&gt;=L$2,M1細目!J42,標準管控值!K5)</f>
        <v>114432</v>
      </c>
      <c r="M5" s="152">
        <f>IF($H$1&gt;=M$2,M1細目!K42,標準管控值!L5)</f>
        <v>114432</v>
      </c>
      <c r="N5" s="152">
        <f>IF($H$1&gt;=N$2,M1細目!L42,標準管控值!M5)</f>
        <v>114432</v>
      </c>
      <c r="O5" s="152">
        <f>IF($H$1&gt;=O$2,M1細目!M42,標準管控值!N5)</f>
        <v>114432</v>
      </c>
      <c r="P5" s="136">
        <f>IF($H$1&gt;=P$2,M1細目!N42,標準管控值!O5)</f>
        <v>146730</v>
      </c>
      <c r="Q5" s="137">
        <f>IF($H$1&gt;=Q$2,M1細目!O42,標準管控值!P5)</f>
        <v>146730</v>
      </c>
      <c r="R5" s="64">
        <f ca="1">SUM(OFFSET(F5,0,0,1,$H$1))</f>
        <v>1326612</v>
      </c>
      <c r="S5" s="84">
        <f ca="1">R5/B5</f>
        <v>0.75343147277312073</v>
      </c>
      <c r="T5" s="110">
        <f>SUM(F5:Q5)</f>
        <v>1620072</v>
      </c>
      <c r="U5" s="67">
        <f>T5/B5</f>
        <v>0.92009813943978735</v>
      </c>
      <c r="V5" s="104">
        <f ca="1">IF(ABS(OFFSET($E5,0,$H$1)-$D5)&gt;20000,OFFSET($E5,0,$H$1)-$D5,0)</f>
        <v>-32298</v>
      </c>
      <c r="W5" s="181" t="s">
        <v>287</v>
      </c>
      <c r="X5" s="184">
        <f t="shared" si="0"/>
        <v>140688</v>
      </c>
      <c r="Y5" s="154" t="s">
        <v>371</v>
      </c>
    </row>
    <row r="6" spans="1:25" ht="36.9" customHeight="1">
      <c r="A6" s="128" t="s">
        <v>275</v>
      </c>
      <c r="B6" s="111">
        <f>全公司細目!C54</f>
        <v>1486180</v>
      </c>
      <c r="C6" s="127">
        <v>0</v>
      </c>
      <c r="D6" s="159">
        <f ca="1">IF(B6&lt;&gt;標準管控值!B6,"請檢查並更正標準管控值預算是否追加?",OFFSET(標準管控值!D6,0,$H$1))</f>
        <v>123848.33333333333</v>
      </c>
      <c r="E6" s="74">
        <f ca="1">IF(OFFSET($E6,0,$H$1)-$D6&gt;20000,OFFSET($E6,0,$H$1)-$D6,0)</f>
        <v>0</v>
      </c>
      <c r="F6" s="107">
        <f>IF($H$1&gt;=F$2,全公司細目!D54,標準管控值!E6)</f>
        <v>99857</v>
      </c>
      <c r="G6" s="152">
        <f>IF($H$1&gt;=G$2,全公司細目!E54,標準管控值!F6)</f>
        <v>112300</v>
      </c>
      <c r="H6" s="152">
        <f>IF($H$1&gt;=$H$2,全公司細目!F54,標準管控值!G6)</f>
        <v>128664</v>
      </c>
      <c r="I6" s="152">
        <f>IF($H$1&gt;=I$2,全公司細目!G54,標準管控值!H6)</f>
        <v>111398</v>
      </c>
      <c r="J6" s="152">
        <f>IF($H$1&gt;=J$2,全公司細目!H54,標準管控值!I6)</f>
        <v>91866</v>
      </c>
      <c r="K6" s="152">
        <f>IF($H$1&gt;=K$2,全公司細目!I54,標準管控值!J6)</f>
        <v>198626</v>
      </c>
      <c r="L6" s="152">
        <f>IF($H$1&gt;=L$2,全公司細目!J54,標準管控值!K6)</f>
        <v>70911</v>
      </c>
      <c r="M6" s="152">
        <f>IF($H$1&gt;=M$2,全公司細目!K54,標準管控值!L6)</f>
        <v>82656</v>
      </c>
      <c r="N6" s="152">
        <f>IF($H$1&gt;=N$2,全公司細目!L54,標準管控值!M6)</f>
        <v>62897</v>
      </c>
      <c r="O6" s="152">
        <f>IF($H$1&gt;=O$2,全公司細目!M54,標準管控值!N6)</f>
        <v>89185</v>
      </c>
      <c r="P6" s="136">
        <f>IF($H$1&gt;=P$2,全公司細目!N54,標準管控值!O6)</f>
        <v>123848.33333333333</v>
      </c>
      <c r="Q6" s="137">
        <f>IF($H$1&gt;=Q$2,全公司細目!O54,標準管控值!P6)</f>
        <v>123848.33333333333</v>
      </c>
      <c r="R6" s="64">
        <f t="shared" ref="R6:R25" ca="1" si="1">SUM(OFFSET(F6,0,0,1,$H$1))</f>
        <v>1048360</v>
      </c>
      <c r="S6" s="84">
        <f t="shared" ref="S6:S28" ca="1" si="2">R6/B6</f>
        <v>0.70540580548789511</v>
      </c>
      <c r="T6" s="110">
        <f t="shared" ref="T6:T28" si="3">SUM(F6:Q6)</f>
        <v>1296056.6666666665</v>
      </c>
      <c r="U6" s="67">
        <f>T6/B6</f>
        <v>0.87207247215456174</v>
      </c>
      <c r="V6" s="74">
        <f ca="1">IF(OFFSET($E6,0,$H$1)-$D6&lt;-20000,OFFSET($E6,0,$H$1)-$D6,0)</f>
        <v>-34663.333333333328</v>
      </c>
      <c r="W6" s="181" t="s">
        <v>288</v>
      </c>
      <c r="X6" s="184">
        <f t="shared" si="0"/>
        <v>190123.33333333349</v>
      </c>
    </row>
    <row r="7" spans="1:25" ht="36.9" customHeight="1">
      <c r="A7" s="126" t="s">
        <v>239</v>
      </c>
      <c r="B7" s="111">
        <f>全公司細目!C55</f>
        <v>476580</v>
      </c>
      <c r="C7" s="127">
        <v>0.05</v>
      </c>
      <c r="D7" s="159">
        <f ca="1">IF(B7&lt;&gt;標準管控值!B7,"請檢查並更正標準管控值預算是否追加?",OFFSET(標準管控值!D7,0,$H$1))</f>
        <v>33048.333333333336</v>
      </c>
      <c r="E7" s="74">
        <f ca="1">IF(OFFSET($E7,0,$H$1)-$D7&gt;20000,OFFSET($E7,0,$H$1)-$D7,0)</f>
        <v>0</v>
      </c>
      <c r="F7" s="107">
        <f>IF($H$1&gt;=F$2,全公司細目!D55,標準管控值!E7)</f>
        <v>73056</v>
      </c>
      <c r="G7" s="152">
        <f>IF($H$1&gt;=G$2,全公司細目!E55,標準管控值!F7)</f>
        <v>44020</v>
      </c>
      <c r="H7" s="152">
        <f>IF($H$1&gt;=$H$2,全公司細目!F55,標準管控值!G7)</f>
        <v>85184</v>
      </c>
      <c r="I7" s="152">
        <f>IF($H$1&gt;=I$2,全公司細目!G55,標準管控值!H7)</f>
        <v>1400</v>
      </c>
      <c r="J7" s="152">
        <f>IF($H$1&gt;=J$2,全公司細目!H55,標準管控值!I7)</f>
        <v>85362</v>
      </c>
      <c r="K7" s="152">
        <f>IF($H$1&gt;=K$2,全公司細目!I55,標準管控值!J7)</f>
        <v>0</v>
      </c>
      <c r="L7" s="152">
        <f>IF($H$1&gt;=L$2,全公司細目!J55,標準管控值!K7)</f>
        <v>0</v>
      </c>
      <c r="M7" s="152">
        <f>IF($H$1&gt;=M$2,全公司細目!K55,標準管控值!L7)</f>
        <v>1886</v>
      </c>
      <c r="N7" s="152">
        <f>IF($H$1&gt;=N$2,全公司細目!L55,標準管控值!M7)</f>
        <v>0</v>
      </c>
      <c r="O7" s="152">
        <f>IF($H$1&gt;=O$2,全公司細目!M55,標準管控值!N7)</f>
        <v>39600</v>
      </c>
      <c r="P7" s="136">
        <f>IF($H$1&gt;=P$2,全公司細目!N55,標準管控值!O7)</f>
        <v>33048.333333333336</v>
      </c>
      <c r="Q7" s="137">
        <f>IF($H$1&gt;=Q$2,全公司細目!O55,標準管控值!P7)</f>
        <v>33048.333333333336</v>
      </c>
      <c r="R7" s="64">
        <f t="shared" ca="1" si="1"/>
        <v>330508</v>
      </c>
      <c r="S7" s="84">
        <f t="shared" ca="1" si="2"/>
        <v>0.69349951739477111</v>
      </c>
      <c r="T7" s="125">
        <f t="shared" si="3"/>
        <v>396604.66666666663</v>
      </c>
      <c r="U7" s="67">
        <f>T7/B7</f>
        <v>0.83218906934127879</v>
      </c>
      <c r="V7" s="74">
        <f ca="1">IF(OFFSET($E7,0,$H$1)-$D7&lt;-20000,OFFSET($E7,0,$H$1)-$D7,0)</f>
        <v>0</v>
      </c>
      <c r="W7" s="181" t="s">
        <v>289</v>
      </c>
      <c r="X7" s="184">
        <f t="shared" si="0"/>
        <v>79975.333333333372</v>
      </c>
    </row>
    <row r="8" spans="1:25" ht="36.9" customHeight="1">
      <c r="A8" s="190" t="s">
        <v>240</v>
      </c>
      <c r="B8" s="111">
        <f>全公司細目!C56</f>
        <v>191760</v>
      </c>
      <c r="C8" s="127">
        <v>0.05</v>
      </c>
      <c r="D8" s="159">
        <f ca="1">IF(B8&lt;&gt;標準管控值!B8,"請檢查並更正標準管控值預算是否追加?",OFFSET(標準管控值!D8,0,$H$1))</f>
        <v>8480</v>
      </c>
      <c r="E8" s="188">
        <f ca="1">IF(OFFSET($E8,0,$H$1)-$D8 &gt;10000,OFFSET($E8,0,$H$1)-$D8,0)</f>
        <v>40187</v>
      </c>
      <c r="F8" s="107">
        <f>IF($H$1&gt;=F$2,全公司細目!D56,標準管控值!E8)</f>
        <v>1700</v>
      </c>
      <c r="G8" s="152">
        <f>IF($H$1&gt;=G$2,全公司細目!E56,標準管控值!F8)</f>
        <v>670</v>
      </c>
      <c r="H8" s="152">
        <f>IF($H$1&gt;=$H$2,全公司細目!F56,標準管控值!G8)</f>
        <v>1400</v>
      </c>
      <c r="I8" s="152">
        <f>IF($H$1&gt;=I$2,全公司細目!G56,標準管控值!H8)</f>
        <v>22556</v>
      </c>
      <c r="J8" s="152">
        <f>IF($H$1&gt;=J$2,全公司細目!H56,標準管控值!I8)</f>
        <v>11800</v>
      </c>
      <c r="K8" s="152">
        <f>IF($H$1&gt;=K$2,全公司細目!I56,標準管控值!J8)</f>
        <v>6189</v>
      </c>
      <c r="L8" s="152">
        <f>IF($H$1&gt;=L$2,全公司細目!J56,標準管控值!K8)</f>
        <v>6069</v>
      </c>
      <c r="M8" s="152">
        <f>IF($H$1&gt;=M$2,全公司細目!K56,標準管控值!L8)</f>
        <v>6255</v>
      </c>
      <c r="N8" s="152">
        <f>IF($H$1&gt;=N$2,全公司細目!L56,標準管控值!M8)</f>
        <v>18959</v>
      </c>
      <c r="O8" s="189">
        <f>IF($H$1&gt;=O$2,全公司細目!M56,標準管控值!N8)</f>
        <v>48667</v>
      </c>
      <c r="P8" s="136">
        <f>IF($H$1&gt;=P$2,全公司細目!N56,標準管控值!O8)</f>
        <v>8480</v>
      </c>
      <c r="Q8" s="137">
        <f>IF($H$1&gt;=Q$2,全公司細目!O56,標準管控值!P8)</f>
        <v>8480</v>
      </c>
      <c r="R8" s="64">
        <f t="shared" ca="1" si="1"/>
        <v>124265</v>
      </c>
      <c r="S8" s="84">
        <f t="shared" ca="1" si="2"/>
        <v>0.64802357113057985</v>
      </c>
      <c r="T8" s="110">
        <f t="shared" si="3"/>
        <v>141225</v>
      </c>
      <c r="U8" s="67">
        <f t="shared" ref="U8:U27" si="4">T8/B8</f>
        <v>0.73646745932415525</v>
      </c>
      <c r="V8" s="74">
        <f t="shared" ref="V8:V11" ca="1" si="5">IF(OFFSET($E8,0,$H$1)-$D8&lt;-20000,OFFSET($E8,0,$H$1)-$D8,0)</f>
        <v>0</v>
      </c>
      <c r="W8" s="181" t="s">
        <v>290</v>
      </c>
      <c r="X8" s="184">
        <f t="shared" si="0"/>
        <v>50535</v>
      </c>
    </row>
    <row r="9" spans="1:25" ht="36.9" customHeight="1">
      <c r="A9" s="128" t="s">
        <v>241</v>
      </c>
      <c r="B9" s="111">
        <f>全公司細目!C58</f>
        <v>101300</v>
      </c>
      <c r="C9" s="127">
        <v>0.05</v>
      </c>
      <c r="D9" s="159">
        <f ca="1">IF(B9&lt;&gt;標準管控值!B9,"請檢查並更正標準管控值預算是否追加?",OFFSET(標準管控值!D9,0,$H$1))</f>
        <v>8441.6666666666661</v>
      </c>
      <c r="E9" s="74">
        <f t="shared" ref="E9:E28" ca="1" si="6">IF(OFFSET($E9,0,$H$1)-$D9&gt;20000,OFFSET($E9,0,$H$1)-$D9,0)</f>
        <v>0</v>
      </c>
      <c r="F9" s="107">
        <f>IF($H$1&gt;=F$2,全公司細目!D58,標準管控值!E9)</f>
        <v>0</v>
      </c>
      <c r="G9" s="152">
        <f>IF($H$1&gt;=G$2,全公司細目!E58,標準管控值!F9)</f>
        <v>0</v>
      </c>
      <c r="H9" s="152">
        <f>IF($H$1&gt;=$H$2,全公司細目!F58,標準管控值!G9)</f>
        <v>0</v>
      </c>
      <c r="I9" s="152">
        <f>IF($H$1&gt;=I$2,全公司細目!G58,標準管控值!H9)</f>
        <v>190</v>
      </c>
      <c r="J9" s="152">
        <f>IF($H$1&gt;=J$2,全公司細目!H58,標準管控值!I9)</f>
        <v>238</v>
      </c>
      <c r="K9" s="152">
        <f>IF($H$1&gt;=K$2,全公司細目!I58,標準管控值!J9)</f>
        <v>42875</v>
      </c>
      <c r="L9" s="152">
        <f>IF($H$1&gt;=L$2,全公司細目!J58,標準管控值!K9)</f>
        <v>0</v>
      </c>
      <c r="M9" s="152">
        <f>IF($H$1&gt;=M$2,全公司細目!K58,標準管控值!L9)</f>
        <v>2238</v>
      </c>
      <c r="N9" s="152">
        <f>IF($H$1&gt;=N$2,全公司細目!L58,標準管控值!M9)</f>
        <v>0</v>
      </c>
      <c r="O9" s="152">
        <f>IF($H$1&gt;=O$2,全公司細目!M58,標準管控值!N9)</f>
        <v>0</v>
      </c>
      <c r="P9" s="136">
        <f>IF($H$1&gt;=P$2,全公司細目!N58,標準管控值!O9)</f>
        <v>8441.6666666666661</v>
      </c>
      <c r="Q9" s="137">
        <f>IF($H$1&gt;=Q$2,全公司細目!O58,標準管控值!P9)</f>
        <v>8441.6666666666661</v>
      </c>
      <c r="R9" s="64">
        <f t="shared" ca="1" si="1"/>
        <v>45541</v>
      </c>
      <c r="S9" s="84">
        <f t="shared" ca="1" si="2"/>
        <v>0.44956564659427445</v>
      </c>
      <c r="T9" s="110">
        <f t="shared" si="3"/>
        <v>62424.333333333328</v>
      </c>
      <c r="U9" s="67">
        <f t="shared" si="4"/>
        <v>0.61623231326094108</v>
      </c>
      <c r="V9" s="74">
        <f t="shared" ca="1" si="5"/>
        <v>0</v>
      </c>
      <c r="W9" s="181" t="s">
        <v>291</v>
      </c>
      <c r="X9" s="184">
        <f t="shared" si="0"/>
        <v>38875.666666666672</v>
      </c>
    </row>
    <row r="10" spans="1:25" ht="36.9" customHeight="1">
      <c r="A10" s="128" t="s">
        <v>242</v>
      </c>
      <c r="B10" s="111">
        <f>全公司細目!C62</f>
        <v>44180</v>
      </c>
      <c r="C10" s="127">
        <v>0.05</v>
      </c>
      <c r="D10" s="159">
        <f ca="1">IF(B10&lt;&gt;標準管控值!B10,"請檢查並更正標準管控值預算是否追加?",OFFSET(標準管控值!D10,0,$H$1))</f>
        <v>3681.6666666666665</v>
      </c>
      <c r="E10" s="74">
        <f t="shared" ca="1" si="6"/>
        <v>0</v>
      </c>
      <c r="F10" s="107">
        <f>IF($H$1&gt;=F$2,全公司細目!D62,標準管控值!E10)</f>
        <v>3997</v>
      </c>
      <c r="G10" s="152">
        <f>IF($H$1&gt;=G$2,全公司細目!E62,標準管控值!F10)</f>
        <v>1371</v>
      </c>
      <c r="H10" s="152">
        <f>IF($H$1&gt;=$H$2,全公司細目!F62,標準管控值!G10)</f>
        <v>0</v>
      </c>
      <c r="I10" s="152">
        <f>IF($H$1&gt;=I$2,全公司細目!G62,標準管控值!H10)</f>
        <v>0</v>
      </c>
      <c r="J10" s="152">
        <f>IF($H$1&gt;=J$2,全公司細目!H62,標準管控值!I10)</f>
        <v>948</v>
      </c>
      <c r="K10" s="152">
        <f>IF($H$1&gt;=K$2,全公司細目!I62,標準管控值!J10)</f>
        <v>0</v>
      </c>
      <c r="L10" s="152">
        <f>IF($H$1&gt;=L$2,全公司細目!J62,標準管控值!K10)</f>
        <v>381</v>
      </c>
      <c r="M10" s="152">
        <f>IF($H$1&gt;=M$2,全公司細目!K62,標準管控值!L10)</f>
        <v>0</v>
      </c>
      <c r="N10" s="152">
        <f>IF($H$1&gt;=N$2,全公司細目!L62,標準管控值!M10)</f>
        <v>380</v>
      </c>
      <c r="O10" s="152">
        <f>IF($H$1&gt;=O$2,全公司細目!M62,標準管控值!N10)</f>
        <v>2475</v>
      </c>
      <c r="P10" s="136">
        <f>IF($H$1&gt;=P$2,全公司細目!N62,標準管控值!O10)</f>
        <v>3681.6666666666665</v>
      </c>
      <c r="Q10" s="137">
        <f>IF($H$1&gt;=Q$2,全公司細目!O62,標準管控值!P10)</f>
        <v>3681.6666666666665</v>
      </c>
      <c r="R10" s="64">
        <f t="shared" ca="1" si="1"/>
        <v>9552</v>
      </c>
      <c r="S10" s="84">
        <f t="shared" ca="1" si="2"/>
        <v>0.21620642824807607</v>
      </c>
      <c r="T10" s="110">
        <f t="shared" si="3"/>
        <v>16915.333333333332</v>
      </c>
      <c r="U10" s="67">
        <f t="shared" si="4"/>
        <v>0.3828730949147427</v>
      </c>
      <c r="V10" s="74">
        <f t="shared" ca="1" si="5"/>
        <v>0</v>
      </c>
      <c r="W10" s="181" t="s">
        <v>292</v>
      </c>
      <c r="X10" s="184">
        <f t="shared" si="0"/>
        <v>27264.666666666668</v>
      </c>
    </row>
    <row r="11" spans="1:25" ht="36.9" customHeight="1">
      <c r="A11" s="190" t="s">
        <v>243</v>
      </c>
      <c r="B11" s="111">
        <f>全公司細目!C64</f>
        <v>6851060</v>
      </c>
      <c r="C11" s="127">
        <v>0.05</v>
      </c>
      <c r="D11" s="159">
        <f ca="1">IF(B11&lt;&gt;標準管控值!B11,"請檢查並更正標準管控值預算是否追加?",OFFSET(標準管控值!D11,0,$H$1))</f>
        <v>2808741.6666666665</v>
      </c>
      <c r="E11" s="74">
        <f t="shared" ca="1" si="6"/>
        <v>0</v>
      </c>
      <c r="F11" s="107">
        <f>IF($H$1&gt;=F$2,全公司細目!D64,標準管控值!E11)</f>
        <v>111990</v>
      </c>
      <c r="G11" s="152">
        <f>IF($H$1&gt;=G$2,全公司細目!E64,標準管控值!F11)</f>
        <v>34447</v>
      </c>
      <c r="H11" s="152">
        <f>IF($H$1&gt;=$H$2,全公司細目!F64,標準管控值!G11)</f>
        <v>203024</v>
      </c>
      <c r="I11" s="152">
        <f>IF($H$1&gt;=I$2,全公司細目!G64,標準管控值!H11)</f>
        <v>1420913</v>
      </c>
      <c r="J11" s="152">
        <f>IF($H$1&gt;=J$2,全公司細目!H64,標準管控值!I11)</f>
        <v>335138</v>
      </c>
      <c r="K11" s="152">
        <f>IF($H$1&gt;=K$2,全公司細目!I64,標準管控值!J11)</f>
        <v>44605</v>
      </c>
      <c r="L11" s="152">
        <f>IF($H$1&gt;=L$2,全公司細目!J64,標準管控值!K11)</f>
        <v>216038</v>
      </c>
      <c r="M11" s="152">
        <f>IF($H$1&gt;=M$2,全公司細目!K64,標準管控值!L11)</f>
        <v>36855</v>
      </c>
      <c r="N11" s="152">
        <f>IF($H$1&gt;=N$2,全公司細目!L64,標準管控值!M11)</f>
        <v>140318</v>
      </c>
      <c r="O11" s="191">
        <f>IF($H$1&gt;=O$2,全公司細目!M64,標準管控值!N11)</f>
        <v>996059</v>
      </c>
      <c r="P11" s="136">
        <f>IF($H$1&gt;=P$2,全公司細目!N64,標準管控值!O11)</f>
        <v>139301.66666666666</v>
      </c>
      <c r="Q11" s="137">
        <f>IF($H$1&gt;=Q$2,全公司細目!O64,標準管控值!P11)</f>
        <v>139301.66666666666</v>
      </c>
      <c r="R11" s="64">
        <f t="shared" ca="1" si="1"/>
        <v>3539387</v>
      </c>
      <c r="S11" s="84">
        <f t="shared" ca="1" si="2"/>
        <v>0.51661888817204926</v>
      </c>
      <c r="T11" s="110">
        <f t="shared" si="3"/>
        <v>3817990.333333333</v>
      </c>
      <c r="U11" s="67">
        <f t="shared" si="4"/>
        <v>0.55728461483819047</v>
      </c>
      <c r="V11" s="74">
        <f t="shared" ca="1" si="5"/>
        <v>-1812682.6666666665</v>
      </c>
      <c r="W11" s="182" t="s">
        <v>293</v>
      </c>
      <c r="X11" s="184">
        <f t="shared" si="0"/>
        <v>3033069.666666667</v>
      </c>
      <c r="Y11" s="154" t="s">
        <v>374</v>
      </c>
    </row>
    <row r="12" spans="1:25" ht="36.9" customHeight="1">
      <c r="A12" s="128" t="s">
        <v>244</v>
      </c>
      <c r="B12" s="111">
        <f>全公司細目!C65</f>
        <v>587040</v>
      </c>
      <c r="C12" s="127">
        <v>0.05</v>
      </c>
      <c r="D12" s="159">
        <f ca="1">IF(B12&lt;&gt;標準管控值!B12,"請檢查並更正標準管控值預算是否追加?",OFFSET(標準管控值!D12,0,$H$1))</f>
        <v>33920</v>
      </c>
      <c r="E12" s="74">
        <f ca="1">IF(OFFSET($E12,0,$H$1)-$D12&gt;10000,OFFSET($E12,0,$H$1)-$D12,0)</f>
        <v>0</v>
      </c>
      <c r="F12" s="107">
        <f>IF($H$1&gt;=F$2,全公司細目!D65,標準管控值!E12)</f>
        <v>109390</v>
      </c>
      <c r="G12" s="152">
        <f>IF($H$1&gt;=G$2,全公司細目!E65,標準管控值!F12)</f>
        <v>14715</v>
      </c>
      <c r="H12" s="152">
        <f>IF($H$1&gt;=$H$2,全公司細目!F65,標準管控值!G12)</f>
        <v>16910</v>
      </c>
      <c r="I12" s="152">
        <f>IF($H$1&gt;=I$2,全公司細目!G65,標準管控值!H12)</f>
        <v>29201</v>
      </c>
      <c r="J12" s="152">
        <f>IF($H$1&gt;=J$2,全公司細目!H65,標準管控值!I12)</f>
        <v>24178</v>
      </c>
      <c r="K12" s="152">
        <f>IF($H$1&gt;=K$2,全公司細目!I65,標準管控值!J12)</f>
        <v>66600</v>
      </c>
      <c r="L12" s="152">
        <f>IF($H$1&gt;=L$2,全公司細目!J65,標準管控值!K12)</f>
        <v>28432</v>
      </c>
      <c r="M12" s="152">
        <f>IF($H$1&gt;=M$2,全公司細目!K65,標準管控值!L12)</f>
        <v>18278</v>
      </c>
      <c r="N12" s="152">
        <f>IF($H$1&gt;=N$2,全公司細目!L65,標準管控值!M12)</f>
        <v>28845</v>
      </c>
      <c r="O12" s="152">
        <f>IF($H$1&gt;=O$2,全公司細目!M65,標準管控值!N12)</f>
        <v>32738</v>
      </c>
      <c r="P12" s="136">
        <f>IF($H$1&gt;=P$2,全公司細目!N65,標準管控值!O12)</f>
        <v>33920</v>
      </c>
      <c r="Q12" s="137">
        <f>IF($H$1&gt;=Q$2,全公司細目!O65,標準管控值!P12)</f>
        <v>33920</v>
      </c>
      <c r="R12" s="64">
        <f t="shared" ca="1" si="1"/>
        <v>369287</v>
      </c>
      <c r="S12" s="84">
        <f t="shared" ca="1" si="2"/>
        <v>0.62906616244208235</v>
      </c>
      <c r="T12" s="110">
        <f t="shared" si="3"/>
        <v>437127</v>
      </c>
      <c r="U12" s="67">
        <f t="shared" si="4"/>
        <v>0.7446289860997547</v>
      </c>
      <c r="V12" s="74">
        <f ca="1">IF(OFFSET($E12,0,$H$1)-$D12&lt;-10000,OFFSET($E12,0,$H$1)-$D12,0)</f>
        <v>0</v>
      </c>
      <c r="W12" s="181" t="s">
        <v>294</v>
      </c>
      <c r="X12" s="184">
        <f t="shared" si="0"/>
        <v>149913</v>
      </c>
    </row>
    <row r="13" spans="1:25" ht="36.9" customHeight="1">
      <c r="A13" s="128" t="s">
        <v>258</v>
      </c>
      <c r="B13" s="111">
        <f>全公司細目!C70</f>
        <v>479400</v>
      </c>
      <c r="C13" s="127">
        <v>0.05</v>
      </c>
      <c r="D13" s="159">
        <f ca="1">IF(B13&lt;&gt;標準管控值!B13,"請檢查並更正標準管控值預算是否追加?",OFFSET(標準管控值!D13,0,$H$1))</f>
        <v>39950</v>
      </c>
      <c r="E13" s="74">
        <f ca="1">IF(OFFSET($E13,0,$H$1)-$D13&gt;10000,OFFSET($E13,0,$H$1)-$D13,0)</f>
        <v>0</v>
      </c>
      <c r="F13" s="107">
        <f>IF($H$1&gt;=F$2,全公司細目!D70,標準管控值!E13)</f>
        <v>35486</v>
      </c>
      <c r="G13" s="152">
        <f>IF($H$1&gt;=G$2,全公司細目!E70,標準管控值!F13)</f>
        <v>37746</v>
      </c>
      <c r="H13" s="152">
        <f>IF($H$1&gt;=$H$2,全公司細目!F70,標準管控值!G13)</f>
        <v>51065</v>
      </c>
      <c r="I13" s="152">
        <f>IF($H$1&gt;=I$2,全公司細目!G70,標準管控值!H13)</f>
        <v>22349</v>
      </c>
      <c r="J13" s="152">
        <f>IF($H$1&gt;=J$2,全公司細目!H70,標準管控值!I13)</f>
        <v>20227</v>
      </c>
      <c r="K13" s="152">
        <f>IF($H$1&gt;=K$2,全公司細目!I70,標準管控值!J13)</f>
        <v>21930</v>
      </c>
      <c r="L13" s="152">
        <f>IF($H$1&gt;=L$2,全公司細目!J70,標準管控值!K13)</f>
        <v>23457</v>
      </c>
      <c r="M13" s="152">
        <f>IF($H$1&gt;=M$2,全公司細目!K70,標準管控值!L13)</f>
        <v>17628</v>
      </c>
      <c r="N13" s="152">
        <f>IF($H$1&gt;=N$2,全公司細目!L70,標準管控值!M13)</f>
        <v>20542</v>
      </c>
      <c r="O13" s="152">
        <f>IF($H$1&gt;=O$2,全公司細目!M70,標準管控值!N13)</f>
        <v>37791</v>
      </c>
      <c r="P13" s="136">
        <f>IF($H$1&gt;=P$2,全公司細目!N70,標準管控值!O13)</f>
        <v>39950</v>
      </c>
      <c r="Q13" s="137">
        <f>IF($H$1&gt;=Q$2,全公司細目!O70,標準管控值!P13)</f>
        <v>39950</v>
      </c>
      <c r="R13" s="64">
        <f t="shared" ca="1" si="1"/>
        <v>288221</v>
      </c>
      <c r="S13" s="84">
        <f t="shared" ca="1" si="2"/>
        <v>0.60121193158114306</v>
      </c>
      <c r="T13" s="110">
        <f t="shared" si="3"/>
        <v>368121</v>
      </c>
      <c r="U13" s="67">
        <f t="shared" si="4"/>
        <v>0.7678785982478098</v>
      </c>
      <c r="V13" s="74">
        <f ca="1">IF(OFFSET($E13,0,$H$1)-$D13&lt;-10000,OFFSET($E13,0,$H$1)-$D13,0)</f>
        <v>0</v>
      </c>
      <c r="W13" s="181" t="s">
        <v>295</v>
      </c>
      <c r="X13" s="184">
        <f t="shared" si="0"/>
        <v>111279</v>
      </c>
    </row>
    <row r="14" spans="1:25" ht="36.9" customHeight="1">
      <c r="A14" s="126" t="s">
        <v>259</v>
      </c>
      <c r="B14" s="111">
        <f>全公司細目!C71</f>
        <v>2454340</v>
      </c>
      <c r="C14" s="127">
        <v>0.05</v>
      </c>
      <c r="D14" s="159">
        <f ca="1">IF(B14&lt;&gt;標準管控值!B14,"請檢查並更正標準管控值預算是否追加?",OFFSET(標準管控值!D14,0,$H$1))</f>
        <v>204528.33333333334</v>
      </c>
      <c r="E14" s="74">
        <f ca="1">IF(OFFSET($E14,0,$H$1)-$D14&gt;10000,OFFSET($E14,0,$H$1)-$D14,0)</f>
        <v>0</v>
      </c>
      <c r="F14" s="107">
        <f>IF($H$1&gt;=F$2,全公司細目!D71,標準管控值!E14)</f>
        <v>207894</v>
      </c>
      <c r="G14" s="152">
        <f>IF($H$1&gt;=G$2,全公司細目!E71,標準管控值!F14)</f>
        <v>206669</v>
      </c>
      <c r="H14" s="152">
        <f>IF($H$1&gt;=$H$2,全公司細目!F71,標準管控值!G14)</f>
        <v>223243</v>
      </c>
      <c r="I14" s="152">
        <f>IF($H$1&gt;=I$2,全公司細目!G71,標準管控值!H14)</f>
        <v>211653</v>
      </c>
      <c r="J14" s="152">
        <f>IF($H$1&gt;=J$2,全公司細目!H71,標準管控值!I14)</f>
        <v>212237</v>
      </c>
      <c r="K14" s="152">
        <f>IF($H$1&gt;=K$2,全公司細目!I71,標準管控值!J14)</f>
        <v>214821</v>
      </c>
      <c r="L14" s="152">
        <f>IF($H$1&gt;=L$2,全公司細目!J71,標準管控值!K14)</f>
        <v>212638</v>
      </c>
      <c r="M14" s="152">
        <f>IF($H$1&gt;=M$2,全公司細目!K71,標準管控值!L14)</f>
        <v>216066</v>
      </c>
      <c r="N14" s="152">
        <f>IF($H$1&gt;=N$2,全公司細目!L71,標準管控值!M14)</f>
        <v>249751</v>
      </c>
      <c r="O14" s="152">
        <f>IF($H$1&gt;=O$2,全公司細目!M71,標準管控值!N14)</f>
        <v>214303</v>
      </c>
      <c r="P14" s="136">
        <f>IF($H$1&gt;=P$2,全公司細目!N71,標準管控值!O14)</f>
        <v>204528.33333333334</v>
      </c>
      <c r="Q14" s="137">
        <f>IF($H$1&gt;=Q$2,全公司細目!O71,標準管控值!P14)</f>
        <v>204528.33333333334</v>
      </c>
      <c r="R14" s="64">
        <f t="shared" ca="1" si="1"/>
        <v>2169275</v>
      </c>
      <c r="S14" s="84">
        <f t="shared" ca="1" si="2"/>
        <v>0.88385268544700413</v>
      </c>
      <c r="T14" s="110">
        <f t="shared" si="3"/>
        <v>2578331.666666667</v>
      </c>
      <c r="U14" s="193">
        <f t="shared" si="4"/>
        <v>1.0505193521136709</v>
      </c>
      <c r="V14" s="74"/>
      <c r="W14" s="181" t="s">
        <v>296</v>
      </c>
      <c r="X14" s="184">
        <f t="shared" si="0"/>
        <v>-123991.66666666698</v>
      </c>
    </row>
    <row r="15" spans="1:25" ht="36.9" customHeight="1">
      <c r="A15" s="128" t="s">
        <v>346</v>
      </c>
      <c r="B15" s="149">
        <f>M1細目!C72</f>
        <v>740000</v>
      </c>
      <c r="C15" s="127">
        <v>0.05</v>
      </c>
      <c r="D15" s="159">
        <f ca="1">IF(B15&lt;&gt;標準管控值!B15,"請檢查並更正標準管控值預算是否追加?",OFFSET(標準管控值!D15,0,$H$1))</f>
        <v>76054.321988556112</v>
      </c>
      <c r="E15" s="74">
        <f ca="1">IF(OFFSET($E15,0,$H$1)-$D15&gt;10000,OFFSET($E15,0,$H$1)-$D15,0)</f>
        <v>0</v>
      </c>
      <c r="F15" s="107">
        <f>IF($H$1&gt;=F$2,M1細目!D72,標準管控值!E15)</f>
        <v>39761</v>
      </c>
      <c r="G15" s="152">
        <f>IF($H$1&gt;=G$2,M1細目!E72,標準管控值!F15)</f>
        <v>54853</v>
      </c>
      <c r="H15" s="152">
        <f>IF($H$1&gt;=$H$2,M1細目!F72,標準管控值!G15)</f>
        <v>35490</v>
      </c>
      <c r="I15" s="152">
        <f>IF($H$1&gt;=I$2,M1細目!G72,標準管控值!H15)</f>
        <v>50948</v>
      </c>
      <c r="J15" s="152">
        <f>IF($H$1&gt;=J$2,M1細目!H72,標準管控值!I15)</f>
        <v>45899</v>
      </c>
      <c r="K15" s="152">
        <f>IF($H$1&gt;=K$2,M1細目!I72,標準管控值!J15)</f>
        <v>36813</v>
      </c>
      <c r="L15" s="152">
        <f>IF($H$1&gt;=L$2,M1細目!J72,標準管控值!K15)</f>
        <v>45258</v>
      </c>
      <c r="M15" s="152">
        <f>IF($H$1&gt;=M$2,M1細目!K72,標準管控值!L15)</f>
        <v>49707</v>
      </c>
      <c r="N15" s="152">
        <f>IF($H$1&gt;=N$2,M1細目!L72,標準管控值!M15)</f>
        <v>58689</v>
      </c>
      <c r="O15" s="152">
        <f>IF($H$1&gt;=O$2,M1細目!M72,標準管控值!N15)</f>
        <v>44521</v>
      </c>
      <c r="P15" s="136">
        <f>IF($H$1&gt;=P$2,M1細目!N72,標準管控值!O15)</f>
        <v>70391.925377919091</v>
      </c>
      <c r="Q15" s="137">
        <f>IF($H$1&gt;=Q$2,M1細目!O72,標準管控值!P15)</f>
        <v>53031.074855965999</v>
      </c>
      <c r="R15" s="64">
        <f ca="1">SUM(OFFSET(F15,0,0,1,$H$1))</f>
        <v>461939</v>
      </c>
      <c r="S15" s="84">
        <f ca="1">R15/B15</f>
        <v>0.62424189189189194</v>
      </c>
      <c r="T15" s="110">
        <f>SUM(F15:Q15)</f>
        <v>585362.00023388513</v>
      </c>
      <c r="U15" s="67">
        <f>T15/B15</f>
        <v>0.79102973004579069</v>
      </c>
      <c r="V15" s="74">
        <f ca="1">IF(OFFSET($E15,0,$H$1)-$D15&lt;-10000,OFFSET($E15,0,$H$1)-$D15,0)</f>
        <v>-31533.321988556112</v>
      </c>
      <c r="W15" s="181" t="s">
        <v>297</v>
      </c>
      <c r="X15" s="184">
        <f t="shared" si="0"/>
        <v>154637.99976611487</v>
      </c>
    </row>
    <row r="16" spans="1:25" ht="36.9" customHeight="1">
      <c r="A16" s="128" t="s">
        <v>347</v>
      </c>
      <c r="B16" s="149">
        <f>M1細目!C73</f>
        <v>4928000</v>
      </c>
      <c r="C16" s="127">
        <v>0.05</v>
      </c>
      <c r="D16" s="159">
        <f ca="1">IF(B16&lt;&gt;標準管控值!B16,"請檢查並更正標準管控值預算是否追加?",OFFSET(標準管控值!D16,0,$H$1))</f>
        <v>400721.9568831306</v>
      </c>
      <c r="E16" s="74">
        <f ca="1">IF(OFFSET($E16,0,$H$1)-$D16&gt;D16*0.05,OFFSET($E16,0,$H$1)-$D16,0)</f>
        <v>0</v>
      </c>
      <c r="F16" s="107">
        <f>IF($H$1&gt;=F$2,M1細目!D73,標準管控值!E16)</f>
        <v>292605</v>
      </c>
      <c r="G16" s="152">
        <f>IF($H$1&gt;=G$2,M1細目!E73,標準管控值!F16)</f>
        <v>257678</v>
      </c>
      <c r="H16" s="152">
        <f>IF($H$1&gt;=$H$2,M1細目!F73,標準管控值!G16)</f>
        <v>295580</v>
      </c>
      <c r="I16" s="152">
        <f>IF($H$1&gt;=I$2,M1細目!G73,標準管控值!H16)</f>
        <v>326458</v>
      </c>
      <c r="J16" s="152">
        <f>IF($H$1&gt;=J$2,M1細目!H73,標準管控值!I16)</f>
        <v>363193</v>
      </c>
      <c r="K16" s="152">
        <f>IF($H$1&gt;=K$2,M1細目!I73,標準管控值!J16)</f>
        <v>314600</v>
      </c>
      <c r="L16" s="152">
        <f>IF($H$1&gt;=L$2,M1細目!J73,標準管控值!K16)</f>
        <v>394417</v>
      </c>
      <c r="M16" s="152">
        <f>IF($H$1&gt;=M$2,M1細目!K73,標準管控值!L16)</f>
        <v>397010</v>
      </c>
      <c r="N16" s="152">
        <f>IF($H$1&gt;=N$2,M1細目!L73,標準管控值!M16)</f>
        <v>402943</v>
      </c>
      <c r="O16" s="152">
        <f>IF($H$1&gt;=O$2,M1細目!M73,標準管控值!N16)</f>
        <v>382833</v>
      </c>
      <c r="P16" s="136">
        <f>IF($H$1&gt;=P$2,M1細目!N73,標準管控值!O16)</f>
        <v>376986.77995619702</v>
      </c>
      <c r="Q16" s="137">
        <f>IF($H$1&gt;=Q$2,M1細目!O73,標準管控值!P16)</f>
        <v>328543.47309813445</v>
      </c>
      <c r="R16" s="64">
        <f ca="1">SUM(OFFSET(F16,0,0,1,$H$1))</f>
        <v>3427317</v>
      </c>
      <c r="S16" s="84">
        <f ca="1">R16/B16</f>
        <v>0.69547828733766237</v>
      </c>
      <c r="T16" s="110">
        <f>SUM(F16:Q16)</f>
        <v>4132847.2530543315</v>
      </c>
      <c r="U16" s="67">
        <f>T16/B16</f>
        <v>0.83864595232433681</v>
      </c>
      <c r="V16" s="74">
        <f ca="1">IF(OFFSET($E16,0,$H$1)-$D16&lt;-U16*0.05,OFFSET($E16,0,$H$1)-$D16,0)</f>
        <v>-17888.956883130595</v>
      </c>
      <c r="W16" s="181" t="s">
        <v>298</v>
      </c>
      <c r="X16" s="184">
        <f t="shared" si="0"/>
        <v>795152.74694566848</v>
      </c>
      <c r="Y16" s="154" t="s">
        <v>372</v>
      </c>
    </row>
    <row r="17" spans="1:25" ht="36.9" customHeight="1">
      <c r="A17" s="126" t="s">
        <v>260</v>
      </c>
      <c r="B17" s="129">
        <f>全公司細目!C74</f>
        <v>2194340</v>
      </c>
      <c r="C17" s="127">
        <v>0.05</v>
      </c>
      <c r="D17" s="159">
        <f ca="1">IF(B17&lt;&gt;標準管控值!B17,"請檢查並更正標準管控值預算是否追加?",OFFSET(標準管控值!D17,0,$H$1))</f>
        <v>182861.66666666666</v>
      </c>
      <c r="E17" s="74">
        <f ca="1">IF(OFFSET($E17,0,$H$1)-$D17&gt;D17*0.05,OFFSET($E17,0,$H$1)-$D17,0)</f>
        <v>0</v>
      </c>
      <c r="F17" s="107">
        <f>IF($H$1&gt;=F$2,全公司細目!D74,標準管控值!E17)</f>
        <v>141357</v>
      </c>
      <c r="G17" s="152">
        <f>IF($H$1&gt;=G$2,全公司細目!E74,標準管控值!F17)</f>
        <v>124975</v>
      </c>
      <c r="H17" s="152">
        <f>IF($H$1&gt;=$H$2,全公司細目!F74,標準管控值!G17)</f>
        <v>121882</v>
      </c>
      <c r="I17" s="152">
        <f>IF($H$1&gt;=I$2,全公司細目!G74,標準管控值!H17)</f>
        <v>177329</v>
      </c>
      <c r="J17" s="152">
        <f>IF($H$1&gt;=J$2,全公司細目!H74,標準管控值!I17)</f>
        <v>173486</v>
      </c>
      <c r="K17" s="152">
        <f>IF($H$1&gt;=K$2,全公司細目!I74,標準管控值!J17)</f>
        <v>165053</v>
      </c>
      <c r="L17" s="152">
        <f>IF($H$1&gt;=L$2,全公司細目!J74,標準管控值!K17)</f>
        <v>163935</v>
      </c>
      <c r="M17" s="152">
        <f>IF($H$1&gt;=M$2,全公司細目!K74,標準管控值!L17)</f>
        <v>171526</v>
      </c>
      <c r="N17" s="152">
        <f>IF($H$1&gt;=N$2,全公司細目!L74,標準管控值!M17)</f>
        <v>176570</v>
      </c>
      <c r="O17" s="152">
        <f>IF($H$1&gt;=O$2,全公司細目!M74,標準管控值!N17)</f>
        <v>179792</v>
      </c>
      <c r="P17" s="136">
        <f>IF($H$1&gt;=P$2,全公司細目!N74,標準管控值!O17)</f>
        <v>182861.66666666666</v>
      </c>
      <c r="Q17" s="137">
        <f>IF($H$1&gt;=Q$2,全公司細目!O74,標準管控值!P17)</f>
        <v>182861.66666666666</v>
      </c>
      <c r="R17" s="64">
        <f t="shared" ca="1" si="1"/>
        <v>1595905</v>
      </c>
      <c r="S17" s="84">
        <f t="shared" ca="1" si="2"/>
        <v>0.72728246306406485</v>
      </c>
      <c r="T17" s="110">
        <f t="shared" si="3"/>
        <v>1961628.3333333335</v>
      </c>
      <c r="U17" s="67">
        <f t="shared" si="4"/>
        <v>0.8939491297307316</v>
      </c>
      <c r="V17" s="74">
        <f ca="1">IF(OFFSET($E17,0,$H$1)-$D17&lt;-U17*0.05,OFFSET($E17,0,$H$1)-$D17,0)</f>
        <v>-3069.666666666657</v>
      </c>
      <c r="W17" s="181" t="s">
        <v>299</v>
      </c>
      <c r="X17" s="184">
        <f t="shared" si="0"/>
        <v>232711.66666666651</v>
      </c>
      <c r="Y17" s="154" t="s">
        <v>359</v>
      </c>
    </row>
    <row r="18" spans="1:25" ht="36.9" customHeight="1">
      <c r="A18" s="126" t="s">
        <v>261</v>
      </c>
      <c r="B18" s="129">
        <f>全公司細目!C76</f>
        <v>1541750</v>
      </c>
      <c r="C18" s="127">
        <v>0.05</v>
      </c>
      <c r="D18" s="159">
        <f ca="1">IF(B18&lt;&gt;標準管控值!B18,"請檢查並更正標準管控值預算是否追加?",OFFSET(標準管控值!D18,0,$H$1))</f>
        <v>128479.16666666667</v>
      </c>
      <c r="E18" s="74">
        <f t="shared" ca="1" si="6"/>
        <v>0</v>
      </c>
      <c r="F18" s="107">
        <f>IF($H$1&gt;=F$2,全公司細目!D76,標準管控值!E18)</f>
        <v>276110</v>
      </c>
      <c r="G18" s="152">
        <f>IF($H$1&gt;=G$2,全公司細目!E76,標準管控值!F18)</f>
        <v>132650</v>
      </c>
      <c r="H18" s="152">
        <f>IF($H$1&gt;=$H$2,全公司細目!F76,標準管控值!G18)</f>
        <v>117180</v>
      </c>
      <c r="I18" s="152">
        <f>IF($H$1&gt;=I$2,全公司細目!G76,標準管控值!H18)</f>
        <v>155814</v>
      </c>
      <c r="J18" s="152">
        <f>IF($H$1&gt;=J$2,全公司細目!H76,標準管控值!I18)</f>
        <v>49413</v>
      </c>
      <c r="K18" s="152">
        <f>IF($H$1&gt;=K$2,全公司細目!I76,標準管控值!J18)</f>
        <v>43142</v>
      </c>
      <c r="L18" s="152">
        <f>IF($H$1&gt;=L$2,全公司細目!J76,標準管控值!K18)</f>
        <v>68901</v>
      </c>
      <c r="M18" s="152">
        <f>IF($H$1&gt;=M$2,全公司細目!K76,標準管控值!L18)</f>
        <v>72689</v>
      </c>
      <c r="N18" s="152">
        <f>IF($H$1&gt;=N$2,全公司細目!L76,標準管控值!M18)</f>
        <v>52891</v>
      </c>
      <c r="O18" s="152">
        <f>IF($H$1&gt;=O$2,全公司細目!M76,標準管控值!N18)</f>
        <v>36559</v>
      </c>
      <c r="P18" s="136">
        <f>IF($H$1&gt;=P$2,全公司細目!N76,標準管控值!O18)</f>
        <v>128479.16666666667</v>
      </c>
      <c r="Q18" s="137">
        <f>IF($H$1&gt;=Q$2,全公司細目!O76,標準管控值!P18)</f>
        <v>128479.16666666667</v>
      </c>
      <c r="R18" s="64">
        <f t="shared" ca="1" si="1"/>
        <v>1005349</v>
      </c>
      <c r="S18" s="84">
        <f t="shared" ca="1" si="2"/>
        <v>0.65208302253932215</v>
      </c>
      <c r="T18" s="110">
        <f t="shared" si="3"/>
        <v>1262307.3333333335</v>
      </c>
      <c r="U18" s="67">
        <f t="shared" si="4"/>
        <v>0.81874968920598901</v>
      </c>
      <c r="V18" s="74">
        <f ca="1">IF(OFFSET($E18,0,$H$1)-$D18&lt;-D18*0.2,OFFSET($E18,0,$H$1)-$D18,0)</f>
        <v>-91920.166666666672</v>
      </c>
      <c r="W18" s="181" t="s">
        <v>300</v>
      </c>
      <c r="X18" s="184">
        <f t="shared" si="0"/>
        <v>279442.66666666651</v>
      </c>
    </row>
    <row r="19" spans="1:25" ht="36.9" customHeight="1">
      <c r="A19" s="187" t="s">
        <v>262</v>
      </c>
      <c r="B19" s="129">
        <f>全公司細目!C77</f>
        <v>547140</v>
      </c>
      <c r="C19" s="127">
        <v>0.05</v>
      </c>
      <c r="D19" s="159">
        <f ca="1">IF(B19&lt;&gt;標準管控值!B19,"請檢查並更正標準管控值預算是否追加?",OFFSET(標準管控值!D19,0,$H$1))</f>
        <v>45595</v>
      </c>
      <c r="E19" s="188">
        <f ca="1">IF(OFFSET($E19,0,$H$1)-$D19&gt;10000,OFFSET($E19,0,$H$1)-$D19,0)</f>
        <v>44822</v>
      </c>
      <c r="F19" s="107">
        <f>IF($H$1&gt;=F$2,全公司細目!D77,標準管控值!E19)</f>
        <v>0</v>
      </c>
      <c r="G19" s="152">
        <f>IF($H$1&gt;=G$2,全公司細目!E77,標準管控值!F19)</f>
        <v>89375</v>
      </c>
      <c r="H19" s="152">
        <f>IF($H$1&gt;=$H$2,全公司細目!F77,標準管控值!G19)</f>
        <v>34605</v>
      </c>
      <c r="I19" s="152">
        <f>IF($H$1&gt;=I$2,全公司細目!G77,標準管控值!H19)</f>
        <v>47918</v>
      </c>
      <c r="J19" s="152">
        <f>IF($H$1&gt;=J$2,全公司細目!H77,標準管控值!I19)</f>
        <v>0</v>
      </c>
      <c r="K19" s="152">
        <f>IF($H$1&gt;=K$2,全公司細目!I77,標準管控值!J19)</f>
        <v>82455</v>
      </c>
      <c r="L19" s="152">
        <f>IF($H$1&gt;=L$2,全公司細目!J77,標準管控值!K19)</f>
        <v>23651</v>
      </c>
      <c r="M19" s="152">
        <f>IF($H$1&gt;=M$2,全公司細目!K77,標準管控值!L19)</f>
        <v>47570</v>
      </c>
      <c r="N19" s="152">
        <f>IF($H$1&gt;=N$2,全公司細目!L77,標準管控值!M19)</f>
        <v>58579</v>
      </c>
      <c r="O19" s="189">
        <f>IF($H$1&gt;=O$2,全公司細目!M77,標準管控值!N19)</f>
        <v>90417</v>
      </c>
      <c r="P19" s="136">
        <f>IF($H$1&gt;=P$2,全公司細目!N77,標準管控值!O19)</f>
        <v>45595</v>
      </c>
      <c r="Q19" s="137">
        <f>IF($H$1&gt;=Q$2,全公司細目!O77,標準管控值!P19)</f>
        <v>45595</v>
      </c>
      <c r="R19" s="64">
        <f t="shared" ca="1" si="1"/>
        <v>474570</v>
      </c>
      <c r="S19" s="84">
        <f t="shared" ca="1" si="2"/>
        <v>0.86736484263625402</v>
      </c>
      <c r="T19" s="110">
        <f t="shared" si="3"/>
        <v>565760</v>
      </c>
      <c r="U19" s="67">
        <f t="shared" si="4"/>
        <v>1.0340315093029206</v>
      </c>
      <c r="V19" s="74">
        <f ca="1">IF(OFFSET($E19,0,$H$1)-$D19&lt;-D19*0.2,OFFSET($E19,0,$H$1)-$D19,0)</f>
        <v>0</v>
      </c>
      <c r="W19" s="181" t="s">
        <v>301</v>
      </c>
      <c r="X19" s="184">
        <f t="shared" si="0"/>
        <v>-18620</v>
      </c>
    </row>
    <row r="20" spans="1:25" ht="36.9" customHeight="1">
      <c r="A20" s="126" t="s">
        <v>245</v>
      </c>
      <c r="B20" s="129">
        <f>全公司細目!C78</f>
        <v>8003780</v>
      </c>
      <c r="C20" s="127">
        <v>0</v>
      </c>
      <c r="D20" s="159">
        <f ca="1">IF(B20&lt;&gt;標準管控值!B20,"請檢查並更正標準管控值預算是否追加?",OFFSET(標準管控值!D20,0,$H$1))</f>
        <v>42231.666666666664</v>
      </c>
      <c r="E20" s="74">
        <f t="shared" ca="1" si="6"/>
        <v>0</v>
      </c>
      <c r="F20" s="107">
        <f>IF($H$1&gt;=F$2,全公司細目!D78,標準管控值!E20)</f>
        <v>968347</v>
      </c>
      <c r="G20" s="152">
        <f>IF($H$1&gt;=G$2,全公司細目!E78,標準管控值!F20)</f>
        <v>220473</v>
      </c>
      <c r="H20" s="152">
        <f>IF($H$1&gt;=H$2,全公司細目!F78,標準管控值!G20)</f>
        <v>2144311</v>
      </c>
      <c r="I20" s="152">
        <f>IF($H$1&gt;=I$2,全公司細目!G78,標準管控值!H20)</f>
        <v>194210</v>
      </c>
      <c r="J20" s="152">
        <f>IF($H$1&gt;=J$2,全公司細目!H78,標準管控值!I20)</f>
        <v>58985</v>
      </c>
      <c r="K20" s="152">
        <f>IF($H$1&gt;=K$2,全公司細目!I78,標準管控值!J20)</f>
        <v>1931290</v>
      </c>
      <c r="L20" s="152">
        <f>IF($H$1&gt;=L$2,全公司細目!J78,標準管控值!K20)</f>
        <v>4950</v>
      </c>
      <c r="M20" s="152">
        <f>IF($H$1&gt;=M$2,全公司細目!K78,標準管控值!L20)</f>
        <v>4500</v>
      </c>
      <c r="N20" s="152">
        <f>IF($H$1&gt;=N$2,全公司細目!L78,標準管控值!M20)</f>
        <v>1549268</v>
      </c>
      <c r="O20" s="152">
        <f>IF($H$1&gt;=O$2,全公司細目!M78,標準管控值!N20)</f>
        <v>2000</v>
      </c>
      <c r="P20" s="136">
        <f>IF($H$1&gt;=P$2,全公司細目!N78,標準管控值!O20)</f>
        <v>42231.666666666664</v>
      </c>
      <c r="Q20" s="137">
        <f>IF($H$1&gt;=Q$2,全公司細目!O78,標準管控值!P20)</f>
        <v>42231.666666666664</v>
      </c>
      <c r="R20" s="64">
        <f t="shared" ca="1" si="1"/>
        <v>7078334</v>
      </c>
      <c r="S20" s="84">
        <f t="shared" ca="1" si="2"/>
        <v>0.88437388334012179</v>
      </c>
      <c r="T20" s="110">
        <f t="shared" si="3"/>
        <v>7162797.333333334</v>
      </c>
      <c r="U20" s="67">
        <f t="shared" si="4"/>
        <v>0.8949268137471712</v>
      </c>
      <c r="W20" s="181" t="s">
        <v>302</v>
      </c>
      <c r="X20" s="184">
        <f t="shared" si="0"/>
        <v>840982.66666666605</v>
      </c>
      <c r="Y20" s="154" t="s">
        <v>373</v>
      </c>
    </row>
    <row r="21" spans="1:25" ht="36.9" customHeight="1">
      <c r="A21" s="128" t="s">
        <v>246</v>
      </c>
      <c r="B21" s="129">
        <f>全公司細目!C86</f>
        <v>523600</v>
      </c>
      <c r="C21" s="127">
        <v>0</v>
      </c>
      <c r="D21" s="159">
        <f ca="1">IF(B21&lt;&gt;標準管控值!B21,"請檢查並更正標準管控值預算是否追加?",OFFSET(標準管控值!D21,0,$H$1))</f>
        <v>15925</v>
      </c>
      <c r="E21" s="74">
        <f t="shared" ca="1" si="6"/>
        <v>0</v>
      </c>
      <c r="F21" s="107">
        <f>IF($H$1&gt;=F$2,全公司細目!D86,標準管控值!E21)</f>
        <v>17304</v>
      </c>
      <c r="G21" s="152">
        <f>IF($H$1&gt;=G$2,全公司細目!E86,標準管控值!F21)</f>
        <v>65731</v>
      </c>
      <c r="H21" s="152">
        <f>IF($H$1&gt;=H$2,全公司細目!F86,標準管控值!G21)</f>
        <v>17357</v>
      </c>
      <c r="I21" s="152">
        <f>IF($H$1&gt;=I$2,全公司細目!G86,標準管控值!H21)</f>
        <v>14157</v>
      </c>
      <c r="J21" s="152">
        <f>IF($H$1&gt;=J$2,全公司細目!H86,標準管控值!I21)</f>
        <v>16714</v>
      </c>
      <c r="K21" s="152">
        <f>IF($H$1&gt;=K$2,全公司細目!I86,標準管控值!J21)</f>
        <v>2000</v>
      </c>
      <c r="L21" s="152">
        <f>IF($H$1&gt;=L$2,全公司細目!J86,標準管控值!K21)</f>
        <v>0</v>
      </c>
      <c r="M21" s="152">
        <f>IF($H$1&gt;=M$2,全公司細目!K86,標準管控值!L21)</f>
        <v>14500</v>
      </c>
      <c r="N21" s="152">
        <f>IF($H$1&gt;=N$2,全公司細目!L86,標準管控值!M21)</f>
        <v>147823</v>
      </c>
      <c r="O21" s="152">
        <f>IF($H$1&gt;=O$2,全公司細目!M86,標準管控值!N21)</f>
        <v>5117</v>
      </c>
      <c r="P21" s="136">
        <f>IF($H$1&gt;=P$2,全公司細目!N86,標準管控值!O21)</f>
        <v>15925</v>
      </c>
      <c r="Q21" s="137">
        <f>IF($H$1&gt;=Q$2,全公司細目!O86,標準管控值!P21)</f>
        <v>15925</v>
      </c>
      <c r="R21" s="64">
        <f t="shared" ca="1" si="1"/>
        <v>300703</v>
      </c>
      <c r="S21" s="84">
        <f t="shared" ca="1" si="2"/>
        <v>0.5742990832696715</v>
      </c>
      <c r="T21" s="110">
        <f t="shared" si="3"/>
        <v>332553</v>
      </c>
      <c r="U21" s="67">
        <f t="shared" si="4"/>
        <v>0.63512796027501905</v>
      </c>
      <c r="V21" s="74">
        <f ca="1">IF(OFFSET($E21,0,$H$1)-$D21&lt;-D21*0.2,OFFSET($E21,0,$H$1)-$D21,0)</f>
        <v>-10808</v>
      </c>
      <c r="W21" s="181" t="s">
        <v>303</v>
      </c>
      <c r="X21" s="184">
        <f t="shared" si="0"/>
        <v>191047</v>
      </c>
    </row>
    <row r="22" spans="1:25" ht="36.9" customHeight="1">
      <c r="A22" s="128" t="s">
        <v>247</v>
      </c>
      <c r="B22" s="111">
        <f>全公司細目!C121</f>
        <v>432400</v>
      </c>
      <c r="C22" s="127">
        <v>0.05</v>
      </c>
      <c r="D22" s="159">
        <f ca="1">IF(B22&lt;&gt;標準管控值!B22,"請檢查並更正標準管控值預算是否追加?",OFFSET(標準管控值!D22,0,$H$1))</f>
        <v>36033.333333333336</v>
      </c>
      <c r="E22" s="74">
        <f t="shared" ca="1" si="6"/>
        <v>0</v>
      </c>
      <c r="F22" s="107">
        <f>IF($H$1&gt;=F$2,全公司細目!D121,標準管控值!E22)</f>
        <v>42500</v>
      </c>
      <c r="G22" s="152">
        <f>IF($H$1&gt;=G$2,全公司細目!E121,標準管控值!F22)</f>
        <v>4571</v>
      </c>
      <c r="H22" s="152">
        <f>IF($H$1&gt;=H$2,全公司細目!F121,標準管控值!G22)</f>
        <v>6147</v>
      </c>
      <c r="I22" s="152">
        <f>IF($H$1&gt;=I$2,全公司細目!G121,標準管控值!H22)</f>
        <v>3585</v>
      </c>
      <c r="J22" s="152">
        <f>IF($H$1&gt;=J$2,全公司細目!H121,標準管控值!I22)</f>
        <v>18700</v>
      </c>
      <c r="K22" s="152">
        <f>IF($H$1&gt;=K$2,全公司細目!I121,標準管控值!J22)</f>
        <v>110286</v>
      </c>
      <c r="L22" s="152">
        <f>IF($H$1&gt;=L$2,全公司細目!J121,標準管控值!K22)</f>
        <v>3600</v>
      </c>
      <c r="M22" s="152">
        <f>IF($H$1&gt;=M$2,全公司細目!K121,標準管控值!L22)</f>
        <v>0</v>
      </c>
      <c r="N22" s="152">
        <f>IF($H$1&gt;=N$2,全公司細目!L121,標準管控值!M22)</f>
        <v>40987</v>
      </c>
      <c r="O22" s="152">
        <f>IF($H$1&gt;=O$2,全公司細目!M121,標準管控值!N22)</f>
        <v>456</v>
      </c>
      <c r="P22" s="136">
        <f>IF($H$1&gt;=P$2,全公司細目!N121,標準管控值!O22)</f>
        <v>36033.333333333336</v>
      </c>
      <c r="Q22" s="137">
        <f>IF($H$1&gt;=Q$2,全公司細目!O121,標準管控值!P22)</f>
        <v>36033.333333333336</v>
      </c>
      <c r="R22" s="64">
        <f t="shared" ca="1" si="1"/>
        <v>230832</v>
      </c>
      <c r="S22" s="84">
        <f t="shared" ca="1" si="2"/>
        <v>0.5338390379278446</v>
      </c>
      <c r="T22" s="110">
        <f t="shared" si="3"/>
        <v>302898.66666666663</v>
      </c>
      <c r="U22" s="67">
        <f t="shared" si="4"/>
        <v>0.70050570459451111</v>
      </c>
      <c r="W22" s="181" t="s">
        <v>304</v>
      </c>
      <c r="X22" s="184">
        <f t="shared" si="0"/>
        <v>129501.33333333337</v>
      </c>
      <c r="Y22" s="154" t="s">
        <v>373</v>
      </c>
    </row>
    <row r="23" spans="1:25" ht="36.9" customHeight="1">
      <c r="A23" s="128" t="s">
        <v>248</v>
      </c>
      <c r="B23" s="111">
        <v>1100000</v>
      </c>
      <c r="C23" s="127">
        <f>標準管控值!C23</f>
        <v>0</v>
      </c>
      <c r="D23" s="159">
        <f ca="1">IF(B23&lt;&gt;標準管控值!B23,"請檢查並更正標準管控值預算是否追加?",OFFSET(標準管控值!D23,0,$H$1))</f>
        <v>91666.666666666672</v>
      </c>
      <c r="E23" s="74">
        <f t="shared" ca="1" si="6"/>
        <v>0</v>
      </c>
      <c r="F23" s="107">
        <f>IF($H$1&gt;=F$2,全公司細目!D122,標準管控值!E23)</f>
        <v>52149</v>
      </c>
      <c r="G23" s="152">
        <f>IF($H$1&gt;=G$2,全公司細目!E122,標準管控值!F23)</f>
        <v>17129</v>
      </c>
      <c r="H23" s="152">
        <f>IF($H$1&gt;=H$2,全公司細目!F122,標準管控值!G23)</f>
        <v>75399</v>
      </c>
      <c r="I23" s="152">
        <f>IF($H$1&gt;=I$2,全公司細目!G122,標準管控值!H23)</f>
        <v>68903</v>
      </c>
      <c r="J23" s="152">
        <f>IF($H$1&gt;=J$2,全公司細目!H122,標準管控值!I23)</f>
        <v>43307</v>
      </c>
      <c r="K23" s="152">
        <f>IF($H$1&gt;=K$2,全公司細目!I122,標準管控值!J23)</f>
        <v>56429</v>
      </c>
      <c r="L23" s="152">
        <f>IF($H$1&gt;=L$2,全公司細目!J122,標準管控值!K23)</f>
        <v>89800</v>
      </c>
      <c r="M23" s="152">
        <f>IF($H$1&gt;=M$2,全公司細目!K122,標準管控值!L23)</f>
        <v>70227</v>
      </c>
      <c r="N23" s="152">
        <f>IF($H$1&gt;=N$2,全公司細目!L122,標準管控值!M23)</f>
        <v>40972</v>
      </c>
      <c r="O23" s="152">
        <f>IF($H$1&gt;=O$2,全公司細目!M122,標準管控值!N23)</f>
        <v>52403</v>
      </c>
      <c r="P23" s="136">
        <f>IF($H$1&gt;=P$2,全公司細目!N122,標準管控值!O23)</f>
        <v>91666.666666666672</v>
      </c>
      <c r="Q23" s="137">
        <f>IF($H$1&gt;=Q$2,全公司細目!O122,標準管控值!P23)</f>
        <v>91666.666666666672</v>
      </c>
      <c r="R23" s="64">
        <f t="shared" ca="1" si="1"/>
        <v>566718</v>
      </c>
      <c r="S23" s="84">
        <f t="shared" ca="1" si="2"/>
        <v>0.51519818181818178</v>
      </c>
      <c r="T23" s="110">
        <f t="shared" si="3"/>
        <v>750051.33333333326</v>
      </c>
      <c r="U23" s="67">
        <f t="shared" si="4"/>
        <v>0.68186484848484841</v>
      </c>
      <c r="V23" s="104">
        <f ca="1">IF(ABS(OFFSET($E23,0,$H$1)-$D23)&gt;20000,OFFSET($E23,0,$H$1)-$D23,0)</f>
        <v>-39263.666666666672</v>
      </c>
      <c r="W23" s="181" t="s">
        <v>305</v>
      </c>
      <c r="X23" s="184">
        <f t="shared" si="0"/>
        <v>349948.66666666674</v>
      </c>
    </row>
    <row r="24" spans="1:25" ht="36.9" customHeight="1">
      <c r="A24" s="128" t="s">
        <v>323</v>
      </c>
      <c r="B24" s="111">
        <f>全公司細目!C140</f>
        <v>4448080</v>
      </c>
      <c r="C24" s="127"/>
      <c r="D24" s="159">
        <f ca="1">IF(B24&lt;&gt;標準管控值!B24,"請檢查並更正標準管控值預算是否追加?",OFFSET(標準管控值!D24,0,$H$1))</f>
        <v>370673.33333333331</v>
      </c>
      <c r="E24" s="74"/>
      <c r="F24" s="107">
        <f>IF($H$1&gt;=F$2,全公司細目!D140,標準管控值!E24)</f>
        <v>113519</v>
      </c>
      <c r="G24" s="152">
        <f>IF($H$1&gt;=G$2,全公司細目!E140,標準管控值!F24)</f>
        <v>114037</v>
      </c>
      <c r="H24" s="152">
        <f>IF($H$1&gt;=H$2,全公司細目!F140,標準管控值!G24)</f>
        <v>228445</v>
      </c>
      <c r="I24" s="152">
        <f>IF($H$1&gt;=I$2,全公司細目!G140,標準管控值!H24)</f>
        <v>157890</v>
      </c>
      <c r="J24" s="152">
        <f>IF($H$1&gt;=J$2,全公司細目!H140,標準管控值!I24)</f>
        <v>637319</v>
      </c>
      <c r="K24" s="152">
        <f>IF($H$1&gt;=K$2,全公司細目!I140,標準管控值!J24)</f>
        <v>303033</v>
      </c>
      <c r="L24" s="152">
        <f>IF($H$1&gt;=L$2,全公司細目!J140,標準管控值!K24)</f>
        <v>303033</v>
      </c>
      <c r="M24" s="152">
        <f>IF($H$1&gt;=M$2,全公司細目!K140,標準管控值!L24)</f>
        <v>333032</v>
      </c>
      <c r="N24" s="152">
        <f>IF($H$1&gt;=N$2,全公司細目!L140,標準管控值!M24)</f>
        <v>209413</v>
      </c>
      <c r="O24" s="152">
        <f>IF($H$1&gt;=O$2,全公司細目!M140,標準管控值!N24)</f>
        <v>88747</v>
      </c>
      <c r="P24" s="136">
        <f>IF($H$1&gt;=P$2,全公司細目!N142,標準管控值!O24)</f>
        <v>370673.33333333331</v>
      </c>
      <c r="Q24" s="137">
        <f>IF($H$1&gt;=Q$2,全公司細目!O142,標準管控值!P24)</f>
        <v>370673.33333333331</v>
      </c>
      <c r="R24" s="64">
        <f t="shared" ca="1" si="1"/>
        <v>2488468</v>
      </c>
      <c r="S24" s="84">
        <f t="shared" ca="1" si="2"/>
        <v>0.55944767180446398</v>
      </c>
      <c r="T24" s="110">
        <f t="shared" si="3"/>
        <v>3229814.666666667</v>
      </c>
      <c r="U24" s="67">
        <f t="shared" si="4"/>
        <v>0.72611433847113072</v>
      </c>
      <c r="V24" s="74">
        <f ca="1">IF(OFFSET($E24,0,$H$1)-$D24&lt;-D24*0.2,OFFSET($E24,0,$H$1)-$D24,0)</f>
        <v>-281926.33333333331</v>
      </c>
      <c r="X24" s="184"/>
    </row>
    <row r="25" spans="1:25" ht="36.9" customHeight="1">
      <c r="A25" s="126" t="s">
        <v>263</v>
      </c>
      <c r="B25" s="111">
        <f>全公司細目!C142</f>
        <v>842490</v>
      </c>
      <c r="C25" s="127">
        <v>0.05</v>
      </c>
      <c r="D25" s="159">
        <f ca="1">IF(B25&lt;&gt;標準管控值!B25,"請檢查並更正標準管控值預算是否追加?",OFFSET(標準管控值!D25,0,$H$1))</f>
        <v>77000</v>
      </c>
      <c r="E25" s="74">
        <f ca="1">IF(OFFSET($E25,0,$H$1)-$D25&gt;10000,OFFSET($E25,0,$H$1)-$D25,0)</f>
        <v>0</v>
      </c>
      <c r="F25" s="107">
        <f>IF($H$1&gt;=F$2,全公司細目!D142,標準管控值!E25)</f>
        <v>56120</v>
      </c>
      <c r="G25" s="152">
        <f>IF($H$1&gt;=G$2,全公司細目!E142,標準管控值!F25)</f>
        <v>56120</v>
      </c>
      <c r="H25" s="152">
        <f>IF($H$1&gt;=H$2,全公司細目!F142,標準管控值!G25)</f>
        <v>81098</v>
      </c>
      <c r="I25" s="152">
        <f>IF($H$1&gt;=I$2,全公司細目!G142,標準管控值!H25)</f>
        <v>56120</v>
      </c>
      <c r="J25" s="152">
        <f>IF($H$1&gt;=J$2,全公司細目!H142,標準管控值!I25)</f>
        <v>56102</v>
      </c>
      <c r="K25" s="152">
        <f>IF($H$1&gt;=K$2,全公司細目!I142,標準管控值!J25)</f>
        <v>56075</v>
      </c>
      <c r="L25" s="152">
        <f>IF($H$1&gt;=L$2,全公司細目!J142,標準管控值!K25)</f>
        <v>290796</v>
      </c>
      <c r="M25" s="152">
        <f>IF($H$1&gt;=M$2,全公司細目!K142,標準管控值!L25)</f>
        <v>98135</v>
      </c>
      <c r="N25" s="152">
        <f>IF($H$1&gt;=N$2,全公司細目!L142,標準管控值!M25)</f>
        <v>81363</v>
      </c>
      <c r="O25" s="152">
        <f>IF($H$1&gt;=O$2,全公司細目!M142,標準管控值!N25)</f>
        <v>68614</v>
      </c>
      <c r="P25" s="136">
        <f>IF($H$1&gt;=P$2,全公司細目!N143,標準管控值!O25)</f>
        <v>57000</v>
      </c>
      <c r="Q25" s="137">
        <f>IF($H$1&gt;=Q$2,全公司細目!O143,標準管控值!P25)</f>
        <v>57000</v>
      </c>
      <c r="R25" s="64">
        <f t="shared" ca="1" si="1"/>
        <v>900543</v>
      </c>
      <c r="S25" s="84">
        <f t="shared" ca="1" si="2"/>
        <v>1.0689064558629775</v>
      </c>
      <c r="T25" s="110">
        <f t="shared" si="3"/>
        <v>1014543</v>
      </c>
      <c r="U25" s="193">
        <f t="shared" si="4"/>
        <v>1.2042196346544172</v>
      </c>
      <c r="V25" s="74">
        <f ca="1">IF(OFFSET($E25,0,$H$1)-$D25&lt;-D25*0.1,OFFSET($E25,0,$H$1)-$D25,0)</f>
        <v>-8386</v>
      </c>
      <c r="W25" s="181" t="s">
        <v>306</v>
      </c>
      <c r="X25" s="184">
        <f t="shared" si="0"/>
        <v>-172053</v>
      </c>
    </row>
    <row r="26" spans="1:25" ht="36.9" customHeight="1">
      <c r="A26" s="133" t="s">
        <v>348</v>
      </c>
      <c r="B26" s="149">
        <f>M1細目!C143</f>
        <v>58300</v>
      </c>
      <c r="C26" s="127">
        <v>0.05</v>
      </c>
      <c r="D26" s="159">
        <f ca="1">IF(B26&lt;&gt;標準管控值!B26,"請檢查並更正標準管控值預算是否追加?",OFFSET(標準管控值!D26,0,$H$1))</f>
        <v>4858.333333333333</v>
      </c>
      <c r="E26" s="74">
        <f ca="1">IF(OFFSET($E26,0,$H$1)-$D26&gt;10000,OFFSET($E26,0,$H$1)-$D26,0)</f>
        <v>0</v>
      </c>
      <c r="F26" s="107">
        <f>IF($H$1&gt;=F$2,M1細目!D143,標準管控值!E26)</f>
        <v>5760</v>
      </c>
      <c r="G26" s="152">
        <f>IF($H$1&gt;=G$2,M1細目!E143,標準管控值!F26)</f>
        <v>0</v>
      </c>
      <c r="H26" s="152">
        <f>IF($H$1&gt;=H$2,M1細目!F143,標準管控值!G26)</f>
        <v>0</v>
      </c>
      <c r="I26" s="152">
        <f>IF($H$1&gt;=I$2,M1細目!G143,標準管控值!H26)</f>
        <v>0</v>
      </c>
      <c r="J26" s="152">
        <f>IF($H$1&gt;=J$2,M1細目!H143,標準管控值!I26)</f>
        <v>0</v>
      </c>
      <c r="K26" s="152">
        <f>IF($H$1&gt;=K$2,M1細目!I143,標準管控值!J26)</f>
        <v>0</v>
      </c>
      <c r="L26" s="152">
        <f>IF($H$1&gt;=L$2,M1細目!J143,標準管控值!K26)</f>
        <v>0</v>
      </c>
      <c r="M26" s="152">
        <f>IF($H$1&gt;=M$2,M1細目!K143,標準管控值!L26)</f>
        <v>0</v>
      </c>
      <c r="N26" s="152">
        <f>IF($H$1&gt;=N$2,M1細目!L143,標準管控值!M26)</f>
        <v>7800</v>
      </c>
      <c r="O26" s="152">
        <f>IF($H$1&gt;=O$2,M1細目!M143,標準管控值!N26)</f>
        <v>0</v>
      </c>
      <c r="P26" s="136">
        <f>IF($H$1&gt;=P$2,M1細目!N143,標準管控值!O26)</f>
        <v>4858.333333333333</v>
      </c>
      <c r="Q26" s="137">
        <f>IF($H$1&gt;=Q$2,M1細目!O143,標準管控值!P26)</f>
        <v>4858.333333333333</v>
      </c>
      <c r="R26" s="64">
        <f ca="1">SUM(OFFSET(F26,0,0,1,$H$1))</f>
        <v>13560</v>
      </c>
      <c r="S26" s="84">
        <f ca="1">R26/B26</f>
        <v>0.23259005145797598</v>
      </c>
      <c r="T26" s="110">
        <f>SUM(F26:Q26)</f>
        <v>23276.666666666664</v>
      </c>
      <c r="U26" s="67">
        <f>T26/B26</f>
        <v>0.39925671812464258</v>
      </c>
      <c r="V26" s="26"/>
      <c r="W26" s="182" t="s">
        <v>307</v>
      </c>
      <c r="X26" s="184">
        <f t="shared" si="0"/>
        <v>35023.333333333336</v>
      </c>
    </row>
    <row r="27" spans="1:25" ht="36.9" customHeight="1" thickBot="1">
      <c r="A27" s="128" t="s">
        <v>311</v>
      </c>
      <c r="B27" s="111">
        <f>全公司細目!C160</f>
        <v>486000</v>
      </c>
      <c r="C27" s="127">
        <f>標準管控值!C27</f>
        <v>0</v>
      </c>
      <c r="D27" s="159">
        <f ca="1">IF(B27&lt;&gt;標準管控值!B27,"請檢查並更正標準管控值預算是否追加?",OFFSET(標準管控值!D27,0,$H$1))</f>
        <v>0</v>
      </c>
      <c r="E27" s="74">
        <f t="shared" ca="1" si="6"/>
        <v>0</v>
      </c>
      <c r="F27" s="108">
        <f>IF($H$1&gt;=F$2,全公司細目!D160,標準管控值!E27)</f>
        <v>0</v>
      </c>
      <c r="G27" s="153">
        <f>IF($H$1&gt;=G$2,全公司細目!E160,標準管控值!F27)</f>
        <v>0</v>
      </c>
      <c r="H27" s="153">
        <f>IF($H$1&gt;=H$2,全公司細目!F160,標準管控值!G27)</f>
        <v>0</v>
      </c>
      <c r="I27" s="153">
        <f>IF($H$1&gt;=I$2,全公司細目!G160,標準管控值!H27)</f>
        <v>271930</v>
      </c>
      <c r="J27" s="153">
        <f>IF($H$1&gt;=J$2,全公司細目!H160,標準管控值!I27)</f>
        <v>0</v>
      </c>
      <c r="K27" s="153">
        <f>IF($H$1&gt;=K$2,全公司細目!I160,標準管控值!J27)</f>
        <v>0</v>
      </c>
      <c r="L27" s="153">
        <f>IF($H$1&gt;=L$2,全公司細目!J160,標準管控值!K27)</f>
        <v>212670</v>
      </c>
      <c r="M27" s="153">
        <f>IF($H$1&gt;=M$2,全公司細目!K160,標準管控值!L27)</f>
        <v>0</v>
      </c>
      <c r="N27" s="153">
        <f>IF($H$1&gt;=N$2,全公司細目!L160,標準管控值!M27)</f>
        <v>0</v>
      </c>
      <c r="O27" s="153">
        <f>IF($H$1&gt;=O$2,全公司細目!M160,標準管控值!N27)</f>
        <v>0</v>
      </c>
      <c r="P27" s="138">
        <f>IF($H$1&gt;=P$2,全公司細目!N161,標準管控值!O27)</f>
        <v>0</v>
      </c>
      <c r="Q27" s="139">
        <f>IF($H$1&gt;=Q$2,全公司細目!O161,標準管控值!P27)</f>
        <v>0</v>
      </c>
      <c r="R27" s="64">
        <f ca="1">SUM(OFFSET(F27,0,0,1,$H$1))</f>
        <v>484600</v>
      </c>
      <c r="S27" s="85">
        <f t="shared" ca="1" si="2"/>
        <v>0.99711934156378601</v>
      </c>
      <c r="T27" s="110">
        <f>SUM(F27:Q27)</f>
        <v>484600</v>
      </c>
      <c r="U27" s="67">
        <f t="shared" si="4"/>
        <v>0.99711934156378601</v>
      </c>
      <c r="W27" s="181" t="s">
        <v>308</v>
      </c>
      <c r="X27" s="184">
        <f t="shared" si="0"/>
        <v>1400</v>
      </c>
    </row>
    <row r="28" spans="1:25" ht="36.9" customHeight="1">
      <c r="A28" s="130" t="s">
        <v>196</v>
      </c>
      <c r="B28" s="111">
        <f>SUM(B3:B27)</f>
        <v>49333650</v>
      </c>
      <c r="C28" s="131"/>
      <c r="D28" s="132">
        <f ca="1">SUM(D3:D27)</f>
        <v>5628901.2788716871</v>
      </c>
      <c r="E28" s="74">
        <f t="shared" ca="1" si="6"/>
        <v>0</v>
      </c>
      <c r="F28" s="66">
        <f>SUM(F3:F27)</f>
        <v>3465442</v>
      </c>
      <c r="G28" s="66">
        <f t="shared" ref="G28:Q28" si="7">SUM(G3:G27)</f>
        <v>2415522</v>
      </c>
      <c r="H28" s="66">
        <f t="shared" si="7"/>
        <v>4721637</v>
      </c>
      <c r="I28" s="66">
        <f t="shared" si="7"/>
        <v>4183275</v>
      </c>
      <c r="J28" s="66">
        <f t="shared" si="7"/>
        <v>3178093</v>
      </c>
      <c r="K28" s="66">
        <f t="shared" si="7"/>
        <v>4536968</v>
      </c>
      <c r="L28" s="66">
        <f t="shared" si="7"/>
        <v>2983295</v>
      </c>
      <c r="M28" s="66">
        <f t="shared" si="7"/>
        <v>2390943</v>
      </c>
      <c r="N28" s="66">
        <f t="shared" si="7"/>
        <v>4091499</v>
      </c>
      <c r="O28" s="180">
        <f t="shared" si="7"/>
        <v>3161480</v>
      </c>
      <c r="P28" s="121">
        <f t="shared" si="7"/>
        <v>2910063.7053341162</v>
      </c>
      <c r="Q28" s="66">
        <f t="shared" si="7"/>
        <v>2844259.5479541006</v>
      </c>
      <c r="R28" s="140">
        <f ca="1">SUM(R3:R27)</f>
        <v>35128154</v>
      </c>
      <c r="S28" s="141">
        <f t="shared" ca="1" si="2"/>
        <v>0.71205260506773771</v>
      </c>
      <c r="T28" s="120">
        <f t="shared" si="3"/>
        <v>40882477.253288217</v>
      </c>
      <c r="U28" s="67">
        <f>T28/B28</f>
        <v>0.82869354392566164</v>
      </c>
      <c r="X28" s="184">
        <f t="shared" si="0"/>
        <v>8451172.7467117831</v>
      </c>
    </row>
    <row r="29" spans="1:25" s="68" customFormat="1" ht="36.9" customHeight="1">
      <c r="A29" s="77"/>
      <c r="B29" s="97"/>
      <c r="C29" s="69"/>
      <c r="D29" s="69"/>
      <c r="E29" s="75" t="s">
        <v>256</v>
      </c>
      <c r="F29" s="70">
        <f>標準管控值!E28-月報!F28</f>
        <v>266545.72123597655</v>
      </c>
      <c r="G29" s="70">
        <f>標準管控值!F28-月報!G28</f>
        <v>1021570.5405459208</v>
      </c>
      <c r="H29" s="70">
        <f>標準管控值!G28-月報!H28</f>
        <v>314270.71971268859</v>
      </c>
      <c r="I29" s="70">
        <f>標準管控值!H28-月報!I28</f>
        <v>851825.93123057298</v>
      </c>
      <c r="J29" s="70">
        <f>標準管控值!I28-月報!J28</f>
        <v>777702.55404352257</v>
      </c>
      <c r="K29" s="70">
        <f>標準管控值!J28-月報!K28</f>
        <v>1148802.400452964</v>
      </c>
      <c r="L29" s="70">
        <f>標準管控值!K28-月報!L28</f>
        <v>302592.66953790653</v>
      </c>
      <c r="M29" s="112">
        <f>標準管控值!L28-月報!M28</f>
        <v>625220.61080889404</v>
      </c>
      <c r="N29" s="70">
        <f>標準管控值!M28-月報!N28</f>
        <v>669182.82027164847</v>
      </c>
      <c r="O29" s="70">
        <f>標準管控值!N28-月報!O28</f>
        <v>2467421.2788716871</v>
      </c>
      <c r="P29" s="70">
        <f>標準管控值!O28-月報!P28</f>
        <v>0</v>
      </c>
      <c r="Q29" s="70">
        <f>標準管控值!P28-月報!Q28</f>
        <v>0</v>
      </c>
      <c r="T29" s="71"/>
      <c r="U29" s="71"/>
      <c r="W29" s="183"/>
      <c r="X29" s="97"/>
      <c r="Y29" s="156"/>
    </row>
    <row r="30" spans="1:25" s="68" customFormat="1" ht="24" customHeight="1">
      <c r="A30" s="77"/>
      <c r="B30" s="97"/>
      <c r="C30" s="69"/>
      <c r="D30" s="69"/>
      <c r="E30" s="75"/>
      <c r="F30" s="70"/>
      <c r="G30" s="70"/>
      <c r="H30" s="70"/>
      <c r="I30" s="70"/>
      <c r="J30" s="70"/>
      <c r="K30" s="70"/>
      <c r="L30" s="70"/>
      <c r="M30" s="112"/>
      <c r="N30" s="70"/>
      <c r="O30" s="70"/>
      <c r="P30" s="70"/>
      <c r="Q30" s="70"/>
      <c r="T30" s="122"/>
      <c r="U30" s="122"/>
      <c r="W30" s="183"/>
      <c r="X30" s="97"/>
      <c r="Y30" s="156"/>
    </row>
    <row r="31" spans="1:25" ht="36.75" customHeight="1">
      <c r="A31" s="78" t="s">
        <v>254</v>
      </c>
      <c r="I31" s="197" t="s">
        <v>361</v>
      </c>
      <c r="J31" s="197"/>
      <c r="K31" s="158">
        <f ca="1">SUM(OFFSET(標準管控值!E11,0,0,1,$H$1))</f>
        <v>6572456.666666666</v>
      </c>
      <c r="L31" s="196">
        <f ca="1">(K31-$R$11)/$B$11</f>
        <v>0.44271538516180942</v>
      </c>
      <c r="M31" s="196"/>
      <c r="N31" s="123"/>
      <c r="O31" s="123"/>
      <c r="P31" s="124"/>
      <c r="Q31" s="195">
        <f ca="1">(標準管控值!B29-R28)/$B$28</f>
        <v>0.17118407510313499</v>
      </c>
      <c r="R31" s="195"/>
      <c r="S31" s="195"/>
      <c r="T31" s="194"/>
      <c r="U31" s="194"/>
    </row>
    <row r="32" spans="1:25" ht="18.75" customHeight="1">
      <c r="P32" s="38"/>
    </row>
  </sheetData>
  <mergeCells count="4">
    <mergeCell ref="T31:U31"/>
    <mergeCell ref="Q31:S31"/>
    <mergeCell ref="L31:M31"/>
    <mergeCell ref="I31:J31"/>
  </mergeCells>
  <phoneticPr fontId="3" type="noConversion"/>
  <conditionalFormatting sqref="G28:Q28 G3:G19 H11 G21">
    <cfRule type="expression" dxfId="11" priority="15">
      <formula>$H$1&lt;$G$2</formula>
    </cfRule>
  </conditionalFormatting>
  <conditionalFormatting sqref="H3:H10 I20:Q20 H12:H21 I17:Q17">
    <cfRule type="expression" dxfId="10" priority="16">
      <formula>$H$1&lt;$H$2</formula>
    </cfRule>
  </conditionalFormatting>
  <conditionalFormatting sqref="I3:I16 I21 I18:I19">
    <cfRule type="expression" dxfId="9" priority="18">
      <formula>$H$1&lt;$I$2</formula>
    </cfRule>
  </conditionalFormatting>
  <conditionalFormatting sqref="J3:J16 J18:J19 J21">
    <cfRule type="expression" dxfId="8" priority="20">
      <formula>$H$1&lt;$J$2</formula>
    </cfRule>
  </conditionalFormatting>
  <conditionalFormatting sqref="K3:K16 K18:K19 K21">
    <cfRule type="expression" dxfId="7" priority="22">
      <formula>$H$1&lt;$K$2</formula>
    </cfRule>
  </conditionalFormatting>
  <conditionalFormatting sqref="L3:L16 L18:L19 L21">
    <cfRule type="expression" dxfId="6" priority="24">
      <formula>$H$1&lt;$L$2</formula>
    </cfRule>
  </conditionalFormatting>
  <conditionalFormatting sqref="M3:M16 M18:M19 N11 M21">
    <cfRule type="expression" dxfId="5" priority="26">
      <formula>$H$1&lt;$M$2</formula>
    </cfRule>
  </conditionalFormatting>
  <conditionalFormatting sqref="N3:N10 N12:N16 N18:N19 N21">
    <cfRule type="expression" dxfId="4" priority="28">
      <formula>$H$1&lt;$N$2</formula>
    </cfRule>
  </conditionalFormatting>
  <conditionalFormatting sqref="O3:O16 O21 O18:O19">
    <cfRule type="expression" dxfId="3" priority="30">
      <formula>$H$1&lt;$O$2</formula>
    </cfRule>
  </conditionalFormatting>
  <conditionalFormatting sqref="P3:P16 P21 P18:P19">
    <cfRule type="expression" dxfId="2" priority="32">
      <formula>$H$1&lt;$P$2</formula>
    </cfRule>
  </conditionalFormatting>
  <conditionalFormatting sqref="Q3:Q16 Q21 Q18:Q19">
    <cfRule type="expression" dxfId="1" priority="34">
      <formula>$H$1&lt;$Q$2</formula>
    </cfRule>
  </conditionalFormatting>
  <printOptions horizontalCentered="1"/>
  <pageMargins left="0.19685039370078741" right="0.19685039370078741" top="0.39370078740157483" bottom="0.39370078740157483" header="0" footer="0"/>
  <pageSetup paperSize="9" scale="49" orientation="landscape" r:id="rId1"/>
  <headerFooter alignWithMargins="0">
    <oddFooter>&amp;R&amp;Z&amp;F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E83DBF6-29D9-4E47-B253-70A93B5CC44B}">
            <xm:f>$B$3&lt;&gt;標準管控值!$B$3</xm:f>
            <x14:dxf>
              <font>
                <b/>
                <i val="0"/>
                <u val="double"/>
                <color rgb="FFFF0000"/>
              </font>
            </x14:dxf>
          </x14:cfRule>
          <xm:sqref>D3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Y33"/>
  <sheetViews>
    <sheetView view="pageBreakPreview" zoomScale="70" zoomScaleNormal="70" zoomScaleSheetLayoutView="70" workbookViewId="0">
      <pane xSplit="1" ySplit="2" topLeftCell="B15" activePane="bottomRight" state="frozenSplit"/>
      <selection activeCell="D12" sqref="D12"/>
      <selection pane="topRight" activeCell="D12" sqref="D12"/>
      <selection pane="bottomLeft" activeCell="D12" sqref="D12"/>
      <selection pane="bottomRight" activeCell="E4" sqref="E4"/>
    </sheetView>
  </sheetViews>
  <sheetFormatPr defaultColWidth="9" defaultRowHeight="18.75" customHeight="1"/>
  <cols>
    <col min="1" max="1" width="27.77734375" style="6" customWidth="1"/>
    <col min="2" max="2" width="14.21875" style="8" customWidth="1"/>
    <col min="3" max="3" width="12.6640625" style="31" customWidth="1"/>
    <col min="4" max="4" width="7.6640625" style="19" customWidth="1"/>
    <col min="5" max="11" width="12.6640625" style="6" customWidth="1"/>
    <col min="12" max="13" width="12.6640625" style="9" customWidth="1"/>
    <col min="14" max="14" width="12.6640625" style="10" customWidth="1"/>
    <col min="15" max="15" width="12.6640625" style="6" customWidth="1"/>
    <col min="16" max="16" width="12.6640625" style="10" customWidth="1"/>
    <col min="17" max="17" width="12.6640625" style="9" customWidth="1"/>
    <col min="18" max="19" width="10.6640625" style="86" customWidth="1"/>
    <col min="20" max="20" width="11.109375" style="86" customWidth="1"/>
    <col min="21" max="22" width="10.6640625" style="86" customWidth="1"/>
    <col min="23" max="23" width="10.6640625" style="166" customWidth="1"/>
    <col min="24" max="24" width="58.33203125" style="92" customWidth="1"/>
    <col min="25" max="16384" width="9" style="6"/>
  </cols>
  <sheetData>
    <row r="1" spans="1:25" ht="37.5" customHeight="1">
      <c r="A1" s="57" t="s">
        <v>315</v>
      </c>
      <c r="B1" s="23"/>
      <c r="C1" s="29"/>
      <c r="D1" s="60"/>
      <c r="E1" s="23"/>
      <c r="F1" s="23"/>
      <c r="G1" s="49"/>
      <c r="H1" s="22"/>
      <c r="I1" s="23"/>
      <c r="J1" s="23"/>
      <c r="K1" s="23"/>
      <c r="L1" s="23"/>
      <c r="M1" s="23"/>
      <c r="N1" s="23"/>
      <c r="Q1" s="90" t="s">
        <v>322</v>
      </c>
    </row>
    <row r="2" spans="1:25" ht="32.25" customHeight="1">
      <c r="A2" s="5" t="s">
        <v>194</v>
      </c>
      <c r="B2" s="98" t="s">
        <v>316</v>
      </c>
      <c r="C2" s="102" t="s">
        <v>284</v>
      </c>
      <c r="D2" s="103" t="s">
        <v>283</v>
      </c>
      <c r="E2" s="39" t="s">
        <v>236</v>
      </c>
      <c r="F2" s="39" t="s">
        <v>219</v>
      </c>
      <c r="G2" s="39" t="s">
        <v>220</v>
      </c>
      <c r="H2" s="39" t="s">
        <v>221</v>
      </c>
      <c r="I2" s="39" t="s">
        <v>222</v>
      </c>
      <c r="J2" s="39" t="s">
        <v>223</v>
      </c>
      <c r="K2" s="39" t="s">
        <v>224</v>
      </c>
      <c r="L2" s="39" t="s">
        <v>225</v>
      </c>
      <c r="M2" s="39" t="s">
        <v>226</v>
      </c>
      <c r="N2" s="39" t="s">
        <v>227</v>
      </c>
      <c r="O2" s="39" t="s">
        <v>228</v>
      </c>
      <c r="P2" s="39" t="s">
        <v>229</v>
      </c>
      <c r="Q2" s="16" t="s">
        <v>250</v>
      </c>
      <c r="R2" s="89" t="s">
        <v>257</v>
      </c>
      <c r="S2" s="89" t="s">
        <v>320</v>
      </c>
      <c r="T2" s="89" t="s">
        <v>279</v>
      </c>
      <c r="U2" s="89" t="s">
        <v>280</v>
      </c>
      <c r="V2" s="89" t="s">
        <v>281</v>
      </c>
      <c r="W2" s="89" t="s">
        <v>363</v>
      </c>
      <c r="X2" s="93" t="s">
        <v>274</v>
      </c>
    </row>
    <row r="3" spans="1:25" ht="32.25" customHeight="1">
      <c r="A3" s="44" t="s">
        <v>203</v>
      </c>
      <c r="B3" s="150">
        <f>月報!B3</f>
        <v>3473170</v>
      </c>
      <c r="C3" s="101">
        <f>月報!B3-標準管控值!B3</f>
        <v>0</v>
      </c>
      <c r="D3" s="61"/>
      <c r="E3" s="46">
        <f t="shared" ref="E3:H3" si="0">($B3-$R$3)/12</f>
        <v>280264.16666666669</v>
      </c>
      <c r="F3" s="46">
        <f t="shared" si="0"/>
        <v>280264.16666666669</v>
      </c>
      <c r="G3" s="46">
        <f t="shared" si="0"/>
        <v>280264.16666666669</v>
      </c>
      <c r="H3" s="46">
        <f t="shared" si="0"/>
        <v>280264.16666666669</v>
      </c>
      <c r="I3" s="56">
        <f>($B3-$R$3)/12+$R$3</f>
        <v>390264.16666666669</v>
      </c>
      <c r="J3" s="46">
        <f t="shared" ref="J3:P3" si="1">($B3-$R$3)/12</f>
        <v>280264.16666666669</v>
      </c>
      <c r="K3" s="46">
        <f t="shared" si="1"/>
        <v>280264.16666666669</v>
      </c>
      <c r="L3" s="46">
        <f t="shared" si="1"/>
        <v>280264.16666666669</v>
      </c>
      <c r="M3" s="46">
        <f t="shared" si="1"/>
        <v>280264.16666666669</v>
      </c>
      <c r="N3" s="46">
        <f t="shared" si="1"/>
        <v>280264.16666666669</v>
      </c>
      <c r="O3" s="46">
        <f t="shared" si="1"/>
        <v>280264.16666666669</v>
      </c>
      <c r="P3" s="46">
        <f t="shared" si="1"/>
        <v>280264.16666666669</v>
      </c>
      <c r="Q3" s="17">
        <f>SUM(E3:P3)</f>
        <v>3473169.9999999995</v>
      </c>
      <c r="R3" s="88">
        <v>110000</v>
      </c>
      <c r="S3" s="88"/>
      <c r="T3" s="87"/>
      <c r="U3" s="87"/>
      <c r="V3" s="87"/>
      <c r="X3" s="94" t="s">
        <v>309</v>
      </c>
    </row>
    <row r="4" spans="1:25" ht="32.25" customHeight="1">
      <c r="A4" s="43" t="s">
        <v>253</v>
      </c>
      <c r="B4" s="150">
        <f>月報!B4</f>
        <v>5582000</v>
      </c>
      <c r="C4" s="101">
        <f>月報!B4-標準管控值!B4</f>
        <v>0</v>
      </c>
      <c r="D4" s="61"/>
      <c r="E4" s="46">
        <f>$B4/12</f>
        <v>465166.66666666669</v>
      </c>
      <c r="F4" s="46">
        <f t="shared" ref="F4:P6" si="2">$B4/12</f>
        <v>465166.66666666669</v>
      </c>
      <c r="G4" s="46">
        <f t="shared" si="2"/>
        <v>465166.66666666669</v>
      </c>
      <c r="H4" s="46">
        <f t="shared" si="2"/>
        <v>465166.66666666669</v>
      </c>
      <c r="I4" s="46">
        <f t="shared" si="2"/>
        <v>465166.66666666669</v>
      </c>
      <c r="J4" s="46">
        <f t="shared" si="2"/>
        <v>465166.66666666669</v>
      </c>
      <c r="K4" s="46">
        <f t="shared" si="2"/>
        <v>465166.66666666669</v>
      </c>
      <c r="L4" s="46">
        <f t="shared" si="2"/>
        <v>465166.66666666669</v>
      </c>
      <c r="M4" s="46">
        <f t="shared" si="2"/>
        <v>465166.66666666669</v>
      </c>
      <c r="N4" s="46">
        <f t="shared" si="2"/>
        <v>465166.66666666669</v>
      </c>
      <c r="O4" s="46">
        <f t="shared" si="2"/>
        <v>465166.66666666669</v>
      </c>
      <c r="P4" s="46">
        <f t="shared" si="2"/>
        <v>465166.66666666669</v>
      </c>
      <c r="Q4" s="17">
        <f t="shared" ref="Q4:Q28" si="3">SUM(E4:P4)</f>
        <v>5582000</v>
      </c>
      <c r="R4" s="87"/>
      <c r="S4" s="87"/>
      <c r="T4" s="87"/>
      <c r="U4" s="87"/>
      <c r="V4" s="87"/>
      <c r="X4" s="94"/>
      <c r="Y4" s="52"/>
    </row>
    <row r="5" spans="1:25" ht="32.25" customHeight="1">
      <c r="A5" s="43" t="s">
        <v>204</v>
      </c>
      <c r="B5" s="150">
        <f>月報!B5</f>
        <v>1760760</v>
      </c>
      <c r="C5" s="101">
        <f>月報!B5-標準管控值!B5</f>
        <v>0</v>
      </c>
      <c r="D5" s="61"/>
      <c r="E5" s="46">
        <f>$B5/12</f>
        <v>146730</v>
      </c>
      <c r="F5" s="46">
        <f t="shared" si="2"/>
        <v>146730</v>
      </c>
      <c r="G5" s="46">
        <f t="shared" si="2"/>
        <v>146730</v>
      </c>
      <c r="H5" s="46">
        <f t="shared" si="2"/>
        <v>146730</v>
      </c>
      <c r="I5" s="46">
        <f t="shared" si="2"/>
        <v>146730</v>
      </c>
      <c r="J5" s="46">
        <f t="shared" si="2"/>
        <v>146730</v>
      </c>
      <c r="K5" s="46">
        <f t="shared" si="2"/>
        <v>146730</v>
      </c>
      <c r="L5" s="46">
        <f t="shared" si="2"/>
        <v>146730</v>
      </c>
      <c r="M5" s="46">
        <f t="shared" si="2"/>
        <v>146730</v>
      </c>
      <c r="N5" s="46">
        <f t="shared" si="2"/>
        <v>146730</v>
      </c>
      <c r="O5" s="46">
        <f t="shared" si="2"/>
        <v>146730</v>
      </c>
      <c r="P5" s="46">
        <f t="shared" si="2"/>
        <v>146730</v>
      </c>
      <c r="Q5" s="17">
        <f t="shared" si="3"/>
        <v>1760760</v>
      </c>
      <c r="R5" s="87"/>
      <c r="S5" s="87"/>
      <c r="T5" s="87"/>
      <c r="U5" s="87"/>
      <c r="V5" s="87"/>
      <c r="X5" s="94" t="s">
        <v>249</v>
      </c>
      <c r="Y5" s="52"/>
    </row>
    <row r="6" spans="1:25" ht="32.25" customHeight="1">
      <c r="A6" s="7" t="s">
        <v>205</v>
      </c>
      <c r="B6" s="150">
        <f>月報!B6</f>
        <v>1486180</v>
      </c>
      <c r="C6" s="101">
        <f>月報!B6-標準管控值!B6</f>
        <v>0</v>
      </c>
      <c r="D6" s="100"/>
      <c r="E6" s="46">
        <f>$B6/12</f>
        <v>123848.33333333333</v>
      </c>
      <c r="F6" s="46">
        <f t="shared" si="2"/>
        <v>123848.33333333333</v>
      </c>
      <c r="G6" s="46">
        <f t="shared" si="2"/>
        <v>123848.33333333333</v>
      </c>
      <c r="H6" s="46">
        <f t="shared" si="2"/>
        <v>123848.33333333333</v>
      </c>
      <c r="I6" s="46">
        <f t="shared" si="2"/>
        <v>123848.33333333333</v>
      </c>
      <c r="J6" s="46">
        <f t="shared" si="2"/>
        <v>123848.33333333333</v>
      </c>
      <c r="K6" s="46">
        <f t="shared" si="2"/>
        <v>123848.33333333333</v>
      </c>
      <c r="L6" s="46">
        <f t="shared" si="2"/>
        <v>123848.33333333333</v>
      </c>
      <c r="M6" s="46">
        <f t="shared" si="2"/>
        <v>123848.33333333333</v>
      </c>
      <c r="N6" s="46">
        <f t="shared" si="2"/>
        <v>123848.33333333333</v>
      </c>
      <c r="O6" s="46">
        <f t="shared" si="2"/>
        <v>123848.33333333333</v>
      </c>
      <c r="P6" s="46">
        <f t="shared" si="2"/>
        <v>123848.33333333333</v>
      </c>
      <c r="Q6" s="17">
        <f t="shared" si="3"/>
        <v>1486179.9999999998</v>
      </c>
      <c r="R6" s="87"/>
      <c r="S6" s="87"/>
      <c r="T6" s="87"/>
      <c r="U6" s="87"/>
      <c r="V6" s="87"/>
      <c r="X6" s="94"/>
    </row>
    <row r="7" spans="1:25" ht="32.25" customHeight="1">
      <c r="A7" s="7" t="s">
        <v>238</v>
      </c>
      <c r="B7" s="150">
        <f>月報!B7</f>
        <v>476580</v>
      </c>
      <c r="C7" s="101">
        <f>月報!B7-標準管控值!B7</f>
        <v>0</v>
      </c>
      <c r="D7" s="61"/>
      <c r="E7" s="51">
        <f>($B$7-$R$7)/12</f>
        <v>33048.333333333336</v>
      </c>
      <c r="F7" s="51">
        <f t="shared" ref="F7:H7" si="4">($B$7-$R$7)/12</f>
        <v>33048.333333333336</v>
      </c>
      <c r="G7" s="51">
        <f t="shared" si="4"/>
        <v>33048.333333333336</v>
      </c>
      <c r="H7" s="51">
        <f t="shared" si="4"/>
        <v>33048.333333333336</v>
      </c>
      <c r="I7" s="56">
        <f>($B$7-$R$7)/12+R7</f>
        <v>113048.33333333334</v>
      </c>
      <c r="J7" s="51">
        <f>($B$7-$R$7)/12</f>
        <v>33048.333333333336</v>
      </c>
      <c r="K7" s="51">
        <f t="shared" ref="K7:P7" si="5">($B$7-$R$7)/12</f>
        <v>33048.333333333336</v>
      </c>
      <c r="L7" s="51">
        <f t="shared" si="5"/>
        <v>33048.333333333336</v>
      </c>
      <c r="M7" s="51">
        <f t="shared" si="5"/>
        <v>33048.333333333336</v>
      </c>
      <c r="N7" s="51">
        <f t="shared" si="5"/>
        <v>33048.333333333336</v>
      </c>
      <c r="O7" s="51">
        <f t="shared" si="5"/>
        <v>33048.333333333336</v>
      </c>
      <c r="P7" s="51">
        <f t="shared" si="5"/>
        <v>33048.333333333336</v>
      </c>
      <c r="Q7" s="17">
        <f t="shared" si="3"/>
        <v>476579.99999999988</v>
      </c>
      <c r="R7" s="87">
        <v>80000</v>
      </c>
      <c r="S7" s="87"/>
      <c r="T7" s="87"/>
      <c r="U7" s="87"/>
      <c r="V7" s="87"/>
      <c r="X7" s="94" t="s">
        <v>364</v>
      </c>
    </row>
    <row r="8" spans="1:25" ht="32.25" customHeight="1">
      <c r="A8" s="7" t="s">
        <v>206</v>
      </c>
      <c r="B8" s="150">
        <f>月報!B8</f>
        <v>191760</v>
      </c>
      <c r="C8" s="101">
        <f>月報!B8-標準管控值!B8</f>
        <v>0</v>
      </c>
      <c r="D8" s="61"/>
      <c r="E8" s="46">
        <f>($B8-$R$8)/12</f>
        <v>8480</v>
      </c>
      <c r="F8" s="58">
        <f>($B8-$R$8)/12+$R$8</f>
        <v>98480</v>
      </c>
      <c r="G8" s="51">
        <f>($B8-90000)/12</f>
        <v>8480</v>
      </c>
      <c r="H8" s="46">
        <f t="shared" ref="H8:P8" si="6">($B8-$R$8)/12</f>
        <v>8480</v>
      </c>
      <c r="I8" s="46">
        <f t="shared" si="6"/>
        <v>8480</v>
      </c>
      <c r="J8" s="46">
        <f t="shared" si="6"/>
        <v>8480</v>
      </c>
      <c r="K8" s="46">
        <f t="shared" si="6"/>
        <v>8480</v>
      </c>
      <c r="L8" s="46">
        <f t="shared" si="6"/>
        <v>8480</v>
      </c>
      <c r="M8" s="46">
        <f t="shared" si="6"/>
        <v>8480</v>
      </c>
      <c r="N8" s="46">
        <f t="shared" si="6"/>
        <v>8480</v>
      </c>
      <c r="O8" s="46">
        <f t="shared" si="6"/>
        <v>8480</v>
      </c>
      <c r="P8" s="46">
        <f t="shared" si="6"/>
        <v>8480</v>
      </c>
      <c r="Q8" s="17">
        <f t="shared" si="3"/>
        <v>191760</v>
      </c>
      <c r="R8" s="87">
        <v>90000</v>
      </c>
      <c r="S8" s="87"/>
      <c r="T8" s="87"/>
      <c r="U8" s="87"/>
      <c r="V8" s="87"/>
      <c r="X8" s="94" t="s">
        <v>273</v>
      </c>
    </row>
    <row r="9" spans="1:25" ht="32.25" customHeight="1">
      <c r="A9" s="7" t="s">
        <v>318</v>
      </c>
      <c r="B9" s="150">
        <f>月報!B9</f>
        <v>101300</v>
      </c>
      <c r="C9" s="101">
        <f>月報!B9-標準管控值!B9</f>
        <v>0</v>
      </c>
      <c r="D9" s="61"/>
      <c r="E9" s="46">
        <f>$B$9/12</f>
        <v>8441.6666666666661</v>
      </c>
      <c r="F9" s="46">
        <f t="shared" ref="F9:P9" si="7">$B$9/12</f>
        <v>8441.6666666666661</v>
      </c>
      <c r="G9" s="46">
        <f t="shared" si="7"/>
        <v>8441.6666666666661</v>
      </c>
      <c r="H9" s="46">
        <f t="shared" si="7"/>
        <v>8441.6666666666661</v>
      </c>
      <c r="I9" s="46">
        <f t="shared" si="7"/>
        <v>8441.6666666666661</v>
      </c>
      <c r="J9" s="46">
        <f t="shared" si="7"/>
        <v>8441.6666666666661</v>
      </c>
      <c r="K9" s="46">
        <f t="shared" si="7"/>
        <v>8441.6666666666661</v>
      </c>
      <c r="L9" s="46">
        <f t="shared" si="7"/>
        <v>8441.6666666666661</v>
      </c>
      <c r="M9" s="46">
        <f t="shared" si="7"/>
        <v>8441.6666666666661</v>
      </c>
      <c r="N9" s="46">
        <f t="shared" si="7"/>
        <v>8441.6666666666661</v>
      </c>
      <c r="O9" s="46">
        <f t="shared" si="7"/>
        <v>8441.6666666666661</v>
      </c>
      <c r="P9" s="46">
        <f t="shared" si="7"/>
        <v>8441.6666666666661</v>
      </c>
      <c r="Q9" s="17">
        <f t="shared" si="3"/>
        <v>101300.00000000001</v>
      </c>
      <c r="R9" s="163"/>
      <c r="S9" s="163"/>
      <c r="T9" s="163"/>
      <c r="U9" s="163"/>
      <c r="V9" s="163"/>
      <c r="W9" s="167"/>
      <c r="X9" s="94"/>
    </row>
    <row r="10" spans="1:25" ht="32.25" customHeight="1">
      <c r="A10" s="7" t="s">
        <v>207</v>
      </c>
      <c r="B10" s="150">
        <f>月報!B10</f>
        <v>44180</v>
      </c>
      <c r="C10" s="101">
        <f>月報!B10-標準管控值!B10</f>
        <v>0</v>
      </c>
      <c r="D10" s="61"/>
      <c r="E10" s="46">
        <f>$B$10/12</f>
        <v>3681.6666666666665</v>
      </c>
      <c r="F10" s="46">
        <f t="shared" ref="F10:P10" si="8">$B$10/12</f>
        <v>3681.6666666666665</v>
      </c>
      <c r="G10" s="46">
        <f t="shared" si="8"/>
        <v>3681.6666666666665</v>
      </c>
      <c r="H10" s="46">
        <f t="shared" si="8"/>
        <v>3681.6666666666665</v>
      </c>
      <c r="I10" s="46">
        <f t="shared" si="8"/>
        <v>3681.6666666666665</v>
      </c>
      <c r="J10" s="46">
        <f t="shared" si="8"/>
        <v>3681.6666666666665</v>
      </c>
      <c r="K10" s="46">
        <f t="shared" si="8"/>
        <v>3681.6666666666665</v>
      </c>
      <c r="L10" s="46">
        <f t="shared" si="8"/>
        <v>3681.6666666666665</v>
      </c>
      <c r="M10" s="46">
        <f t="shared" si="8"/>
        <v>3681.6666666666665</v>
      </c>
      <c r="N10" s="46">
        <f t="shared" si="8"/>
        <v>3681.6666666666665</v>
      </c>
      <c r="O10" s="46">
        <f t="shared" si="8"/>
        <v>3681.6666666666665</v>
      </c>
      <c r="P10" s="46">
        <f t="shared" si="8"/>
        <v>3681.6666666666665</v>
      </c>
      <c r="Q10" s="17">
        <f t="shared" si="3"/>
        <v>44179.999999999993</v>
      </c>
      <c r="R10" s="163"/>
      <c r="S10" s="163"/>
      <c r="T10" s="163"/>
      <c r="U10" s="163"/>
      <c r="V10" s="163"/>
      <c r="W10" s="167"/>
      <c r="X10" s="94"/>
    </row>
    <row r="11" spans="1:25" ht="32.25" customHeight="1">
      <c r="A11" s="7" t="s">
        <v>317</v>
      </c>
      <c r="B11" s="150">
        <f>月報!B11</f>
        <v>6851060</v>
      </c>
      <c r="C11" s="101">
        <f>月報!B11-標準管控值!B11</f>
        <v>0</v>
      </c>
      <c r="D11" s="61"/>
      <c r="E11" s="157">
        <f>($B$11-$R$11-$S$11-$T$11)/12</f>
        <v>139301.66666666666</v>
      </c>
      <c r="F11" s="157">
        <f>($B$11-$R$11-$S$11-$T$11)/12</f>
        <v>139301.66666666666</v>
      </c>
      <c r="G11" s="157">
        <f>($B$11-$R$11-$S$11-$T$11)/12</f>
        <v>139301.66666666666</v>
      </c>
      <c r="H11" s="58">
        <f>($B$11-$R$11-$S$11-$T$11)/12+R11</f>
        <v>1939301.6666666667</v>
      </c>
      <c r="I11" s="58">
        <f>($B$11-$R$11-$S$11-$T$11)/12+S11</f>
        <v>849301.66666666663</v>
      </c>
      <c r="J11" s="51">
        <f>($B$11-$R$11-$S$11-$T$11)/12</f>
        <v>139301.66666666666</v>
      </c>
      <c r="K11" s="51">
        <f>($B$11-$R$11-$S$11-$T$11)/12</f>
        <v>139301.66666666666</v>
      </c>
      <c r="L11" s="51">
        <f>($B$11-$R$11-$S$11-$T$11)/12</f>
        <v>139301.66666666666</v>
      </c>
      <c r="M11" s="51">
        <f>($B$11-$R$11-$S$11-$T$11)/12</f>
        <v>139301.66666666666</v>
      </c>
      <c r="N11" s="58">
        <f>($B$11-$R$11-$S$11-$T$11)/12+T11</f>
        <v>2808741.6666666665</v>
      </c>
      <c r="O11" s="51">
        <f>($B$11-$R$11-$S$11-$T$11)/12</f>
        <v>139301.66666666666</v>
      </c>
      <c r="P11" s="51">
        <f>($B$11-$R$11-$S$11-$T$11)/12</f>
        <v>139301.66666666666</v>
      </c>
      <c r="Q11" s="17">
        <f t="shared" si="3"/>
        <v>6851060</v>
      </c>
      <c r="R11" s="162">
        <v>1800000</v>
      </c>
      <c r="S11" s="163">
        <v>710000</v>
      </c>
      <c r="T11" s="165">
        <f>1915490+753950</f>
        <v>2669440</v>
      </c>
      <c r="U11" s="165"/>
      <c r="V11" s="164"/>
      <c r="W11" s="167"/>
      <c r="X11" s="95" t="s">
        <v>360</v>
      </c>
    </row>
    <row r="12" spans="1:25" ht="32.25" customHeight="1">
      <c r="A12" s="7" t="s">
        <v>208</v>
      </c>
      <c r="B12" s="150">
        <f>月報!B12</f>
        <v>587040</v>
      </c>
      <c r="C12" s="101">
        <f>月報!B12-標準管控值!B12</f>
        <v>0</v>
      </c>
      <c r="D12" s="61"/>
      <c r="E12" s="58">
        <f>($B$12-$R$12-$T$12)/12+R12</f>
        <v>163920</v>
      </c>
      <c r="F12" s="46">
        <f>($B$12-$R$12-$T$12)/12</f>
        <v>33920</v>
      </c>
      <c r="G12" s="46">
        <f>($B$12-$R$12-$T$12)/12</f>
        <v>33920</v>
      </c>
      <c r="H12" s="46">
        <f>($B$12-$R$12-$T$12)/12</f>
        <v>33920</v>
      </c>
      <c r="I12" s="46">
        <f>($B$12-$R$12-$T$12)/12</f>
        <v>33920</v>
      </c>
      <c r="J12" s="58">
        <f>($B$12-$R$12-$T$12)/12+$T$12</f>
        <v>83920</v>
      </c>
      <c r="K12" s="46">
        <f t="shared" ref="K12:P12" si="9">($B$12-$R$12-$T$12)/12</f>
        <v>33920</v>
      </c>
      <c r="L12" s="46">
        <f t="shared" si="9"/>
        <v>33920</v>
      </c>
      <c r="M12" s="46">
        <f t="shared" si="9"/>
        <v>33920</v>
      </c>
      <c r="N12" s="46">
        <f t="shared" si="9"/>
        <v>33920</v>
      </c>
      <c r="O12" s="46">
        <f t="shared" si="9"/>
        <v>33920</v>
      </c>
      <c r="P12" s="46">
        <f t="shared" si="9"/>
        <v>33920</v>
      </c>
      <c r="Q12" s="17">
        <f t="shared" si="3"/>
        <v>587040</v>
      </c>
      <c r="R12" s="163">
        <v>130000</v>
      </c>
      <c r="S12" s="163"/>
      <c r="T12" s="163">
        <v>50000</v>
      </c>
      <c r="U12" s="163"/>
      <c r="V12" s="163"/>
      <c r="W12" s="167"/>
      <c r="X12" s="96" t="s">
        <v>278</v>
      </c>
    </row>
    <row r="13" spans="1:25" ht="32.25" customHeight="1">
      <c r="A13" s="7" t="s">
        <v>209</v>
      </c>
      <c r="B13" s="150">
        <f>月報!B13</f>
        <v>479400</v>
      </c>
      <c r="C13" s="101">
        <f>月報!B13-標準管控值!B13</f>
        <v>0</v>
      </c>
      <c r="D13" s="61"/>
      <c r="E13" s="46">
        <f>$B13/12</f>
        <v>39950</v>
      </c>
      <c r="F13" s="46">
        <f t="shared" ref="F13:P13" si="10">$B$13/12</f>
        <v>39950</v>
      </c>
      <c r="G13" s="46">
        <f t="shared" si="10"/>
        <v>39950</v>
      </c>
      <c r="H13" s="46">
        <f t="shared" si="10"/>
        <v>39950</v>
      </c>
      <c r="I13" s="46">
        <f t="shared" si="10"/>
        <v>39950</v>
      </c>
      <c r="J13" s="46">
        <f t="shared" si="10"/>
        <v>39950</v>
      </c>
      <c r="K13" s="46">
        <f t="shared" si="10"/>
        <v>39950</v>
      </c>
      <c r="L13" s="46">
        <f t="shared" si="10"/>
        <v>39950</v>
      </c>
      <c r="M13" s="46">
        <f t="shared" si="10"/>
        <v>39950</v>
      </c>
      <c r="N13" s="46">
        <f t="shared" si="10"/>
        <v>39950</v>
      </c>
      <c r="O13" s="46">
        <f t="shared" si="10"/>
        <v>39950</v>
      </c>
      <c r="P13" s="46">
        <f t="shared" si="10"/>
        <v>39950</v>
      </c>
      <c r="Q13" s="17">
        <f t="shared" si="3"/>
        <v>479400</v>
      </c>
      <c r="R13" s="163"/>
      <c r="S13" s="163"/>
      <c r="T13" s="163"/>
      <c r="U13" s="163"/>
      <c r="V13" s="163"/>
      <c r="W13" s="167"/>
      <c r="X13" s="94"/>
    </row>
    <row r="14" spans="1:25" ht="32.25" customHeight="1">
      <c r="A14" s="7" t="s">
        <v>319</v>
      </c>
      <c r="B14" s="150">
        <f>月報!B14</f>
        <v>2454340</v>
      </c>
      <c r="C14" s="101">
        <f>月報!B14-標準管控值!B14</f>
        <v>0</v>
      </c>
      <c r="D14" s="61"/>
      <c r="E14" s="46">
        <f>$B14/12</f>
        <v>204528.33333333334</v>
      </c>
      <c r="F14" s="46">
        <f t="shared" ref="F14:P14" si="11">$B14/12</f>
        <v>204528.33333333334</v>
      </c>
      <c r="G14" s="46">
        <f t="shared" si="11"/>
        <v>204528.33333333334</v>
      </c>
      <c r="H14" s="46">
        <f t="shared" si="11"/>
        <v>204528.33333333334</v>
      </c>
      <c r="I14" s="46">
        <f t="shared" si="11"/>
        <v>204528.33333333334</v>
      </c>
      <c r="J14" s="46">
        <f t="shared" si="11"/>
        <v>204528.33333333334</v>
      </c>
      <c r="K14" s="46">
        <f t="shared" si="11"/>
        <v>204528.33333333334</v>
      </c>
      <c r="L14" s="46">
        <f t="shared" si="11"/>
        <v>204528.33333333334</v>
      </c>
      <c r="M14" s="46">
        <f t="shared" si="11"/>
        <v>204528.33333333334</v>
      </c>
      <c r="N14" s="46">
        <f t="shared" si="11"/>
        <v>204528.33333333334</v>
      </c>
      <c r="O14" s="46">
        <f t="shared" si="11"/>
        <v>204528.33333333334</v>
      </c>
      <c r="P14" s="46">
        <f t="shared" si="11"/>
        <v>204528.33333333334</v>
      </c>
      <c r="Q14" s="17">
        <f t="shared" si="3"/>
        <v>2454340</v>
      </c>
      <c r="R14" s="163"/>
      <c r="S14" s="163"/>
      <c r="T14" s="163"/>
      <c r="U14" s="163"/>
      <c r="V14" s="163"/>
      <c r="W14" s="167"/>
      <c r="X14" s="94"/>
    </row>
    <row r="15" spans="1:25" ht="32.25" customHeight="1">
      <c r="A15" s="43" t="s">
        <v>210</v>
      </c>
      <c r="B15" s="150">
        <f>月報!B15</f>
        <v>740000</v>
      </c>
      <c r="C15" s="101">
        <f>月報!B15-標準管控值!B15</f>
        <v>0</v>
      </c>
      <c r="D15" s="61"/>
      <c r="E15" s="58">
        <f>$B$15*E31</f>
        <v>50961.569495733173</v>
      </c>
      <c r="F15" s="58">
        <f t="shared" ref="F15:P15" si="12">$B$15*F31</f>
        <v>48105.547578139151</v>
      </c>
      <c r="G15" s="58">
        <f t="shared" si="12"/>
        <v>53283.816171511673</v>
      </c>
      <c r="H15" s="58">
        <f t="shared" si="12"/>
        <v>56822.19458915112</v>
      </c>
      <c r="I15" s="58">
        <f t="shared" si="12"/>
        <v>60638.732329402505</v>
      </c>
      <c r="J15" s="58">
        <f t="shared" si="12"/>
        <v>62545.050887036319</v>
      </c>
      <c r="K15" s="58">
        <f t="shared" si="12"/>
        <v>66195.428397446973</v>
      </c>
      <c r="L15" s="58">
        <f t="shared" si="12"/>
        <v>69061.902362314926</v>
      </c>
      <c r="M15" s="58">
        <f t="shared" si="12"/>
        <v>72908.435966822886</v>
      </c>
      <c r="N15" s="58">
        <f t="shared" si="12"/>
        <v>76054.321988556112</v>
      </c>
      <c r="O15" s="58">
        <f t="shared" si="12"/>
        <v>70391.925377919091</v>
      </c>
      <c r="P15" s="58">
        <f t="shared" si="12"/>
        <v>53031.074855965999</v>
      </c>
      <c r="Q15" s="17">
        <f t="shared" si="3"/>
        <v>740000</v>
      </c>
      <c r="R15" s="168"/>
      <c r="S15" s="169"/>
      <c r="T15" s="169"/>
      <c r="U15" s="168"/>
      <c r="V15" s="168"/>
      <c r="W15" s="170"/>
      <c r="X15" s="94"/>
    </row>
    <row r="16" spans="1:25" ht="32.25" customHeight="1">
      <c r="A16" s="43" t="s">
        <v>211</v>
      </c>
      <c r="B16" s="150">
        <f>月報!B16</f>
        <v>4928000</v>
      </c>
      <c r="C16" s="101">
        <f>月報!B16-標準管控值!B16</f>
        <v>0</v>
      </c>
      <c r="D16" s="61"/>
      <c r="E16" s="56">
        <f>$B$16*E30</f>
        <v>355133.65174024331</v>
      </c>
      <c r="F16" s="56">
        <f t="shared" ref="F16:P16" si="13">$B$16*F30</f>
        <v>283094.49296778109</v>
      </c>
      <c r="G16" s="56">
        <f t="shared" si="13"/>
        <v>386731.40354117739</v>
      </c>
      <c r="H16" s="56">
        <f t="shared" si="13"/>
        <v>430456.23664142279</v>
      </c>
      <c r="I16" s="56">
        <f t="shared" si="13"/>
        <v>519264.32171411981</v>
      </c>
      <c r="J16" s="56">
        <f t="shared" si="13"/>
        <v>502332.84956592874</v>
      </c>
      <c r="K16" s="56">
        <f t="shared" si="13"/>
        <v>489729.74114045972</v>
      </c>
      <c r="L16" s="56">
        <f t="shared" si="13"/>
        <v>464416.70844657888</v>
      </c>
      <c r="M16" s="56">
        <f t="shared" si="13"/>
        <v>390588.38430482626</v>
      </c>
      <c r="N16" s="56">
        <f t="shared" si="13"/>
        <v>400721.9568831306</v>
      </c>
      <c r="O16" s="56">
        <f t="shared" si="13"/>
        <v>376986.77995619702</v>
      </c>
      <c r="P16" s="56">
        <f t="shared" si="13"/>
        <v>328543.47309813445</v>
      </c>
      <c r="Q16" s="17">
        <f t="shared" si="3"/>
        <v>4928000</v>
      </c>
      <c r="R16" s="168"/>
      <c r="S16" s="168"/>
      <c r="T16" s="168"/>
      <c r="U16" s="168"/>
      <c r="V16" s="168"/>
      <c r="W16" s="170"/>
      <c r="X16" s="94" t="s">
        <v>249</v>
      </c>
    </row>
    <row r="17" spans="1:24" ht="32.25" customHeight="1">
      <c r="A17" s="7" t="s">
        <v>235</v>
      </c>
      <c r="B17" s="150">
        <f>月報!B17</f>
        <v>2194340</v>
      </c>
      <c r="C17" s="101">
        <f>月報!B17-標準管控值!B17</f>
        <v>0</v>
      </c>
      <c r="D17" s="61"/>
      <c r="E17" s="46">
        <f>$B$17/12</f>
        <v>182861.66666666666</v>
      </c>
      <c r="F17" s="46">
        <f t="shared" ref="F17:P17" si="14">$B$17/12</f>
        <v>182861.66666666666</v>
      </c>
      <c r="G17" s="46">
        <f t="shared" si="14"/>
        <v>182861.66666666666</v>
      </c>
      <c r="H17" s="46">
        <f t="shared" si="14"/>
        <v>182861.66666666666</v>
      </c>
      <c r="I17" s="46">
        <f t="shared" si="14"/>
        <v>182861.66666666666</v>
      </c>
      <c r="J17" s="46">
        <f t="shared" si="14"/>
        <v>182861.66666666666</v>
      </c>
      <c r="K17" s="46">
        <f t="shared" si="14"/>
        <v>182861.66666666666</v>
      </c>
      <c r="L17" s="46">
        <f t="shared" si="14"/>
        <v>182861.66666666666</v>
      </c>
      <c r="M17" s="46">
        <f t="shared" si="14"/>
        <v>182861.66666666666</v>
      </c>
      <c r="N17" s="46">
        <f t="shared" si="14"/>
        <v>182861.66666666666</v>
      </c>
      <c r="O17" s="46">
        <f t="shared" si="14"/>
        <v>182861.66666666666</v>
      </c>
      <c r="P17" s="46">
        <f t="shared" si="14"/>
        <v>182861.66666666666</v>
      </c>
      <c r="Q17" s="17">
        <f t="shared" si="3"/>
        <v>2194340.0000000005</v>
      </c>
      <c r="R17" s="171"/>
      <c r="S17" s="171"/>
      <c r="T17" s="171"/>
      <c r="U17" s="171"/>
      <c r="V17" s="171"/>
      <c r="W17" s="170"/>
      <c r="X17" s="94"/>
    </row>
    <row r="18" spans="1:24" ht="32.25" customHeight="1">
      <c r="A18" s="7" t="s">
        <v>237</v>
      </c>
      <c r="B18" s="150">
        <f>月報!B18</f>
        <v>1541750</v>
      </c>
      <c r="C18" s="101">
        <f>月報!B18-標準管控值!B18</f>
        <v>0</v>
      </c>
      <c r="D18" s="61"/>
      <c r="E18" s="46">
        <f>$B$18/12</f>
        <v>128479.16666666667</v>
      </c>
      <c r="F18" s="46">
        <f t="shared" ref="F18:P18" si="15">$B$18/12</f>
        <v>128479.16666666667</v>
      </c>
      <c r="G18" s="46">
        <f t="shared" si="15"/>
        <v>128479.16666666667</v>
      </c>
      <c r="H18" s="46">
        <f t="shared" si="15"/>
        <v>128479.16666666667</v>
      </c>
      <c r="I18" s="46">
        <f t="shared" si="15"/>
        <v>128479.16666666667</v>
      </c>
      <c r="J18" s="46">
        <f t="shared" si="15"/>
        <v>128479.16666666667</v>
      </c>
      <c r="K18" s="46">
        <f t="shared" si="15"/>
        <v>128479.16666666667</v>
      </c>
      <c r="L18" s="46">
        <f t="shared" si="15"/>
        <v>128479.16666666667</v>
      </c>
      <c r="M18" s="46">
        <f t="shared" si="15"/>
        <v>128479.16666666667</v>
      </c>
      <c r="N18" s="46">
        <f t="shared" si="15"/>
        <v>128479.16666666667</v>
      </c>
      <c r="O18" s="46">
        <f t="shared" si="15"/>
        <v>128479.16666666667</v>
      </c>
      <c r="P18" s="46">
        <f t="shared" si="15"/>
        <v>128479.16666666667</v>
      </c>
      <c r="Q18" s="17">
        <f t="shared" si="3"/>
        <v>1541750.0000000002</v>
      </c>
      <c r="R18" s="171"/>
      <c r="S18" s="171"/>
      <c r="T18" s="171"/>
      <c r="U18" s="171"/>
      <c r="V18" s="171"/>
      <c r="W18" s="170"/>
      <c r="X18" s="94"/>
    </row>
    <row r="19" spans="1:24" ht="32.25" customHeight="1">
      <c r="A19" s="7" t="s">
        <v>212</v>
      </c>
      <c r="B19" s="150">
        <f>月報!B19</f>
        <v>547140</v>
      </c>
      <c r="C19" s="101">
        <f>月報!B19-標準管控值!B19</f>
        <v>0</v>
      </c>
      <c r="D19" s="61"/>
      <c r="E19" s="46">
        <f>$B$19/12</f>
        <v>45595</v>
      </c>
      <c r="F19" s="46">
        <f t="shared" ref="F19:P19" si="16">$B$19/12</f>
        <v>45595</v>
      </c>
      <c r="G19" s="46">
        <f t="shared" si="16"/>
        <v>45595</v>
      </c>
      <c r="H19" s="46">
        <f t="shared" si="16"/>
        <v>45595</v>
      </c>
      <c r="I19" s="46">
        <f t="shared" si="16"/>
        <v>45595</v>
      </c>
      <c r="J19" s="46">
        <f t="shared" si="16"/>
        <v>45595</v>
      </c>
      <c r="K19" s="46">
        <f t="shared" si="16"/>
        <v>45595</v>
      </c>
      <c r="L19" s="46">
        <f t="shared" si="16"/>
        <v>45595</v>
      </c>
      <c r="M19" s="46">
        <f t="shared" si="16"/>
        <v>45595</v>
      </c>
      <c r="N19" s="46">
        <f t="shared" si="16"/>
        <v>45595</v>
      </c>
      <c r="O19" s="46">
        <f t="shared" si="16"/>
        <v>45595</v>
      </c>
      <c r="P19" s="46">
        <f t="shared" si="16"/>
        <v>45595</v>
      </c>
      <c r="Q19" s="17">
        <f t="shared" si="3"/>
        <v>547140</v>
      </c>
      <c r="R19" s="171"/>
      <c r="S19" s="171"/>
      <c r="T19" s="171"/>
      <c r="U19" s="171"/>
      <c r="V19" s="171"/>
      <c r="W19" s="170"/>
      <c r="X19" s="94"/>
    </row>
    <row r="20" spans="1:24" ht="86.25" customHeight="1">
      <c r="A20" s="7" t="s">
        <v>213</v>
      </c>
      <c r="B20" s="150">
        <f>月報!B20</f>
        <v>8003780</v>
      </c>
      <c r="C20" s="101">
        <f>月報!B20-標準管控值!B20</f>
        <v>0</v>
      </c>
      <c r="D20" s="61"/>
      <c r="E20" s="58">
        <f>($B$20-$R$20-$S$20-$T$20-$U$20-$V$20)/12+$R$20*0.3</f>
        <v>762231.66666666663</v>
      </c>
      <c r="F20" s="56">
        <f>($B$20-$R$20-$S$20-$T$20-$U$20-$V$20)/12+$R$20*0.2</f>
        <v>522231.66666666669</v>
      </c>
      <c r="G20" s="56">
        <f>($B$20-$R$20-$S$20-$T$20-$U$20-$V$20)/12+$S$20+$R$20*0.3</f>
        <v>2162231.666666667</v>
      </c>
      <c r="H20" s="51">
        <f>($B$20-$R$20-$S$20-$T$20-$U$20-$V$20)/12</f>
        <v>42231.666666666664</v>
      </c>
      <c r="I20" s="51">
        <f>($B$20-$R$20-$S$20-$T$20-$U$20-$V$20)/12</f>
        <v>42231.666666666664</v>
      </c>
      <c r="J20" s="161">
        <f>($B$20-$R$20-$S$20-$T$20-$U$20-$V$20)/12+$R$20*0.2+T20+U20</f>
        <v>2637231.6666666665</v>
      </c>
      <c r="K20" s="160">
        <f>($B$20-$R$20-$S$20-$T$20-$U$20-$V$20)/12</f>
        <v>42231.666666666664</v>
      </c>
      <c r="L20" s="160">
        <f>($B$20-$R$20-$S$20-$T$20-$U$20-$V$20)/12</f>
        <v>42231.666666666664</v>
      </c>
      <c r="M20" s="186">
        <f>($B$20-$R$20-$S$20-$T$20-$U$20-$V$20)/12+$V$20</f>
        <v>1624231.6666666667</v>
      </c>
      <c r="N20" s="51">
        <f>($B$20-$R$20-$S$20-$T$20-$U$20-$V$20)/12</f>
        <v>42231.666666666664</v>
      </c>
      <c r="O20" s="51">
        <f>($B$20-$R$20-$S$20-$T$20-$U$20-$V$20)/12</f>
        <v>42231.666666666664</v>
      </c>
      <c r="P20" s="51">
        <f>($B$20-$R$20-$S$20-$T$20-$U$20-$V$20)/12</f>
        <v>42231.666666666664</v>
      </c>
      <c r="Q20" s="17">
        <f t="shared" si="3"/>
        <v>8003780.0000000019</v>
      </c>
      <c r="R20" s="172">
        <v>2400000</v>
      </c>
      <c r="S20" s="172">
        <v>1400000</v>
      </c>
      <c r="T20" s="173">
        <v>1692000</v>
      </c>
      <c r="U20" s="173">
        <v>423000</v>
      </c>
      <c r="V20" s="174">
        <f>782000+800000</f>
        <v>1582000</v>
      </c>
      <c r="W20" s="175"/>
      <c r="X20" s="105" t="s">
        <v>378</v>
      </c>
    </row>
    <row r="21" spans="1:24" ht="54.75" customHeight="1">
      <c r="A21" s="13" t="s">
        <v>214</v>
      </c>
      <c r="B21" s="150">
        <f>月報!B21</f>
        <v>523600</v>
      </c>
      <c r="C21" s="101">
        <f>月報!B21-標準管控值!B21</f>
        <v>0</v>
      </c>
      <c r="D21" s="61"/>
      <c r="E21" s="51">
        <f>($B$21-$R$21-$S$21-$T$21)/12</f>
        <v>15925</v>
      </c>
      <c r="F21" s="58">
        <f>($B$21-$R$21-$S$21-$T$21)/12+R21</f>
        <v>75925</v>
      </c>
      <c r="G21" s="46">
        <f>($B$21-$R$21-$S$21-$T$21)/12</f>
        <v>15925</v>
      </c>
      <c r="H21" s="46">
        <f>($B$21-$R$21-$S$21-$T$21)/12</f>
        <v>15925</v>
      </c>
      <c r="I21" s="46">
        <f>($B$21-$R$21-$S$21-$T$21)/12</f>
        <v>15925</v>
      </c>
      <c r="J21" s="51">
        <f>($B$21-$R$21-$S$21-$T$21)/12</f>
        <v>15925</v>
      </c>
      <c r="K21" s="56">
        <f>($B$21-$R$21-$S$21-$T$21)/12+S21</f>
        <v>55925</v>
      </c>
      <c r="L21" s="46">
        <f>($B$21-$R$21-$S$21-$T$21)/12</f>
        <v>15925</v>
      </c>
      <c r="M21" s="186">
        <f>($B$21-$R$21-$S$21-$T$21)/12+$T$21</f>
        <v>248425</v>
      </c>
      <c r="N21" s="51">
        <f>($B$21-$R$21-$S$21-$T$21)/12</f>
        <v>15925</v>
      </c>
      <c r="O21" s="46">
        <f>($B$21-$R$21-$S$21-$T$21)/12</f>
        <v>15925</v>
      </c>
      <c r="P21" s="46">
        <f>($B$21-$R$21-$S$21-$T$21)/12</f>
        <v>15925</v>
      </c>
      <c r="Q21" s="17">
        <f t="shared" si="3"/>
        <v>523600</v>
      </c>
      <c r="R21" s="176">
        <v>60000</v>
      </c>
      <c r="S21" s="177">
        <v>40000</v>
      </c>
      <c r="T21" s="177">
        <v>232500</v>
      </c>
      <c r="U21" s="177"/>
      <c r="W21" s="178"/>
      <c r="X21" s="95" t="s">
        <v>365</v>
      </c>
    </row>
    <row r="22" spans="1:24" ht="32.25" customHeight="1">
      <c r="A22" s="13" t="s">
        <v>215</v>
      </c>
      <c r="B22" s="150">
        <f>月報!B22</f>
        <v>432400</v>
      </c>
      <c r="C22" s="101">
        <f>月報!B22-標準管控值!B22</f>
        <v>0</v>
      </c>
      <c r="D22" s="61"/>
      <c r="E22" s="46">
        <f>$B$22/12</f>
        <v>36033.333333333336</v>
      </c>
      <c r="F22" s="46">
        <f t="shared" ref="F22:P22" si="17">$B$22/12</f>
        <v>36033.333333333336</v>
      </c>
      <c r="G22" s="46">
        <f t="shared" si="17"/>
        <v>36033.333333333336</v>
      </c>
      <c r="H22" s="46">
        <f t="shared" si="17"/>
        <v>36033.333333333336</v>
      </c>
      <c r="I22" s="46">
        <f t="shared" si="17"/>
        <v>36033.333333333336</v>
      </c>
      <c r="J22" s="46">
        <f t="shared" si="17"/>
        <v>36033.333333333336</v>
      </c>
      <c r="K22" s="46">
        <f t="shared" si="17"/>
        <v>36033.333333333336</v>
      </c>
      <c r="L22" s="46">
        <f t="shared" si="17"/>
        <v>36033.333333333336</v>
      </c>
      <c r="M22" s="46">
        <f t="shared" si="17"/>
        <v>36033.333333333336</v>
      </c>
      <c r="N22" s="46">
        <f t="shared" si="17"/>
        <v>36033.333333333336</v>
      </c>
      <c r="O22" s="46">
        <f t="shared" si="17"/>
        <v>36033.333333333336</v>
      </c>
      <c r="P22" s="46">
        <f t="shared" si="17"/>
        <v>36033.333333333336</v>
      </c>
      <c r="Q22" s="17">
        <f t="shared" si="3"/>
        <v>432399.99999999994</v>
      </c>
      <c r="R22" s="171" t="s">
        <v>276</v>
      </c>
      <c r="S22" s="171"/>
      <c r="T22" s="171"/>
      <c r="U22" s="171"/>
      <c r="V22" s="171"/>
      <c r="W22" s="170"/>
      <c r="X22" s="94"/>
    </row>
    <row r="23" spans="1:24" ht="32.25" customHeight="1">
      <c r="A23" s="13" t="s">
        <v>234</v>
      </c>
      <c r="B23" s="150">
        <f>月報!B23</f>
        <v>1100000</v>
      </c>
      <c r="C23" s="101">
        <f>月報!B23-標準管控值!B23</f>
        <v>0</v>
      </c>
      <c r="D23" s="61"/>
      <c r="E23" s="46">
        <f>$B$23/12</f>
        <v>91666.666666666672</v>
      </c>
      <c r="F23" s="46">
        <f t="shared" ref="F23:P23" si="18">$B$23/12</f>
        <v>91666.666666666672</v>
      </c>
      <c r="G23" s="46">
        <f t="shared" si="18"/>
        <v>91666.666666666672</v>
      </c>
      <c r="H23" s="46">
        <f t="shared" si="18"/>
        <v>91666.666666666672</v>
      </c>
      <c r="I23" s="46">
        <f t="shared" si="18"/>
        <v>91666.666666666672</v>
      </c>
      <c r="J23" s="46">
        <f t="shared" si="18"/>
        <v>91666.666666666672</v>
      </c>
      <c r="K23" s="46">
        <f t="shared" si="18"/>
        <v>91666.666666666672</v>
      </c>
      <c r="L23" s="46">
        <f t="shared" si="18"/>
        <v>91666.666666666672</v>
      </c>
      <c r="M23" s="46">
        <f t="shared" si="18"/>
        <v>91666.666666666672</v>
      </c>
      <c r="N23" s="46">
        <f t="shared" si="18"/>
        <v>91666.666666666672</v>
      </c>
      <c r="O23" s="46">
        <f t="shared" si="18"/>
        <v>91666.666666666672</v>
      </c>
      <c r="P23" s="46">
        <f t="shared" si="18"/>
        <v>91666.666666666672</v>
      </c>
      <c r="Q23" s="17">
        <f t="shared" si="3"/>
        <v>1099999.9999999998</v>
      </c>
      <c r="R23" s="171"/>
      <c r="S23" s="171"/>
      <c r="T23" s="171"/>
      <c r="U23" s="171"/>
      <c r="V23" s="171"/>
      <c r="W23" s="170"/>
      <c r="X23" s="94"/>
    </row>
    <row r="24" spans="1:24" ht="32.25" customHeight="1">
      <c r="A24" s="13" t="s">
        <v>323</v>
      </c>
      <c r="B24" s="150">
        <f>月報!B24</f>
        <v>4448080</v>
      </c>
      <c r="C24" s="101">
        <f>月報!B25-標準管控值!B24</f>
        <v>-3605590</v>
      </c>
      <c r="D24" s="61"/>
      <c r="E24" s="47">
        <f>$B$24/12</f>
        <v>370673.33333333331</v>
      </c>
      <c r="F24" s="47">
        <f t="shared" ref="F24:P24" si="19">$B$24/12</f>
        <v>370673.33333333331</v>
      </c>
      <c r="G24" s="47">
        <f t="shared" si="19"/>
        <v>370673.33333333331</v>
      </c>
      <c r="H24" s="47">
        <f t="shared" si="19"/>
        <v>370673.33333333331</v>
      </c>
      <c r="I24" s="47">
        <f t="shared" si="19"/>
        <v>370673.33333333331</v>
      </c>
      <c r="J24" s="47">
        <f t="shared" si="19"/>
        <v>370673.33333333331</v>
      </c>
      <c r="K24" s="47">
        <f t="shared" si="19"/>
        <v>370673.33333333331</v>
      </c>
      <c r="L24" s="47">
        <f t="shared" si="19"/>
        <v>370673.33333333331</v>
      </c>
      <c r="M24" s="47">
        <f t="shared" si="19"/>
        <v>370673.33333333331</v>
      </c>
      <c r="N24" s="47">
        <f t="shared" si="19"/>
        <v>370673.33333333331</v>
      </c>
      <c r="O24" s="47">
        <f t="shared" si="19"/>
        <v>370673.33333333331</v>
      </c>
      <c r="P24" s="47">
        <f t="shared" si="19"/>
        <v>370673.33333333331</v>
      </c>
      <c r="Q24" s="17">
        <f t="shared" si="3"/>
        <v>4448080.0000000009</v>
      </c>
      <c r="R24" s="171"/>
      <c r="S24" s="171"/>
      <c r="T24" s="171"/>
      <c r="U24" s="171"/>
      <c r="V24" s="171"/>
      <c r="W24" s="170"/>
      <c r="X24" s="94"/>
    </row>
    <row r="25" spans="1:24" ht="32.25" customHeight="1">
      <c r="A25" s="7" t="s">
        <v>310</v>
      </c>
      <c r="B25" s="150">
        <f>月報!B25</f>
        <v>842490</v>
      </c>
      <c r="C25" s="101">
        <f>月報!B25-標準管控值!B25</f>
        <v>0</v>
      </c>
      <c r="D25" s="61"/>
      <c r="E25" s="47">
        <f>($B$25-$R$25)/12</f>
        <v>70207.5</v>
      </c>
      <c r="F25" s="47">
        <f t="shared" ref="F25:K25" si="20">($B$25-$R$25)/12</f>
        <v>70207.5</v>
      </c>
      <c r="G25" s="47">
        <f t="shared" si="20"/>
        <v>70207.5</v>
      </c>
      <c r="H25" s="47">
        <f t="shared" si="20"/>
        <v>70207.5</v>
      </c>
      <c r="I25" s="47">
        <f t="shared" si="20"/>
        <v>70207.5</v>
      </c>
      <c r="J25" s="47">
        <f t="shared" si="20"/>
        <v>70207.5</v>
      </c>
      <c r="K25" s="47">
        <f t="shared" si="20"/>
        <v>70207.5</v>
      </c>
      <c r="L25" s="47">
        <v>77000</v>
      </c>
      <c r="M25" s="47">
        <v>77000</v>
      </c>
      <c r="N25" s="47">
        <v>77000</v>
      </c>
      <c r="O25" s="47">
        <v>57000</v>
      </c>
      <c r="P25" s="47">
        <v>57000</v>
      </c>
      <c r="Q25" s="17">
        <f t="shared" si="3"/>
        <v>836452.5</v>
      </c>
      <c r="R25" s="171"/>
      <c r="S25" s="171"/>
      <c r="T25" s="171"/>
      <c r="U25" s="171"/>
      <c r="V25" s="171"/>
      <c r="W25" s="170"/>
      <c r="X25" s="94"/>
    </row>
    <row r="26" spans="1:24" ht="32.25" customHeight="1">
      <c r="A26" s="45" t="s">
        <v>216</v>
      </c>
      <c r="B26" s="150">
        <f>月報!B26</f>
        <v>58300</v>
      </c>
      <c r="C26" s="101">
        <f>月報!B26-標準管控值!B26</f>
        <v>0</v>
      </c>
      <c r="D26" s="61"/>
      <c r="E26" s="47">
        <f>($B$26-$R$26*8)/12+$R$26</f>
        <v>4858.333333333333</v>
      </c>
      <c r="F26" s="47">
        <f t="shared" ref="F26:L26" si="21">($B$26-$R$26*8)/12+$R$26</f>
        <v>4858.333333333333</v>
      </c>
      <c r="G26" s="47">
        <f t="shared" si="21"/>
        <v>4858.333333333333</v>
      </c>
      <c r="H26" s="47">
        <f t="shared" si="21"/>
        <v>4858.333333333333</v>
      </c>
      <c r="I26" s="47">
        <f t="shared" si="21"/>
        <v>4858.333333333333</v>
      </c>
      <c r="J26" s="47">
        <f t="shared" si="21"/>
        <v>4858.333333333333</v>
      </c>
      <c r="K26" s="47">
        <f t="shared" si="21"/>
        <v>4858.333333333333</v>
      </c>
      <c r="L26" s="47">
        <f t="shared" si="21"/>
        <v>4858.333333333333</v>
      </c>
      <c r="M26" s="47">
        <f>($B$26-$R$26*8)/12</f>
        <v>4858.333333333333</v>
      </c>
      <c r="N26" s="47">
        <f t="shared" ref="N26:P26" si="22">($B$26-$R$26*8)/12</f>
        <v>4858.333333333333</v>
      </c>
      <c r="O26" s="47">
        <f t="shared" si="22"/>
        <v>4858.333333333333</v>
      </c>
      <c r="P26" s="47">
        <f t="shared" si="22"/>
        <v>4858.333333333333</v>
      </c>
      <c r="Q26" s="17">
        <f t="shared" si="3"/>
        <v>58300.000000000007</v>
      </c>
      <c r="R26" s="171"/>
      <c r="S26" s="171"/>
      <c r="T26" s="171"/>
      <c r="U26" s="171"/>
      <c r="V26" s="171"/>
      <c r="W26" s="170"/>
      <c r="X26" s="94"/>
    </row>
    <row r="27" spans="1:24" ht="32.25" customHeight="1">
      <c r="A27" s="7" t="s">
        <v>217</v>
      </c>
      <c r="B27" s="150">
        <f>月報!B27</f>
        <v>486000</v>
      </c>
      <c r="C27" s="101">
        <f>月報!B27-標準管控值!B27</f>
        <v>0</v>
      </c>
      <c r="D27" s="61"/>
      <c r="E27" s="46">
        <v>0</v>
      </c>
      <c r="F27" s="46">
        <v>0</v>
      </c>
      <c r="G27" s="46">
        <v>0</v>
      </c>
      <c r="H27" s="56">
        <v>271930</v>
      </c>
      <c r="I27" s="46">
        <v>0</v>
      </c>
      <c r="J27" s="46">
        <v>0</v>
      </c>
      <c r="K27" s="56">
        <v>214070</v>
      </c>
      <c r="L27" s="46">
        <v>0</v>
      </c>
      <c r="M27" s="46">
        <v>0</v>
      </c>
      <c r="N27" s="46">
        <v>0</v>
      </c>
      <c r="O27" s="46">
        <v>0</v>
      </c>
      <c r="P27" s="46">
        <v>0</v>
      </c>
      <c r="Q27" s="17">
        <f t="shared" si="3"/>
        <v>486000</v>
      </c>
      <c r="R27" s="168"/>
      <c r="S27" s="168"/>
      <c r="T27" s="171"/>
      <c r="U27" s="171"/>
      <c r="V27" s="171"/>
      <c r="W27" s="170"/>
      <c r="X27" s="94"/>
    </row>
    <row r="28" spans="1:24" ht="32.25" customHeight="1">
      <c r="A28" s="55" t="s">
        <v>252</v>
      </c>
      <c r="B28" s="99">
        <f>SUM(B3:B27)</f>
        <v>49333650</v>
      </c>
      <c r="C28" s="30"/>
      <c r="D28" s="28"/>
      <c r="E28" s="14">
        <f>SUM(E3:E27)</f>
        <v>3731987.7212359766</v>
      </c>
      <c r="F28" s="14">
        <f t="shared" ref="F28:P28" si="23">SUM(F3:F27)</f>
        <v>3437092.5405459208</v>
      </c>
      <c r="G28" s="14">
        <f t="shared" si="23"/>
        <v>5035907.7197126886</v>
      </c>
      <c r="H28" s="14">
        <f t="shared" si="23"/>
        <v>5035100.931230573</v>
      </c>
      <c r="I28" s="14">
        <f t="shared" si="23"/>
        <v>3955795.5540435226</v>
      </c>
      <c r="J28" s="14">
        <f t="shared" si="23"/>
        <v>5685770.400452964</v>
      </c>
      <c r="K28" s="14">
        <f t="shared" si="23"/>
        <v>3285887.6695379065</v>
      </c>
      <c r="L28" s="14">
        <f t="shared" si="23"/>
        <v>3016163.610808894</v>
      </c>
      <c r="M28" s="14">
        <f t="shared" si="23"/>
        <v>4760681.8202716485</v>
      </c>
      <c r="N28" s="14">
        <f t="shared" si="23"/>
        <v>5628901.2788716871</v>
      </c>
      <c r="O28" s="14">
        <f t="shared" si="23"/>
        <v>2910063.7053341162</v>
      </c>
      <c r="P28" s="14">
        <f t="shared" si="23"/>
        <v>2844259.5479541006</v>
      </c>
      <c r="Q28" s="17">
        <f t="shared" si="3"/>
        <v>49327612.499999993</v>
      </c>
      <c r="R28" s="179"/>
      <c r="S28" s="179"/>
      <c r="T28" s="171"/>
      <c r="U28" s="171"/>
      <c r="V28" s="171"/>
      <c r="W28" s="170"/>
      <c r="X28" s="94"/>
    </row>
    <row r="29" spans="1:24" ht="30" customHeight="1">
      <c r="A29" s="63">
        <f>月報!H1</f>
        <v>10</v>
      </c>
      <c r="B29" s="62">
        <f ca="1">SUM(OFFSET(E28,0,0,1,月報!H1))</f>
        <v>43573289.246711776</v>
      </c>
      <c r="C29" s="32"/>
      <c r="D29" s="33"/>
      <c r="F29" s="34"/>
      <c r="H29" s="34"/>
      <c r="I29" s="34"/>
      <c r="J29" s="34"/>
      <c r="K29" s="35"/>
      <c r="L29" s="35"/>
      <c r="M29" s="36"/>
      <c r="N29" s="35"/>
      <c r="O29" s="35"/>
      <c r="P29" s="35"/>
      <c r="Q29" s="37"/>
      <c r="R29" s="171"/>
      <c r="S29" s="171"/>
      <c r="T29" s="171"/>
      <c r="U29" s="171"/>
      <c r="V29" s="171"/>
      <c r="W29" s="170"/>
      <c r="X29" s="94"/>
    </row>
    <row r="30" spans="1:24" ht="18.75" customHeight="1">
      <c r="A30" s="43" t="s">
        <v>211</v>
      </c>
      <c r="B30" s="59"/>
      <c r="E30" s="113">
        <v>7.2064458551185734E-2</v>
      </c>
      <c r="F30" s="113">
        <v>5.7446122761319218E-2</v>
      </c>
      <c r="G30" s="113">
        <v>7.847634000429736E-2</v>
      </c>
      <c r="H30" s="113">
        <v>8.7349073993795212E-2</v>
      </c>
      <c r="I30" s="114">
        <v>0.10537019515302756</v>
      </c>
      <c r="J30" s="114">
        <v>0.10193442564243684</v>
      </c>
      <c r="K30" s="114">
        <v>9.9376976692463412E-2</v>
      </c>
      <c r="L30" s="114">
        <v>9.424040349971162E-2</v>
      </c>
      <c r="M30" s="113">
        <v>7.9259006555362471E-2</v>
      </c>
      <c r="N30" s="113">
        <v>8.1315332159726181E-2</v>
      </c>
      <c r="O30" s="113">
        <v>7.649894073786466E-2</v>
      </c>
      <c r="P30" s="113">
        <v>6.6668724248809749E-2</v>
      </c>
      <c r="Q30" s="115">
        <f t="shared" ref="Q30" si="24">SUM(E30:P30)</f>
        <v>1</v>
      </c>
      <c r="R30" s="179"/>
      <c r="S30" s="179"/>
      <c r="T30" s="179"/>
      <c r="U30" s="179"/>
      <c r="V30" s="179"/>
      <c r="W30" s="170"/>
    </row>
    <row r="31" spans="1:24" ht="18.75" customHeight="1">
      <c r="A31" s="43" t="s">
        <v>312</v>
      </c>
      <c r="E31" s="116">
        <v>6.8866985805044828E-2</v>
      </c>
      <c r="F31" s="116">
        <v>6.5007496727215064E-2</v>
      </c>
      <c r="G31" s="116">
        <v>7.2005156988529287E-2</v>
      </c>
      <c r="H31" s="116">
        <v>7.678674944479881E-2</v>
      </c>
      <c r="I31" s="116">
        <v>8.1944232877570952E-2</v>
      </c>
      <c r="J31" s="116">
        <v>8.4520339036535566E-2</v>
      </c>
      <c r="K31" s="116">
        <v>8.9453281618171593E-2</v>
      </c>
      <c r="L31" s="117">
        <v>9.3326895084209355E-2</v>
      </c>
      <c r="M31" s="117">
        <v>9.8524913468679573E-2</v>
      </c>
      <c r="N31" s="118">
        <v>0.1027761107953461</v>
      </c>
      <c r="O31" s="116">
        <v>9.5124223483674455E-2</v>
      </c>
      <c r="P31" s="118">
        <v>7.1663614670224321E-2</v>
      </c>
      <c r="Q31" s="119"/>
      <c r="R31" s="179"/>
      <c r="S31" s="179"/>
      <c r="T31" s="179"/>
      <c r="U31" s="179"/>
      <c r="V31" s="179"/>
      <c r="W31" s="170"/>
    </row>
    <row r="33" spans="13:16" ht="18.75" customHeight="1">
      <c r="M33" s="27"/>
      <c r="P33" s="80">
        <f>SUM(E28:P28)</f>
        <v>49327612.499999993</v>
      </c>
    </row>
  </sheetData>
  <phoneticPr fontId="3" type="noConversion"/>
  <printOptions horizontalCentered="1"/>
  <pageMargins left="0.39370078740157483" right="0.39370078740157483" top="0.19685039370078741" bottom="0.35433070866141736" header="0" footer="0"/>
  <pageSetup paperSize="9" scale="61" fitToHeight="0" orientation="landscape" r:id="rId1"/>
  <headerFooter alignWithMargins="0">
    <oddFooter>&amp;R&amp;Z&amp;F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4</vt:i4>
      </vt:variant>
    </vt:vector>
  </HeadingPairs>
  <TitlesOfParts>
    <vt:vector size="8" baseType="lpstr">
      <vt:lpstr>全公司細目</vt:lpstr>
      <vt:lpstr>M1細目</vt:lpstr>
      <vt:lpstr>月報</vt:lpstr>
      <vt:lpstr>標準管控值</vt:lpstr>
      <vt:lpstr>月報!Print_Area</vt:lpstr>
      <vt:lpstr>全公司細目!Print_Area</vt:lpstr>
      <vt:lpstr>標準管控值!Print_Area</vt:lpstr>
      <vt:lpstr>標準管控值!Print_Titles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000694</dc:creator>
  <cp:lastModifiedBy>USER</cp:lastModifiedBy>
  <cp:lastPrinted>2021-11-03T07:31:18Z</cp:lastPrinted>
  <dcterms:created xsi:type="dcterms:W3CDTF">2010-11-24T05:00:11Z</dcterms:created>
  <dcterms:modified xsi:type="dcterms:W3CDTF">2021-11-10T15:43:14Z</dcterms:modified>
</cp:coreProperties>
</file>